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EstaPasta_de_trabalho"/>
  <mc:AlternateContent xmlns:mc="http://schemas.openxmlformats.org/markup-compatibility/2006">
    <mc:Choice Requires="x15">
      <x15ac:absPath xmlns:x15ac="http://schemas.microsoft.com/office/spreadsheetml/2010/11/ac" url="C:\Users\engenharia\Documents\PREFEITURA DE SARANDI 2026\30 casas governo do Estado PREFE\2026\"/>
    </mc:Choice>
  </mc:AlternateContent>
  <xr:revisionPtr revIDLastSave="0" documentId="8_{6F4E7C72-7236-456A-86ED-74FB48CF2509}" xr6:coauthVersionLast="47" xr6:coauthVersionMax="47" xr10:uidLastSave="{00000000-0000-0000-0000-000000000000}"/>
  <workbookProtection workbookAlgorithmName="SHA-512" workbookHashValue="3Sf1TX9YVFpmqhj2zj+8TjwZhRO+Zm2k4TB3QYCzKarScw/12jKfIXEDxScQ8AEijManDEMRQ8bPhHRSjf6xUw==" workbookSaltValue="gHvaXotKcEK9axIqnEPddw==" workbookSpinCount="100000" lockStructure="1"/>
  <bookViews>
    <workbookView xWindow="-120" yWindow="-120" windowWidth="29040" windowHeight="15720"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BM!$C$15:$C$240</definedName>
    <definedName name="_xlnm._FilterDatabase" localSheetId="6" hidden="1">CÁLCULO!$C$15:$C$240</definedName>
    <definedName name="_xlnm._FilterDatabase" localSheetId="8" hidden="1">CRONO!$G$13:$G$73</definedName>
    <definedName name="_xlnm._FilterDatabase" localSheetId="7" hidden="1">CRONOPLE!$A$13:$A$79</definedName>
    <definedName name="_xlnm._FilterDatabase" localSheetId="5" hidden="1">EVENTOS!$A$13:$A$72</definedName>
    <definedName name="_xlnm._FilterDatabase" localSheetId="4" hidden="1">ORÇAMENTO!$L$15:$L$240</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BM!$D$1:$O$255</definedName>
    <definedName name="_xlnm.Print_Area" localSheetId="6">CÁLCULO!$E$6:$AA$248</definedName>
    <definedName name="_xlnm.Print_Area" localSheetId="8">CRONO!$I$1:$AG$73</definedName>
    <definedName name="_xlnm.Print_Area" localSheetId="5">EVENTOS!$C$2:$Z$72</definedName>
    <definedName name="_xlnm.Print_Area" localSheetId="1">MENU!$A$1:$I$25</definedName>
    <definedName name="_xlnm.Print_Area" localSheetId="13">OFÍCIO!$A$1:$G$56</definedName>
    <definedName name="_xlnm.Print_Area" localSheetId="4">ORÇAMENTO!$O$1:$Y$257</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BM!$C$15:$C$240</definedName>
    <definedName name="BM.firstrow" hidden="1">BM!$15:$15</definedName>
    <definedName name="BM.FormulaMed" hidden="1">BM!$AO$7</definedName>
    <definedName name="BM.lastrow" hidden="1">BM!$240:$240</definedName>
    <definedName name="BM.LinhaPadrão" hidden="1">BM!$14:$14</definedName>
    <definedName name="BM.MaxMed" hidden="1">IF(RegimeExecucao="Global",1,BM!$G1)</definedName>
    <definedName name="BM.MCAIXA.Filter" hidden="1">BM!$C$15:$Z$240</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CÁLCULO!$C$15:$C$240</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CÁLCULO!$240:$240</definedName>
    <definedName name="CÁLCULO.LinhaPadrão" hidden="1">CÁLCULO!$14:$14</definedName>
    <definedName name="CÁLCULO.margemrow" hidden="1">CÁLCULO!$248:$248</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CÁLCULO!$240:$240</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CÁLCULO!$240:$240</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CÁLCULO!$240:$240</definedName>
    <definedName name="CÁLCULO.nEvento" hidden="1">CÁLCULO!$M$12</definedName>
    <definedName name="CÁLCULO.NúmeroDeEventos" hidden="1">IF(AUTOEVENTO&lt;&gt;"manual",MAX(CÁLCULO!$M$15:$M$240),MAX(OFFSET(EVENTOS!$C$1:$C$65,1,0)))</definedName>
    <definedName name="CÁLCULO.NúmeroDeFrentes" hidden="1">COLUMN(CÁLCULO!$AA$15)-COLUMN(CÁLCULO!$Q$15)</definedName>
    <definedName name="CÁLCULO.Título" hidden="1">CÁLCULO!$F$6</definedName>
    <definedName name="CÁLCULO.TotalAdmLocal" hidden="1">IF(AUTOEVENTO="manual",SUMIF(CÁLCULO!$M$15:$M$240,1,ORÇAMENTO!$X$15:$X$240),0)</definedName>
    <definedName name="CRONO.ColAux" hidden="1">CRONO!$M:$R</definedName>
    <definedName name="CRONO.ColunaPadrão" hidden="1">CRONO!$E:$E</definedName>
    <definedName name="CRONO.Erro" hidden="1">CRONO!$K$10</definedName>
    <definedName name="CRONO.Filtro" hidden="1">CRONO!$G$13:$G$73</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CRONO!$56:$56</definedName>
    <definedName name="CRONO.lastrow2" hidden="1">CRONO!$68:$68</definedName>
    <definedName name="CRONO.LinhaPadrão" hidden="1">CRONO!$1:$3</definedName>
    <definedName name="CRONO.LinhasNecessarias" hidden="1">COUNTIF(QCI!$B$13:$B$24,"Manual")+COUNTIF(QCI!$B$13:$B$24,"SemiAuto")+COUNT(ORÇAMENTO.ListaCrono)</definedName>
    <definedName name="CRONO.Lista.AdmLocal" hidden="1">CRONO!$A$13:$A$56</definedName>
    <definedName name="CRONO.Lista.Níveis" hidden="1">CRONO!$A$9:$A$11</definedName>
    <definedName name="CRONO.margemrow" hidden="1">CRONO!$73:$73</definedName>
    <definedName name="CRONO.MaxParc" hidden="1">CRONO!$H1048576+CRONO!A1</definedName>
    <definedName name="CRONO.NivelExibicao" hidden="1">CRONO!$H$10</definedName>
    <definedName name="CRONO.Parcela1" hidden="1">CRONO!$U$12:$U$13</definedName>
    <definedName name="CRONO.ParcelaFinal" hidden="1">MATCH(100%,CRONO!$U$62:$AG$62,0)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SUMIF(CÁLCULO!$M$15:$M$240,CRONOPLE!$B1,OFFSET(CÁLCULO!$AA$15:$AA$240,0,CRONOPLE!A$12))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BM!$D$243</definedName>
    <definedName name="Import.BMAFAcumulado" hidden="1">OFFSET(BM!$R$15,1,0):OFFSET(BM!$R$240,-1,0)</definedName>
    <definedName name="Import.BMArred" hidden="1">BM!$A$9</definedName>
    <definedName name="Import.CNPJ" hidden="1">DADOS!$C$39</definedName>
    <definedName name="Import.Código" hidden="1">OFFSET(ORÇAMENTO!$Q$15,1,0):OFFSET(ORÇAMENTO!$Q$240,-1,0)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OFFSET(ORÇAMENTO!$U$15,1,0):OFFSET(ORÇAMENTO!$U$240,-1,0)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OFFSET(ORÇAMENTO!$R$15,1,0):OFFSET(ORÇAMENTO!$R$240,-1,0)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OFFSET(ORÇAMENTO!$P$15,1,0):OFFSET(ORÇAMENTO!$P$240,-1,0)</definedName>
    <definedName name="Import.FrenteDeObra" hidden="1">CÁLCULO!$Q$12:OFFSET(CÁLCULO!$AA$12,0,-1)</definedName>
    <definedName name="Import.MacrosserviçoAdmLocal" hidden="1">CRONO!$H$67</definedName>
    <definedName name="Import.Município" hidden="1">DADOS!$C$6</definedName>
    <definedName name="Import.Nível" hidden="1">OFFSET(ORÇAMENTO!$M$15,1,0):OFFSET(ORÇAMENTO!$M$240,-1,0)</definedName>
    <definedName name="Import.Ofício.Dest" hidden="1">OFÍCIO!$B$11</definedName>
    <definedName name="Import.Ofício.GIGOV" hidden="1">OFÍCIO!$C$11</definedName>
    <definedName name="Import.Ofício.Num" hidden="1">OFÍCIO!$C$6</definedName>
    <definedName name="Import.OpcaoBDI" hidden="1">OFFSET(ORÇAMENTO!$V$15,1,0):OFFSET(ORÇAMENTO!$V$240,-1,0)</definedName>
    <definedName name="Import.ORÇAMENTO.DivRecurso" hidden="1">OFFSET(ORÇAMENTO!$Y$15,1,0):OFFSET(ORÇAMENTO!$Y$240,-1,0)</definedName>
    <definedName name="Import.ORÇAMENTO.Obs" hidden="1">ORÇAMENTO!$O$246</definedName>
    <definedName name="Import.PLE" hidden="1">OFFSET(PLE!$G$15,1,1):OFFSET(PLE!$AG$65,-1,-1)</definedName>
    <definedName name="Import.PLE.Datas" hidden="1">PLE!$I$68:$AF$68</definedName>
    <definedName name="Import.PLQ" hidden="1">OFFSET(CÁLCULO!$P$15,1,1):OFFSET(CÁLCULO!$AA$240,-1,-1)</definedName>
    <definedName name="Import.PLQ.MemCalc" hidden="1">OFFSET(CÁLCULO!$I$15,1,0):OFFSET(CÁLCULO!$I$240,-1,0)</definedName>
    <definedName name="Import.PLQ.nAgrupEvent" hidden="1">OFFSET(CÁLCULO!$K$15,1,0):OFFSET(CÁLCULO!$K$240,-1,0)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OFFSET(ORÇAMENTO!$AJ$15,1,0):OFFSET(ORÇAMENTO!$AJ$240,-1,0)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OFFSET(ORÇAMENTO!$S$15,1,0):OFFSET(ORÇAMENTO!$S$240,-1,0)</definedName>
    <definedName name="Import.UnitarioLicitado" hidden="1">OFFSET(ORÇAMENTO!$AL$15,1,0):OFFSET(ORÇAMENTO!$AL$240,-1,0)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ORÇAMENTO!$L$15:$L$240</definedName>
    <definedName name="ORÇAMENTO.firstrow" hidden="1">ORÇAMENTO!$15:$15</definedName>
    <definedName name="ORÇAMENTO.Fonte" hidden="1">ORÇAMENTO!$P1</definedName>
    <definedName name="ORÇAMENTO.lastrow" hidden="1">ORÇAMENTO!$240:$240</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OFFSET(ORÇAMENTO!$AD$15,1,0):OFFSET(ORÇAMENTO!$AD$240,-1,0)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OFFSET(ORÇAMENTO!$P$15,1,0):OFFSET(ORÇAMENTO!$S$240,-1,0)</definedName>
    <definedName name="ORÇAMENTO.PasteFormat2" hidden="1">OFFSET(ORÇAMENTO!$U$15,1,0):OFFSET(ORÇAMENTO!$V$240,-1,0)</definedName>
    <definedName name="ORÇAMENTO.PrecoUnitarioLicitado" hidden="1">ORÇAMENTO!$AL1</definedName>
    <definedName name="ORÇAMENTO.QuantBM" hidden="1">ORÇAMENTO!$AJ1</definedName>
    <definedName name="ORÇAMENTO.RangeQuant" hidden="1">OFFSET(ORÇAMENTO!$T$15,1,0):OFFSET(ORÇAMENTO!$T$240,-1,0)</definedName>
    <definedName name="ORÇAMENTO.SumCPMANUAL" hidden="1">SUMIF(ORÇAMENTO!$Z$15:$Z$240,"CP",ORÇAMENTO!$AA$15:$AA$240)</definedName>
    <definedName name="ORÇAMENTO.SumINVMANUAL" hidden="1">SUMIF(ORÇAMENTO!$Z$15:$Z$240,"RP",ORÇAMENTO!$X$15:$X$240)+SUMIF(ORÇAMENTO!$Z$15:$Z$240,"CP",ORÇAMENTO!$X$15:$X$240)+SUMIF(ORÇAMENTO!$Z$15:$Z$240,"OU",ORÇAMENTO!$X$15:$X$240)</definedName>
    <definedName name="ORÇAMENTO.SumOUTROSMANUAL" hidden="1">SUMIF(ORÇAMENTO!$Z$15:$Z$240,"OU",ORÇAMENTO!$AB$15:$AB$240)</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SUMIF(CÁLCULO!$M$15:$M$240,PLE!$B1,OFFSET(CÁLCULO!$AA$15:$AA$240,0,PLE!A$12))</definedName>
    <definedName name="PO.ValoresBDI" hidden="1">OFFSET(ORÇAMENTO!$AH$15,1,0):OFFSET(ORÇAMENTO!$AH$240,-1,0)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8" i="5" l="1"/>
  <c r="C25" i="2" l="1"/>
  <c r="AJ19" i="5"/>
  <c r="AJ18" i="5"/>
  <c r="A19" i="5"/>
  <c r="A88" i="5"/>
  <c r="A87" i="5"/>
  <c r="A86" i="5"/>
  <c r="A85" i="5"/>
  <c r="A84" i="5"/>
  <c r="A99" i="5"/>
  <c r="A98" i="5"/>
  <c r="A97" i="5"/>
  <c r="A96" i="5"/>
  <c r="A93" i="5"/>
  <c r="A92" i="5"/>
  <c r="A91" i="5"/>
  <c r="A70" i="5"/>
  <c r="A76" i="5"/>
  <c r="A75" i="5"/>
  <c r="A74" i="5"/>
  <c r="A73" i="5"/>
  <c r="A69" i="5"/>
  <c r="A67" i="5"/>
  <c r="A66" i="5"/>
  <c r="A65" i="5"/>
  <c r="A64" i="5"/>
  <c r="A59" i="5"/>
  <c r="A58" i="5"/>
  <c r="A54" i="5"/>
  <c r="A53" i="5"/>
  <c r="A52" i="5"/>
  <c r="A105" i="5"/>
  <c r="A104" i="5"/>
  <c r="A49" i="5"/>
  <c r="A48" i="5"/>
  <c r="A47" i="5"/>
  <c r="A81" i="5"/>
  <c r="A80" i="5"/>
  <c r="A79" i="5"/>
  <c r="A44" i="5"/>
  <c r="A43" i="5"/>
  <c r="A42" i="5"/>
  <c r="A39" i="5"/>
  <c r="A38" i="5"/>
  <c r="A37" i="5"/>
  <c r="A36" i="5"/>
  <c r="A35" i="5"/>
  <c r="A34" i="5"/>
  <c r="A33" i="5"/>
  <c r="A30" i="5"/>
  <c r="A29" i="5"/>
  <c r="A28" i="5"/>
  <c r="A27" i="5"/>
  <c r="A115" i="5"/>
  <c r="A114" i="5"/>
  <c r="A102" i="5"/>
  <c r="A61" i="5"/>
  <c r="A60" i="5"/>
  <c r="A57" i="5"/>
  <c r="A126" i="5"/>
  <c r="A125" i="5"/>
  <c r="A124" i="5"/>
  <c r="A129" i="5"/>
  <c r="A171" i="5"/>
  <c r="A157" i="5"/>
  <c r="A156" i="5"/>
  <c r="A165" i="5"/>
  <c r="A164" i="5"/>
  <c r="A159" i="5"/>
  <c r="A158" i="5"/>
  <c r="A155" i="5"/>
  <c r="A152" i="5"/>
  <c r="A151" i="5"/>
  <c r="A150" i="5"/>
  <c r="A149" i="5"/>
  <c r="A148" i="5"/>
  <c r="A147" i="5"/>
  <c r="A146" i="5"/>
  <c r="A145" i="5"/>
  <c r="A144" i="5"/>
  <c r="A143" i="5"/>
  <c r="A142" i="5"/>
  <c r="A139" i="5"/>
  <c r="A138" i="5"/>
  <c r="A137" i="5"/>
  <c r="A136" i="5"/>
  <c r="A135" i="5"/>
  <c r="A189" i="5"/>
  <c r="A188" i="5"/>
  <c r="A187" i="5"/>
  <c r="A184" i="5"/>
  <c r="A183" i="5"/>
  <c r="A182" i="5"/>
  <c r="A179" i="5"/>
  <c r="A178" i="5"/>
  <c r="A213" i="5"/>
  <c r="A210" i="5"/>
  <c r="A209" i="5"/>
  <c r="A208" i="5"/>
  <c r="A207" i="5"/>
  <c r="A206" i="5"/>
  <c r="A199" i="5"/>
  <c r="A221" i="5"/>
  <c r="A233" i="5"/>
  <c r="A232" i="5"/>
  <c r="A231" i="5"/>
  <c r="A230" i="5"/>
  <c r="A229" i="5"/>
  <c r="A228" i="5"/>
  <c r="A227" i="5"/>
  <c r="A226" i="5"/>
  <c r="A225" i="5"/>
  <c r="A224" i="5"/>
  <c r="A218" i="5"/>
  <c r="A217" i="5"/>
  <c r="A216" i="5"/>
  <c r="A215" i="5"/>
  <c r="A214" i="5"/>
  <c r="A212" i="5"/>
  <c r="A211" i="5"/>
  <c r="A205" i="5"/>
  <c r="A202" i="5"/>
  <c r="A201" i="5"/>
  <c r="A200" i="5"/>
  <c r="A198" i="5"/>
  <c r="A192" i="5"/>
  <c r="A191" i="5"/>
  <c r="A190" i="5"/>
  <c r="A186" i="5"/>
  <c r="A185" i="5"/>
  <c r="A181" i="5"/>
  <c r="A180" i="5"/>
  <c r="A177" i="5"/>
  <c r="A163" i="5"/>
  <c r="A162" i="5"/>
  <c r="A174" i="5"/>
  <c r="A173" i="5"/>
  <c r="A172" i="5"/>
  <c r="A170" i="5"/>
  <c r="A169" i="5"/>
  <c r="A168" i="5"/>
  <c r="A167" i="5"/>
  <c r="A166" i="5"/>
  <c r="A161" i="5"/>
  <c r="A160" i="5"/>
  <c r="A154" i="5"/>
  <c r="A153" i="5"/>
  <c r="A141" i="5"/>
  <c r="A140" i="5"/>
  <c r="A134" i="5"/>
  <c r="A131" i="5"/>
  <c r="A130" i="5"/>
  <c r="A128" i="5"/>
  <c r="A127" i="5"/>
  <c r="A123" i="5"/>
  <c r="A120" i="5"/>
  <c r="A119" i="5"/>
  <c r="A118" i="5"/>
  <c r="A117" i="5"/>
  <c r="A116" i="5"/>
  <c r="A113" i="5"/>
  <c r="A101" i="5"/>
  <c r="A100" i="5"/>
  <c r="A72" i="5"/>
  <c r="A71" i="5"/>
  <c r="A204" i="5"/>
  <c r="A203" i="5"/>
  <c r="A197" i="5"/>
  <c r="A196" i="5"/>
  <c r="A195" i="5"/>
  <c r="A110" i="5"/>
  <c r="A109" i="5"/>
  <c r="A108" i="5"/>
  <c r="A107" i="5"/>
  <c r="A90" i="5"/>
  <c r="A89" i="5"/>
  <c r="A51" i="5"/>
  <c r="A50" i="5"/>
  <c r="A41" i="5"/>
  <c r="A40" i="5"/>
  <c r="A78" i="5"/>
  <c r="A77" i="5"/>
  <c r="A95" i="5"/>
  <c r="A94" i="5"/>
  <c r="A83" i="5"/>
  <c r="A82" i="5"/>
  <c r="A63" i="5"/>
  <c r="A62" i="5"/>
  <c r="A56" i="5"/>
  <c r="A55" i="5"/>
  <c r="A46" i="5"/>
  <c r="A45" i="5"/>
  <c r="A32" i="5"/>
  <c r="A31" i="5"/>
  <c r="A26" i="5"/>
  <c r="C192" i="3"/>
  <c r="H23" i="13"/>
  <c r="G23" i="13"/>
  <c r="H22" i="13"/>
  <c r="G22" i="13"/>
  <c r="H21" i="13"/>
  <c r="G21" i="13"/>
  <c r="H20" i="13"/>
  <c r="G20" i="13"/>
  <c r="H19" i="13"/>
  <c r="G19" i="13"/>
  <c r="H18" i="13"/>
  <c r="G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S20" i="11"/>
  <c r="J20" i="11"/>
  <c r="I20" i="13" s="1"/>
  <c r="D20" i="11"/>
  <c r="A20" i="11" s="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239" i="5"/>
  <c r="A238" i="5"/>
  <c r="A237" i="5"/>
  <c r="A236" i="5"/>
  <c r="A235" i="5"/>
  <c r="A234" i="5"/>
  <c r="A223" i="5"/>
  <c r="A222" i="5"/>
  <c r="A220" i="5"/>
  <c r="A219" i="5"/>
  <c r="A194" i="5"/>
  <c r="A193" i="5"/>
  <c r="A176" i="5"/>
  <c r="A175" i="5"/>
  <c r="A133" i="5"/>
  <c r="A132" i="5"/>
  <c r="A122" i="5"/>
  <c r="A121" i="5"/>
  <c r="A112" i="5"/>
  <c r="A111" i="5"/>
  <c r="A106" i="5"/>
  <c r="A103" i="5"/>
  <c r="A25" i="5"/>
  <c r="A24" i="5"/>
  <c r="A23" i="5"/>
  <c r="A22" i="5"/>
  <c r="A21" i="5"/>
  <c r="A20" i="5"/>
  <c r="A18" i="5"/>
  <c r="A17" i="5"/>
  <c r="C16" i="5"/>
  <c r="F16" i="5" s="1"/>
  <c r="A16" i="5"/>
  <c r="R101" i="4"/>
  <c r="J105" i="4"/>
  <c r="J102" i="4"/>
  <c r="J101" i="4"/>
  <c r="J65" i="4"/>
  <c r="J62" i="4"/>
  <c r="J61" i="4"/>
  <c r="C188" i="3"/>
  <c r="E20" i="13" l="1"/>
  <c r="A15" i="11"/>
  <c r="A21" i="11"/>
  <c r="E18" i="13"/>
  <c r="A23" i="1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240" i="5" a="1"/>
  <c r="AC240" i="5" s="1"/>
  <c r="C19" i="5" l="1"/>
  <c r="L19" i="6"/>
  <c r="A18" i="12"/>
  <c r="J18" i="5"/>
  <c r="D18" i="5"/>
  <c r="B18" i="12" s="1"/>
  <c r="H18" i="5"/>
  <c r="G18" i="5"/>
  <c r="F18" i="5"/>
  <c r="B18" i="5"/>
  <c r="AE18" i="5" a="1"/>
  <c r="AE18" i="5" s="1"/>
  <c r="AD18" i="5"/>
  <c r="N18" i="5"/>
  <c r="D18" i="6" s="1"/>
  <c r="K18" i="5"/>
  <c r="B26" i="8"/>
  <c r="D17" i="6"/>
  <c r="F17" i="6"/>
  <c r="B14" i="11"/>
  <c r="A14" i="13"/>
  <c r="E17" i="5"/>
  <c r="B18" i="6"/>
  <c r="L14" i="6"/>
  <c r="AE7" i="10" a="1"/>
  <c r="AE7" i="10" s="1"/>
  <c r="AE6" i="10" a="1"/>
  <c r="AE6" i="10" s="1"/>
  <c r="V7" i="10" a="1"/>
  <c r="V7" i="10" s="1"/>
  <c r="V6" i="10" a="1"/>
  <c r="V6" i="10" s="1"/>
  <c r="D247" i="12" a="1"/>
  <c r="D247"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N19" i="5" l="1"/>
  <c r="D19" i="6" s="1"/>
  <c r="AE19" i="5" a="1"/>
  <c r="AE19" i="5" s="1"/>
  <c r="J19" i="5"/>
  <c r="AD19" i="5"/>
  <c r="H19" i="5"/>
  <c r="A19" i="12"/>
  <c r="F19" i="5"/>
  <c r="B19" i="5"/>
  <c r="K19" i="5"/>
  <c r="G19" i="5"/>
  <c r="D19" i="5"/>
  <c r="B19" i="12" s="1"/>
  <c r="B19" i="6"/>
  <c r="C14" i="13"/>
  <c r="K14" i="11" a="1"/>
  <c r="K14" i="11" s="1"/>
  <c r="J14" i="13" s="1"/>
  <c r="G14" i="11"/>
  <c r="F14" i="13" s="1"/>
  <c r="E18" i="5"/>
  <c r="G17" i="6"/>
  <c r="M17" i="6"/>
  <c r="H17" i="6" a="1"/>
  <c r="H17" i="6" s="1"/>
  <c r="T17" i="5" s="1"/>
  <c r="N17" i="6"/>
  <c r="B29" i="8"/>
  <c r="AF17" i="5" a="1"/>
  <c r="AF17" i="5" s="1"/>
  <c r="AF16" i="5" a="1"/>
  <c r="AF16" i="5" s="1"/>
  <c r="B14" i="6"/>
  <c r="O8" i="5"/>
  <c r="F11" i="5"/>
  <c r="E19" i="5" l="1"/>
  <c r="G17" i="12" a="1"/>
  <c r="G17" i="12" s="1"/>
  <c r="AG16" i="5" a="1"/>
  <c r="AG16" i="5" s="1"/>
  <c r="S16" i="5" a="1"/>
  <c r="S16" i="5" s="1"/>
  <c r="AG17" i="5" a="1"/>
  <c r="AG17" i="5" s="1"/>
  <c r="S17" i="5" a="1"/>
  <c r="S17" i="5" s="1"/>
  <c r="F17" i="12" s="1" a="1"/>
  <c r="F17" i="12" s="1"/>
  <c r="B32" i="8"/>
  <c r="F14" i="6"/>
  <c r="D14" i="6"/>
  <c r="C171" i="3"/>
  <c r="C170" i="3"/>
  <c r="C169" i="3"/>
  <c r="C166" i="3"/>
  <c r="C160" i="3"/>
  <c r="C159" i="3"/>
  <c r="F16" i="12" l="1" a="1"/>
  <c r="F16" i="12" s="1"/>
  <c r="B35" i="8"/>
  <c r="G14" i="6"/>
  <c r="H14" i="6" a="1"/>
  <c r="H14" i="6" s="1"/>
  <c r="X9" i="5"/>
  <c r="W9" i="5"/>
  <c r="V9" i="5"/>
  <c r="U9" i="5"/>
  <c r="T9" i="5"/>
  <c r="L20" i="6" l="1"/>
  <c r="C20" i="5"/>
  <c r="B38" i="8"/>
  <c r="C177" i="3"/>
  <c r="C175" i="3"/>
  <c r="AF20" i="5" l="1" a="1"/>
  <c r="AF20" i="5" s="1"/>
  <c r="N20" i="5"/>
  <c r="D20" i="6" s="1"/>
  <c r="G20" i="6" s="1"/>
  <c r="C21" i="5"/>
  <c r="AD20" i="5"/>
  <c r="H20" i="5"/>
  <c r="A20" i="12"/>
  <c r="B20" i="5"/>
  <c r="AE20" i="5" a="1"/>
  <c r="AE20" i="5" s="1"/>
  <c r="G20" i="5"/>
  <c r="F20" i="5"/>
  <c r="E20" i="5"/>
  <c r="B20" i="6"/>
  <c r="L21" i="6"/>
  <c r="F20" i="6"/>
  <c r="B41" i="8"/>
  <c r="C157" i="3"/>
  <c r="C173" i="3"/>
  <c r="C167" i="3"/>
  <c r="C164" i="3"/>
  <c r="C163" i="3"/>
  <c r="C161" i="3"/>
  <c r="B21" i="6" l="1"/>
  <c r="L22" i="6"/>
  <c r="F22" i="6" s="1"/>
  <c r="D21" i="5"/>
  <c r="B21" i="12" s="1"/>
  <c r="N21" i="5"/>
  <c r="D21" i="6" s="1"/>
  <c r="A21" i="12"/>
  <c r="K21" i="5"/>
  <c r="AE21" i="5" a="1"/>
  <c r="AE21" i="5" s="1"/>
  <c r="AD21" i="5"/>
  <c r="G21" i="5"/>
  <c r="B21" i="5"/>
  <c r="C22" i="5" s="1"/>
  <c r="E21" i="5"/>
  <c r="H21" i="5"/>
  <c r="F21" i="5"/>
  <c r="J21" i="5"/>
  <c r="E20" i="12"/>
  <c r="S20" i="5" a="1"/>
  <c r="S20" i="5" s="1"/>
  <c r="F20" i="12" s="1" a="1"/>
  <c r="F20" i="12" s="1"/>
  <c r="AG20" i="5" a="1"/>
  <c r="AG20" i="5" s="1"/>
  <c r="B44" i="8"/>
  <c r="E22" i="12"/>
  <c r="C153" i="3"/>
  <c r="C151" i="3"/>
  <c r="B22" i="5" l="1"/>
  <c r="N22" i="5"/>
  <c r="D22" i="6" s="1"/>
  <c r="G22" i="6" s="1"/>
  <c r="H22" i="5"/>
  <c r="A22" i="12"/>
  <c r="F22" i="5"/>
  <c r="K20" i="5" s="1"/>
  <c r="C23" i="5"/>
  <c r="G22" i="5"/>
  <c r="AE22" i="5" a="1"/>
  <c r="AE22" i="5" s="1"/>
  <c r="AF22" i="5" a="1"/>
  <c r="AF22" i="5" s="1"/>
  <c r="AD22" i="5"/>
  <c r="E22" i="5"/>
  <c r="L23" i="6"/>
  <c r="B22" i="6"/>
  <c r="B47" i="8"/>
  <c r="A12" i="6"/>
  <c r="B23" i="6" l="1"/>
  <c r="L24" i="6"/>
  <c r="F24" i="6" s="1"/>
  <c r="AG22" i="5" a="1"/>
  <c r="AG22" i="5" s="1"/>
  <c r="S22" i="5" a="1"/>
  <c r="S22" i="5" s="1"/>
  <c r="F22" i="12" s="1" a="1"/>
  <c r="F22" i="12" s="1"/>
  <c r="AD23" i="5"/>
  <c r="K23" i="5"/>
  <c r="A23" i="12"/>
  <c r="G23" i="5"/>
  <c r="H23" i="5"/>
  <c r="AE23" i="5" a="1"/>
  <c r="AE23" i="5" s="1"/>
  <c r="B23" i="5"/>
  <c r="C24" i="5" s="1"/>
  <c r="D23" i="5"/>
  <c r="B23" i="12" s="1"/>
  <c r="N23" i="5"/>
  <c r="D23" i="6" s="1"/>
  <c r="E23" i="5"/>
  <c r="J23" i="5"/>
  <c r="F23" i="5"/>
  <c r="E24" i="12"/>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B50" i="8"/>
  <c r="A14" i="6"/>
  <c r="A11" i="6"/>
  <c r="C147" i="3"/>
  <c r="C149" i="3"/>
  <c r="C145" i="3"/>
  <c r="C143" i="3"/>
  <c r="C141" i="3"/>
  <c r="U11" i="4"/>
  <c r="U10" i="4"/>
  <c r="Y26" i="4"/>
  <c r="Z26" i="4" s="1"/>
  <c r="Y106" i="4"/>
  <c r="Z106" i="4" s="1"/>
  <c r="Y66" i="4"/>
  <c r="Z66" i="4" s="1"/>
  <c r="R64" i="4"/>
  <c r="R63" i="4"/>
  <c r="R23" i="4"/>
  <c r="R24" i="4"/>
  <c r="C133" i="3"/>
  <c r="A19" i="6" l="1"/>
  <c r="L25" i="6"/>
  <c r="F25" i="6" s="1"/>
  <c r="B24" i="6"/>
  <c r="A24" i="12"/>
  <c r="E24" i="5"/>
  <c r="AF24" i="5" a="1"/>
  <c r="AF24" i="5" s="1"/>
  <c r="N24" i="5"/>
  <c r="D24" i="6" s="1"/>
  <c r="G24" i="6" s="1"/>
  <c r="AE24" i="5" a="1"/>
  <c r="AE24" i="5" s="1"/>
  <c r="H24" i="5"/>
  <c r="AD24" i="5"/>
  <c r="B24" i="5"/>
  <c r="C25" i="5" s="1"/>
  <c r="G24" i="5"/>
  <c r="F24" i="5"/>
  <c r="E31" i="12"/>
  <c r="E103" i="12"/>
  <c r="N18" i="6"/>
  <c r="A20" i="6"/>
  <c r="E25" i="12"/>
  <c r="B53" i="8"/>
  <c r="X26" i="4"/>
  <c r="X106" i="4"/>
  <c r="X66" i="4"/>
  <c r="C137" i="3"/>
  <c r="C135" i="3"/>
  <c r="C132" i="3"/>
  <c r="AG24" i="5" l="1" a="1"/>
  <c r="AG24" i="5" s="1"/>
  <c r="S24" i="5" a="1"/>
  <c r="S24" i="5" s="1"/>
  <c r="F24" i="12" s="1" a="1"/>
  <c r="F24" i="12" s="1"/>
  <c r="L26" i="6"/>
  <c r="B25" i="6"/>
  <c r="C26" i="5"/>
  <c r="E25" i="5"/>
  <c r="B25" i="5"/>
  <c r="N25" i="5"/>
  <c r="D25" i="6" s="1"/>
  <c r="G25" i="6" s="1"/>
  <c r="AE25" i="5" a="1"/>
  <c r="AE25" i="5" s="1"/>
  <c r="H25" i="5"/>
  <c r="A25" i="12"/>
  <c r="G25" i="5"/>
  <c r="AF25" i="5" a="1"/>
  <c r="AF25" i="5" s="1"/>
  <c r="F25" i="5"/>
  <c r="AD25" i="5"/>
  <c r="N19" i="6"/>
  <c r="N20" i="6"/>
  <c r="A21"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F26" i="5" l="1"/>
  <c r="G26" i="5"/>
  <c r="H26" i="5"/>
  <c r="B26" i="5"/>
  <c r="E26" i="5"/>
  <c r="C27" i="5"/>
  <c r="AE26" i="5" a="1"/>
  <c r="AE26" i="5" s="1"/>
  <c r="D26" i="5"/>
  <c r="B26" i="12" s="1"/>
  <c r="K26" i="5"/>
  <c r="J26" i="5"/>
  <c r="A26" i="12"/>
  <c r="AD26" i="5"/>
  <c r="N26" i="5"/>
  <c r="D26" i="6" s="1"/>
  <c r="S25" i="5" a="1"/>
  <c r="S25" i="5" s="1"/>
  <c r="F25" i="12" s="1" a="1"/>
  <c r="F25" i="12" s="1"/>
  <c r="AG25" i="5" a="1"/>
  <c r="AG25" i="5" s="1"/>
  <c r="L27" i="6"/>
  <c r="B26" i="6"/>
  <c r="E40" i="12"/>
  <c r="N21" i="6"/>
  <c r="J4" i="15"/>
  <c r="AB13" i="12" a="1"/>
  <c r="AB13" i="12" s="1"/>
  <c r="I69" i="10"/>
  <c r="E27" i="5" l="1"/>
  <c r="F27" i="5"/>
  <c r="H27" i="5"/>
  <c r="B27" i="6"/>
  <c r="L28" i="6"/>
  <c r="D27" i="5"/>
  <c r="B27" i="12" s="1"/>
  <c r="N27" i="5"/>
  <c r="D27" i="6" s="1"/>
  <c r="J27" i="5"/>
  <c r="AE27" i="5" a="1"/>
  <c r="AE27" i="5" s="1"/>
  <c r="K27" i="5"/>
  <c r="AD27" i="5"/>
  <c r="C28" i="5"/>
  <c r="A27" i="12"/>
  <c r="G27" i="5"/>
  <c r="B27" i="5"/>
  <c r="A22" i="6"/>
  <c r="P7" i="13"/>
  <c r="K14" i="13" a="1"/>
  <c r="K14" i="13" s="1"/>
  <c r="G22" i="15" a="1"/>
  <c r="G22" i="15" s="1"/>
  <c r="C22" i="15" a="1"/>
  <c r="C22" i="15" s="1"/>
  <c r="F10" i="12" a="1"/>
  <c r="F10" i="12" s="1"/>
  <c r="F8" i="7"/>
  <c r="M8" i="12" a="1"/>
  <c r="M8" i="12" s="1"/>
  <c r="H68" i="8" a="1"/>
  <c r="H68" i="8" s="1"/>
  <c r="H66" i="8" a="1"/>
  <c r="H66" i="8" s="1"/>
  <c r="F7" i="6" a="1"/>
  <c r="F7" i="6" s="1"/>
  <c r="F6" i="6" a="1"/>
  <c r="F6" i="6" s="1"/>
  <c r="Q1" i="6" a="1"/>
  <c r="Q1" i="6" s="1"/>
  <c r="O1" i="6" a="1"/>
  <c r="O1" i="6" s="1"/>
  <c r="C11" i="7" a="1"/>
  <c r="C11" i="7" s="1"/>
  <c r="C122" i="3"/>
  <c r="C120" i="3"/>
  <c r="C29" i="5" l="1"/>
  <c r="K28" i="5"/>
  <c r="AE28" i="5" a="1"/>
  <c r="AE28" i="5" s="1"/>
  <c r="A28" i="12"/>
  <c r="F28" i="5"/>
  <c r="E28" i="5"/>
  <c r="AD28" i="5"/>
  <c r="H28" i="5"/>
  <c r="D28" i="5"/>
  <c r="B28" i="12" s="1"/>
  <c r="N28" i="5"/>
  <c r="D28" i="6" s="1"/>
  <c r="B28" i="5"/>
  <c r="J28" i="5"/>
  <c r="G28" i="5"/>
  <c r="B28" i="6"/>
  <c r="L29" i="6"/>
  <c r="A23" i="6"/>
  <c r="N22" i="6"/>
  <c r="C14" i="14" a="1"/>
  <c r="C14" i="14" s="1"/>
  <c r="B39" i="14" a="1"/>
  <c r="B39" i="14" s="1"/>
  <c r="B37" i="14" a="1"/>
  <c r="B37" i="14" s="1"/>
  <c r="E28" i="14" a="1"/>
  <c r="E28" i="14" s="1"/>
  <c r="R1" i="6" a="1"/>
  <c r="R1" i="6" s="1"/>
  <c r="S67" i="4"/>
  <c r="U67" i="4" s="1"/>
  <c r="S107" i="4"/>
  <c r="U107" i="4" s="1"/>
  <c r="S27" i="4"/>
  <c r="U27" i="4" s="1"/>
  <c r="C124" i="3"/>
  <c r="B29" i="6" l="1"/>
  <c r="F29" i="5"/>
  <c r="J29" i="5"/>
  <c r="D29" i="5"/>
  <c r="B29" i="12" s="1"/>
  <c r="A29" i="12"/>
  <c r="E29" i="5"/>
  <c r="N29" i="5"/>
  <c r="D29" i="6" s="1"/>
  <c r="AE29" i="5" a="1"/>
  <c r="AE29" i="5" s="1"/>
  <c r="AD29" i="5"/>
  <c r="H29" i="5"/>
  <c r="G29" i="5"/>
  <c r="B29" i="5"/>
  <c r="K29" i="5"/>
  <c r="A24" i="6"/>
  <c r="N23" i="6"/>
  <c r="S1" i="6" a="1"/>
  <c r="S1" i="6" s="1"/>
  <c r="H67" i="9"/>
  <c r="C30" i="5" l="1"/>
  <c r="L30" i="6"/>
  <c r="E50" i="12"/>
  <c r="N24" i="6"/>
  <c r="A25" i="6"/>
  <c r="A26" i="6" s="1"/>
  <c r="A27" i="6" s="1"/>
  <c r="T1" i="6" a="1"/>
  <c r="T1" i="6" s="1"/>
  <c r="C94" i="3"/>
  <c r="C92" i="3"/>
  <c r="L31" i="6" l="1"/>
  <c r="B30" i="6"/>
  <c r="A30" i="12"/>
  <c r="N30" i="5"/>
  <c r="D30" i="6" s="1"/>
  <c r="G30" i="5"/>
  <c r="F30" i="5"/>
  <c r="K30" i="5"/>
  <c r="B30" i="5"/>
  <c r="C31" i="5" s="1"/>
  <c r="AD30" i="5"/>
  <c r="D30" i="5"/>
  <c r="B30" i="12" s="1"/>
  <c r="AE30" i="5" a="1"/>
  <c r="AE30" i="5" s="1"/>
  <c r="J30" i="5"/>
  <c r="E30" i="5"/>
  <c r="H30" i="5"/>
  <c r="A28" i="6"/>
  <c r="N27" i="6"/>
  <c r="E82" i="12"/>
  <c r="N26" i="6"/>
  <c r="N25" i="6"/>
  <c r="E121" i="12"/>
  <c r="U1" i="6" a="1"/>
  <c r="U1" i="6" s="1"/>
  <c r="C98" i="3"/>
  <c r="N31" i="5" l="1"/>
  <c r="D31" i="6" s="1"/>
  <c r="G31" i="6" s="1"/>
  <c r="C32" i="5"/>
  <c r="AE31" i="5" a="1"/>
  <c r="AE31" i="5" s="1"/>
  <c r="E31" i="5"/>
  <c r="A31" i="12"/>
  <c r="AF31" i="5" a="1"/>
  <c r="AF31" i="5" s="1"/>
  <c r="G31" i="5"/>
  <c r="F31" i="5"/>
  <c r="B31" i="5"/>
  <c r="H31" i="5"/>
  <c r="AD31" i="5"/>
  <c r="F31" i="6"/>
  <c r="B31" i="6"/>
  <c r="L32" i="6"/>
  <c r="E45" i="12"/>
  <c r="A29" i="6"/>
  <c r="N28" i="6"/>
  <c r="E55" i="12"/>
  <c r="V1" i="6" a="1"/>
  <c r="V1" i="6" s="1"/>
  <c r="C5" i="14"/>
  <c r="N31" i="6" l="1"/>
  <c r="AG31" i="5" a="1"/>
  <c r="AG31" i="5" s="1"/>
  <c r="S31" i="5" a="1"/>
  <c r="S31" i="5" s="1"/>
  <c r="F31" i="12" s="1" a="1"/>
  <c r="F31" i="12" s="1"/>
  <c r="C33" i="5"/>
  <c r="K32" i="5"/>
  <c r="N32" i="5"/>
  <c r="D32" i="6" s="1"/>
  <c r="B32" i="5"/>
  <c r="F32" i="5"/>
  <c r="AE32" i="5" a="1"/>
  <c r="AE32" i="5" s="1"/>
  <c r="AD32" i="5"/>
  <c r="J32" i="5"/>
  <c r="G32" i="5"/>
  <c r="D32" i="5"/>
  <c r="B32" i="12" s="1"/>
  <c r="H32" i="5"/>
  <c r="E32" i="5"/>
  <c r="A32" i="12"/>
  <c r="L33" i="6"/>
  <c r="B32" i="6"/>
  <c r="N29" i="6"/>
  <c r="E62" i="12"/>
  <c r="E132" i="12"/>
  <c r="W1" i="6" a="1"/>
  <c r="W1" i="6" s="1"/>
  <c r="S12" i="11"/>
  <c r="H33" i="5" l="1"/>
  <c r="E33" i="5"/>
  <c r="G33" i="5"/>
  <c r="F33" i="5"/>
  <c r="B33" i="5"/>
  <c r="N33" i="5"/>
  <c r="D33" i="6" s="1"/>
  <c r="K33" i="5"/>
  <c r="AD33" i="5"/>
  <c r="D33" i="5"/>
  <c r="B33" i="12" s="1"/>
  <c r="AE33" i="5" a="1"/>
  <c r="AE33" i="5" s="1"/>
  <c r="J33" i="5"/>
  <c r="C34" i="5"/>
  <c r="A33" i="12"/>
  <c r="B33" i="6"/>
  <c r="L34" i="6"/>
  <c r="A30" i="6"/>
  <c r="E77" i="12"/>
  <c r="E94" i="12"/>
  <c r="X1" i="6" a="1"/>
  <c r="X1" i="6" s="1"/>
  <c r="C1" i="7" a="1"/>
  <c r="C1" i="7" s="1"/>
  <c r="K34" i="5" l="1"/>
  <c r="J34" i="5"/>
  <c r="AD34" i="5"/>
  <c r="E34" i="5"/>
  <c r="H34" i="5"/>
  <c r="F34" i="5"/>
  <c r="D34" i="5"/>
  <c r="B34" i="12" s="1"/>
  <c r="C35" i="5"/>
  <c r="A34" i="12"/>
  <c r="AE34" i="5" a="1"/>
  <c r="AE34" i="5" s="1"/>
  <c r="B34" i="5"/>
  <c r="N34" i="5"/>
  <c r="D34" i="6" s="1"/>
  <c r="G34" i="5"/>
  <c r="B34" i="6"/>
  <c r="L35" i="6"/>
  <c r="N30" i="6"/>
  <c r="A31" i="6"/>
  <c r="A32" i="6" s="1"/>
  <c r="A33" i="6" s="1"/>
  <c r="E111" i="12"/>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L36" i="6" l="1"/>
  <c r="B35" i="6"/>
  <c r="A35" i="12"/>
  <c r="H35" i="5"/>
  <c r="E35" i="5"/>
  <c r="B35" i="5"/>
  <c r="AE35" i="5" a="1"/>
  <c r="AE35" i="5" s="1"/>
  <c r="K35" i="5"/>
  <c r="N35" i="5"/>
  <c r="D35" i="6" s="1"/>
  <c r="J35" i="5"/>
  <c r="D35" i="5"/>
  <c r="B35" i="12" s="1"/>
  <c r="AD35" i="5"/>
  <c r="G35" i="5"/>
  <c r="F35" i="5"/>
  <c r="C36" i="5"/>
  <c r="N33" i="6"/>
  <c r="A34" i="6"/>
  <c r="N32" i="6"/>
  <c r="E193" i="12"/>
  <c r="Z1" i="6" a="1"/>
  <c r="Z1" i="6" s="1"/>
  <c r="D27" i="2"/>
  <c r="D15" i="2"/>
  <c r="D35" i="2"/>
  <c r="D3" i="2"/>
  <c r="F36" i="5" l="1"/>
  <c r="D36" i="5"/>
  <c r="B36" i="12" s="1"/>
  <c r="G36" i="5"/>
  <c r="AD36" i="5"/>
  <c r="J36" i="5"/>
  <c r="E36" i="5"/>
  <c r="H36" i="5"/>
  <c r="C37" i="5"/>
  <c r="A36" i="12"/>
  <c r="AE36" i="5" a="1"/>
  <c r="AE36" i="5" s="1"/>
  <c r="B36" i="5"/>
  <c r="N36" i="5"/>
  <c r="D36" i="6" s="1"/>
  <c r="K36" i="5"/>
  <c r="L37" i="6"/>
  <c r="B36" i="6"/>
  <c r="A35" i="6"/>
  <c r="N34" i="6"/>
  <c r="E71" i="12"/>
  <c r="H10" i="7"/>
  <c r="A37" i="12" l="1"/>
  <c r="G37" i="5"/>
  <c r="B37" i="5"/>
  <c r="D37" i="5"/>
  <c r="B37" i="12" s="1"/>
  <c r="F37" i="5"/>
  <c r="AE37" i="5" a="1"/>
  <c r="AE37" i="5" s="1"/>
  <c r="AD37" i="5"/>
  <c r="J37" i="5"/>
  <c r="K37" i="5"/>
  <c r="N37" i="5"/>
  <c r="D37" i="6" s="1"/>
  <c r="E37" i="5"/>
  <c r="H37" i="5"/>
  <c r="B37" i="6"/>
  <c r="N35" i="6"/>
  <c r="A36" i="6"/>
  <c r="E219" i="12"/>
  <c r="AG68" i="8"/>
  <c r="L38" i="6" l="1"/>
  <c r="C38" i="5"/>
  <c r="N36" i="6"/>
  <c r="A37" i="6"/>
  <c r="E89" i="12"/>
  <c r="C103" i="3"/>
  <c r="C100" i="3"/>
  <c r="C96" i="3"/>
  <c r="B38" i="5" l="1"/>
  <c r="A38" i="12"/>
  <c r="J38" i="5"/>
  <c r="H38" i="5"/>
  <c r="N38" i="5"/>
  <c r="D38" i="6" s="1"/>
  <c r="AD38" i="5"/>
  <c r="C39" i="5"/>
  <c r="F38" i="5"/>
  <c r="AE38" i="5" a="1"/>
  <c r="AE38" i="5" s="1"/>
  <c r="G38" i="5"/>
  <c r="D38" i="5"/>
  <c r="B38" i="12" s="1"/>
  <c r="K38" i="5"/>
  <c r="E38" i="5"/>
  <c r="B38" i="6"/>
  <c r="L39" i="6"/>
  <c r="N37" i="6"/>
  <c r="C93" i="3"/>
  <c r="A38" i="6" l="1"/>
  <c r="B39" i="6"/>
  <c r="L40" i="6"/>
  <c r="G39" i="5"/>
  <c r="E39" i="5"/>
  <c r="B39" i="5"/>
  <c r="C40" i="5" s="1"/>
  <c r="N39" i="5"/>
  <c r="D39" i="6" s="1"/>
  <c r="J39" i="5"/>
  <c r="AE39" i="5" a="1"/>
  <c r="AE39" i="5" s="1"/>
  <c r="AD39" i="5"/>
  <c r="F39" i="5"/>
  <c r="H39" i="5"/>
  <c r="A39" i="12"/>
  <c r="K39" i="5"/>
  <c r="D39" i="5"/>
  <c r="B39" i="12" s="1"/>
  <c r="E222" i="12"/>
  <c r="C112" i="3"/>
  <c r="C108" i="3"/>
  <c r="C70" i="3"/>
  <c r="L35" i="13"/>
  <c r="L34" i="13" s="1"/>
  <c r="C84" i="3"/>
  <c r="A39" i="6" l="1"/>
  <c r="N39" i="6" s="1"/>
  <c r="N38" i="6"/>
  <c r="F40" i="6"/>
  <c r="B40" i="6"/>
  <c r="L41" i="6"/>
  <c r="F40" i="5"/>
  <c r="E40" i="5"/>
  <c r="AD40" i="5"/>
  <c r="G40" i="5"/>
  <c r="B40" i="5"/>
  <c r="A40" i="12"/>
  <c r="N40" i="5"/>
  <c r="D40" i="6" s="1"/>
  <c r="H40" i="5"/>
  <c r="AF40" i="5" a="1"/>
  <c r="AF40" i="5" s="1"/>
  <c r="C41" i="5"/>
  <c r="AE40" i="5" a="1"/>
  <c r="AE40" i="5" s="1"/>
  <c r="C56" i="3"/>
  <c r="A40" i="6" l="1"/>
  <c r="L42" i="6"/>
  <c r="B41" i="6"/>
  <c r="S40" i="5" a="1"/>
  <c r="S40" i="5" s="1"/>
  <c r="F40" i="12" s="1" a="1"/>
  <c r="F40" i="12" s="1"/>
  <c r="AG40" i="5" a="1"/>
  <c r="AG40" i="5" s="1"/>
  <c r="C42" i="5"/>
  <c r="G41" i="5"/>
  <c r="B41" i="5"/>
  <c r="D41" i="5"/>
  <c r="B41" i="12" s="1"/>
  <c r="E41" i="5"/>
  <c r="N41" i="5"/>
  <c r="D41" i="6" s="1"/>
  <c r="K41" i="5"/>
  <c r="H41" i="5"/>
  <c r="J41" i="5"/>
  <c r="A41" i="12"/>
  <c r="AE41" i="5" a="1"/>
  <c r="AE41" i="5" s="1"/>
  <c r="F41" i="5"/>
  <c r="AD41" i="5"/>
  <c r="G40" i="6"/>
  <c r="N40" i="6"/>
  <c r="E175" i="12"/>
  <c r="Q13" i="6"/>
  <c r="A1" i="7"/>
  <c r="V70" i="7" a="1"/>
  <c r="V70" i="7" s="1"/>
  <c r="Y5" i="7"/>
  <c r="X5" i="7"/>
  <c r="P5" i="7"/>
  <c r="C60" i="3"/>
  <c r="F5" i="7"/>
  <c r="F42" i="5" l="1"/>
  <c r="H42" i="5"/>
  <c r="E42" i="5"/>
  <c r="B42" i="5"/>
  <c r="G42" i="5"/>
  <c r="A41" i="6"/>
  <c r="N41" i="6" s="1"/>
  <c r="K42" i="5"/>
  <c r="N42" i="5"/>
  <c r="D42" i="6" s="1"/>
  <c r="J42" i="5"/>
  <c r="AE42" i="5" a="1"/>
  <c r="AE42" i="5" s="1"/>
  <c r="A42" i="12"/>
  <c r="AD42" i="5"/>
  <c r="C43" i="5"/>
  <c r="D42" i="5"/>
  <c r="B42" i="12" s="1"/>
  <c r="B42" i="6"/>
  <c r="L43" i="6"/>
  <c r="R13" i="6"/>
  <c r="S13" i="6" s="1"/>
  <c r="V71" i="7"/>
  <c r="V72" i="7"/>
  <c r="N5" i="7"/>
  <c r="O5" i="7"/>
  <c r="A42" i="6" l="1"/>
  <c r="N42" i="6" s="1"/>
  <c r="N43" i="5"/>
  <c r="D43" i="6" s="1"/>
  <c r="AD43" i="5"/>
  <c r="G43" i="5"/>
  <c r="A43" i="12"/>
  <c r="H43" i="5"/>
  <c r="E43" i="5"/>
  <c r="AE43" i="5" a="1"/>
  <c r="AE43" i="5" s="1"/>
  <c r="D43" i="5"/>
  <c r="B43" i="12" s="1"/>
  <c r="C44" i="5"/>
  <c r="K43" i="5"/>
  <c r="J43" i="5"/>
  <c r="B43" i="5"/>
  <c r="F43" i="5"/>
  <c r="L44" i="6"/>
  <c r="B43"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43" i="6" l="1"/>
  <c r="N43" i="6" s="1"/>
  <c r="L45" i="6"/>
  <c r="B44" i="6"/>
  <c r="K44" i="5"/>
  <c r="AE44" i="5" a="1"/>
  <c r="AE44" i="5" s="1"/>
  <c r="A44" i="12"/>
  <c r="J44" i="5"/>
  <c r="AD44" i="5"/>
  <c r="F44" i="5"/>
  <c r="E44" i="5"/>
  <c r="D44" i="5"/>
  <c r="B44" i="12" s="1"/>
  <c r="B44" i="5"/>
  <c r="C45" i="5" s="1"/>
  <c r="N44" i="5"/>
  <c r="D44" i="6" s="1"/>
  <c r="H44" i="5"/>
  <c r="G44" i="5"/>
  <c r="E100" i="12"/>
  <c r="U13" i="6"/>
  <c r="V77" i="9"/>
  <c r="V78" i="9"/>
  <c r="L70" i="7" a="1"/>
  <c r="L72" i="7" s="1"/>
  <c r="D68" i="7"/>
  <c r="C5" i="7"/>
  <c r="B45" i="5" l="1"/>
  <c r="N45" i="5"/>
  <c r="D45" i="6" s="1"/>
  <c r="E45" i="5"/>
  <c r="AF45" i="5" a="1"/>
  <c r="AF45" i="5" s="1"/>
  <c r="G45" i="5"/>
  <c r="K40" i="5" s="1"/>
  <c r="AD45" i="5"/>
  <c r="AE45" i="5" a="1"/>
  <c r="AE45" i="5" s="1"/>
  <c r="C46" i="5"/>
  <c r="F45" i="5"/>
  <c r="H45" i="5"/>
  <c r="A45" i="12"/>
  <c r="A44" i="6"/>
  <c r="N44" i="6" s="1"/>
  <c r="L46" i="6"/>
  <c r="B45" i="6"/>
  <c r="F45" i="6"/>
  <c r="V13" i="6"/>
  <c r="L70" i="7"/>
  <c r="L71" i="7"/>
  <c r="C69" i="3"/>
  <c r="C86" i="3"/>
  <c r="C81" i="3"/>
  <c r="C80" i="3"/>
  <c r="C79" i="3"/>
  <c r="C76" i="3"/>
  <c r="C75" i="3"/>
  <c r="C74" i="3"/>
  <c r="C67" i="3"/>
  <c r="C65" i="3"/>
  <c r="C64" i="3"/>
  <c r="C61" i="3"/>
  <c r="C62" i="3"/>
  <c r="C59" i="3"/>
  <c r="C58" i="3"/>
  <c r="C72" i="3"/>
  <c r="S108" i="4" a="1"/>
  <c r="S108" i="4" s="1"/>
  <c r="S68" i="4" a="1"/>
  <c r="S68" i="4" s="1"/>
  <c r="S28" i="4" a="1"/>
  <c r="S28" i="4" s="1"/>
  <c r="A45" i="6" l="1"/>
  <c r="L47" i="6"/>
  <c r="B46" i="6"/>
  <c r="N45" i="6"/>
  <c r="G45" i="6"/>
  <c r="C47" i="5"/>
  <c r="A46" i="12"/>
  <c r="H46" i="5"/>
  <c r="B46" i="5"/>
  <c r="AD46" i="5"/>
  <c r="F46" i="5"/>
  <c r="N46" i="5"/>
  <c r="D46" i="6" s="1"/>
  <c r="K46" i="5"/>
  <c r="G46" i="5"/>
  <c r="AE46" i="5" a="1"/>
  <c r="AE46" i="5" s="1"/>
  <c r="E46" i="5"/>
  <c r="AG45" i="5" a="1"/>
  <c r="AG45" i="5" s="1"/>
  <c r="S45" i="5" a="1"/>
  <c r="S45" i="5" s="1"/>
  <c r="F45" i="12" s="1" a="1"/>
  <c r="F45" i="12" s="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71" i="8" a="1"/>
  <c r="T246" i="6" a="1"/>
  <c r="T248" i="6" s="1"/>
  <c r="I246" i="6" a="1"/>
  <c r="I247"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49" i="12"/>
  <c r="E250" i="12"/>
  <c r="K252" i="12" a="1"/>
  <c r="K254" i="12" s="1"/>
  <c r="E10" i="6"/>
  <c r="I10" i="6"/>
  <c r="K10" i="6"/>
  <c r="S10" i="6"/>
  <c r="U10" i="6"/>
  <c r="O13" i="6"/>
  <c r="O15" i="6" s="1"/>
  <c r="O11" i="6" s="1"/>
  <c r="B15" i="6"/>
  <c r="C15" i="6"/>
  <c r="E15" i="6"/>
  <c r="B240" i="6"/>
  <c r="C240" i="6"/>
  <c r="F244" i="6"/>
  <c r="S5" i="8"/>
  <c r="I8" i="8"/>
  <c r="L8" i="8"/>
  <c r="U8" i="8"/>
  <c r="E13" i="8"/>
  <c r="V13" i="8"/>
  <c r="W13" i="8" s="1"/>
  <c r="X13" i="8" s="1"/>
  <c r="Y13" i="8" s="1"/>
  <c r="Z13" i="8" s="1"/>
  <c r="AA13" i="8" s="1"/>
  <c r="AB13" i="8" s="1"/>
  <c r="AC13" i="8" s="1"/>
  <c r="AD13" i="8" s="1"/>
  <c r="AE13" i="8" s="1"/>
  <c r="AF13" i="8" s="1"/>
  <c r="T58" i="8"/>
  <c r="T63" i="8"/>
  <c r="I69"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50" i="5"/>
  <c r="O15" i="5"/>
  <c r="O253" i="5"/>
  <c r="T255" i="5" a="1"/>
  <c r="T255"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G47" i="5" l="1"/>
  <c r="E47" i="5"/>
  <c r="F47" i="5"/>
  <c r="B47" i="5"/>
  <c r="H47" i="5"/>
  <c r="A47" i="12"/>
  <c r="AD47" i="5"/>
  <c r="N47" i="5"/>
  <c r="D47" i="6" s="1"/>
  <c r="J47" i="5"/>
  <c r="D47" i="5"/>
  <c r="B47" i="12" s="1"/>
  <c r="K47" i="5"/>
  <c r="AE47" i="5" a="1"/>
  <c r="AE47" i="5" s="1"/>
  <c r="B47" i="6"/>
  <c r="A46"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255" i="12"/>
  <c r="C21" i="4"/>
  <c r="C22" i="4"/>
  <c r="K132" i="4"/>
  <c r="W81" i="10"/>
  <c r="K252" i="12"/>
  <c r="T257" i="5"/>
  <c r="O7" i="13"/>
  <c r="T247" i="6"/>
  <c r="P125" i="4"/>
  <c r="I72" i="8"/>
  <c r="I248" i="6"/>
  <c r="I246" i="6"/>
  <c r="AC13" i="6"/>
  <c r="AC12" i="6" s="1"/>
  <c r="AN13" i="6"/>
  <c r="B14" i="5"/>
  <c r="F14" i="5"/>
  <c r="G15" i="9"/>
  <c r="H15" i="10"/>
  <c r="S110" i="4"/>
  <c r="I12" i="10"/>
  <c r="I11" i="10" s="1" a="1"/>
  <c r="I11" i="10" s="1"/>
  <c r="H12" i="9"/>
  <c r="S30" i="4"/>
  <c r="A36" i="4"/>
  <c r="C35" i="4"/>
  <c r="C24" i="4"/>
  <c r="AA72" i="8"/>
  <c r="AA73" i="8"/>
  <c r="AA71" i="8"/>
  <c r="P45" i="4"/>
  <c r="K14" i="5"/>
  <c r="J14" i="5"/>
  <c r="H14" i="5"/>
  <c r="A14" i="12"/>
  <c r="D14" i="5"/>
  <c r="B14" i="12" s="1"/>
  <c r="AD14" i="5"/>
  <c r="E14" i="5"/>
  <c r="G14" i="5"/>
  <c r="N14" i="5"/>
  <c r="E253" i="12"/>
  <c r="B80" i="10"/>
  <c r="F247" i="6"/>
  <c r="O256" i="5"/>
  <c r="D36" i="11"/>
  <c r="W79" i="10"/>
  <c r="A4" i="4"/>
  <c r="K51" i="4"/>
  <c r="K253" i="12"/>
  <c r="S70" i="4"/>
  <c r="K91" i="4"/>
  <c r="T246" i="6"/>
  <c r="K90" i="4"/>
  <c r="T256" i="5"/>
  <c r="A47" i="6" l="1"/>
  <c r="N47" i="6" s="1"/>
  <c r="L48" i="6"/>
  <c r="C48" i="5"/>
  <c r="N46" i="6"/>
  <c r="E106" i="12"/>
  <c r="AB16"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C16" i="6"/>
  <c r="AC17" i="6"/>
  <c r="AN12" i="6"/>
  <c r="AY12" i="6"/>
  <c r="U97" i="4"/>
  <c r="U57" i="4"/>
  <c r="C15" i="7" a="1"/>
  <c r="C15" i="7" s="1"/>
  <c r="B10" i="9"/>
  <c r="M69" i="10"/>
  <c r="M74" i="10" s="1"/>
  <c r="I12" i="9"/>
  <c r="U17" i="4"/>
  <c r="U14" i="4" s="1"/>
  <c r="T21" i="4" s="1"/>
  <c r="H5" i="5"/>
  <c r="X8" i="5" s="1" a="1"/>
  <c r="X8" i="5" s="1"/>
  <c r="F5" i="5"/>
  <c r="AH68" i="5" s="1"/>
  <c r="AN68" i="5" s="1" a="1"/>
  <c r="AN68"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N48" i="5" l="1"/>
  <c r="D48" i="6" s="1"/>
  <c r="H48" i="5"/>
  <c r="G48" i="5"/>
  <c r="F48" i="5"/>
  <c r="K48" i="5"/>
  <c r="A48" i="12"/>
  <c r="D48" i="5"/>
  <c r="B48" i="12" s="1"/>
  <c r="E48" i="5"/>
  <c r="AE48" i="5" a="1"/>
  <c r="AE48" i="5" s="1"/>
  <c r="AD48" i="5"/>
  <c r="B48" i="5"/>
  <c r="J48" i="5"/>
  <c r="B48" i="6"/>
  <c r="M19" i="6"/>
  <c r="AH19" i="5"/>
  <c r="AH86" i="5"/>
  <c r="AH85" i="5"/>
  <c r="AH84" i="5"/>
  <c r="AH88" i="5"/>
  <c r="AH87" i="5"/>
  <c r="AH98" i="5"/>
  <c r="AH97" i="5"/>
  <c r="AH96" i="5"/>
  <c r="AH99" i="5"/>
  <c r="AH70" i="5"/>
  <c r="AH93" i="5"/>
  <c r="AH92" i="5"/>
  <c r="AH91" i="5"/>
  <c r="AH75" i="5"/>
  <c r="AH74" i="5"/>
  <c r="AH73" i="5"/>
  <c r="AH76" i="5"/>
  <c r="AH66" i="5"/>
  <c r="AH64" i="5"/>
  <c r="AH65" i="5"/>
  <c r="AH67" i="5"/>
  <c r="AH69" i="5"/>
  <c r="AH59" i="5"/>
  <c r="AH58" i="5"/>
  <c r="AH54" i="5"/>
  <c r="AH53" i="5"/>
  <c r="AH52" i="5"/>
  <c r="AH104" i="5"/>
  <c r="AN104" i="5" s="1" a="1"/>
  <c r="AN104" i="5" s="1"/>
  <c r="AH105" i="5"/>
  <c r="AH48" i="5"/>
  <c r="AH49" i="5"/>
  <c r="AH47" i="5"/>
  <c r="AH81" i="5"/>
  <c r="AH80" i="5"/>
  <c r="AH79" i="5"/>
  <c r="AH44" i="5"/>
  <c r="AH42" i="5"/>
  <c r="AH43" i="5"/>
  <c r="AH39" i="5"/>
  <c r="AH38" i="5"/>
  <c r="AH35" i="5"/>
  <c r="AH34" i="5"/>
  <c r="AH37" i="5"/>
  <c r="AH33" i="5"/>
  <c r="AH36" i="5"/>
  <c r="AH29" i="5"/>
  <c r="AH28" i="5"/>
  <c r="AH27" i="5"/>
  <c r="AH30" i="5"/>
  <c r="AH115" i="5"/>
  <c r="AH114" i="5"/>
  <c r="AH102" i="5"/>
  <c r="AH60" i="5"/>
  <c r="AH57" i="5"/>
  <c r="AH61" i="5"/>
  <c r="AH129" i="5"/>
  <c r="AH125" i="5"/>
  <c r="AH126" i="5"/>
  <c r="AH124" i="5"/>
  <c r="AH171" i="5"/>
  <c r="AH156" i="5"/>
  <c r="AH157" i="5"/>
  <c r="AH165" i="5"/>
  <c r="AH164" i="5"/>
  <c r="AH152" i="5"/>
  <c r="AH159" i="5"/>
  <c r="AH158" i="5"/>
  <c r="AN158" i="5" s="1" a="1"/>
  <c r="AN158" i="5" s="1"/>
  <c r="AH155" i="5"/>
  <c r="AH149" i="5"/>
  <c r="AH147" i="5"/>
  <c r="AH148" i="5"/>
  <c r="AH151" i="5"/>
  <c r="AH150" i="5"/>
  <c r="AH144" i="5"/>
  <c r="AH143" i="5"/>
  <c r="AH145" i="5"/>
  <c r="AH146" i="5"/>
  <c r="AH142" i="5"/>
  <c r="AH137" i="5"/>
  <c r="AH136" i="5"/>
  <c r="AH138" i="5"/>
  <c r="AH139" i="5"/>
  <c r="AH135" i="5"/>
  <c r="AH189" i="5"/>
  <c r="AH188" i="5"/>
  <c r="AH187" i="5"/>
  <c r="AH184" i="5"/>
  <c r="AH183" i="5"/>
  <c r="AH182" i="5"/>
  <c r="AH213" i="5"/>
  <c r="AH179" i="5"/>
  <c r="AH178" i="5"/>
  <c r="AH208" i="5"/>
  <c r="AH210" i="5"/>
  <c r="AH209" i="5"/>
  <c r="AH207" i="5"/>
  <c r="AH206" i="5"/>
  <c r="AN206" i="5" s="1" a="1"/>
  <c r="AN206" i="5" s="1"/>
  <c r="AH221" i="5"/>
  <c r="AH199" i="5"/>
  <c r="AH231" i="5"/>
  <c r="AH232" i="5"/>
  <c r="AH233" i="5"/>
  <c r="AH226" i="5"/>
  <c r="AN226" i="5" s="1" a="1"/>
  <c r="AN226" i="5" s="1"/>
  <c r="AH229" i="5"/>
  <c r="AH228" i="5"/>
  <c r="AH230" i="5"/>
  <c r="AN230" i="5" s="1" a="1"/>
  <c r="AN230" i="5" s="1"/>
  <c r="AH224" i="5"/>
  <c r="AH227" i="5"/>
  <c r="AN227" i="5" s="1" a="1"/>
  <c r="AN227" i="5" s="1"/>
  <c r="AH225" i="5"/>
  <c r="AH215" i="5"/>
  <c r="AH205" i="5"/>
  <c r="AH216" i="5"/>
  <c r="AN216" i="5" s="1" a="1"/>
  <c r="AN216" i="5" s="1"/>
  <c r="AH211" i="5"/>
  <c r="AN211" i="5" s="1" a="1"/>
  <c r="AN211" i="5" s="1"/>
  <c r="AH218" i="5"/>
  <c r="AH217" i="5"/>
  <c r="AH214" i="5"/>
  <c r="AN214" i="5" s="1" a="1"/>
  <c r="AN214" i="5" s="1"/>
  <c r="AH212" i="5"/>
  <c r="AH201" i="5"/>
  <c r="AH202" i="5"/>
  <c r="AH198" i="5"/>
  <c r="AH200" i="5"/>
  <c r="AN200" i="5" s="1" a="1"/>
  <c r="AN200" i="5" s="1"/>
  <c r="AH181" i="5"/>
  <c r="AH180" i="5"/>
  <c r="AN180" i="5" s="1" a="1"/>
  <c r="AN180" i="5" s="1"/>
  <c r="AH190" i="5"/>
  <c r="AN190" i="5" s="1" a="1"/>
  <c r="AN190" i="5" s="1"/>
  <c r="AH185" i="5"/>
  <c r="AN185" i="5" s="1" a="1"/>
  <c r="AN185" i="5" s="1"/>
  <c r="AH186" i="5"/>
  <c r="AH191" i="5"/>
  <c r="AH192" i="5"/>
  <c r="AH177" i="5"/>
  <c r="AH162" i="5"/>
  <c r="AN162" i="5" s="1" a="1"/>
  <c r="AN162" i="5" s="1"/>
  <c r="AH163" i="5"/>
  <c r="AH169" i="5"/>
  <c r="AH168" i="5"/>
  <c r="AH174" i="5"/>
  <c r="AH170" i="5"/>
  <c r="AH173" i="5"/>
  <c r="AH172" i="5"/>
  <c r="AN172" i="5" s="1" a="1"/>
  <c r="AN172" i="5" s="1"/>
  <c r="AH141" i="5"/>
  <c r="AH140" i="5"/>
  <c r="AN140" i="5" s="1" a="1"/>
  <c r="AN140" i="5" s="1"/>
  <c r="AH154" i="5"/>
  <c r="AH167" i="5"/>
  <c r="AH161" i="5"/>
  <c r="AH160" i="5"/>
  <c r="AN160" i="5" s="1" a="1"/>
  <c r="AN160" i="5" s="1"/>
  <c r="AH166" i="5"/>
  <c r="AN166" i="5" s="1" a="1"/>
  <c r="AN166" i="5" s="1"/>
  <c r="AH134" i="5"/>
  <c r="AH153" i="5"/>
  <c r="AN153" i="5" s="1" a="1"/>
  <c r="AN153" i="5" s="1"/>
  <c r="AH128" i="5"/>
  <c r="AH127" i="5"/>
  <c r="AN127" i="5" s="1" a="1"/>
  <c r="AN127" i="5" s="1"/>
  <c r="AH123" i="5"/>
  <c r="AH130" i="5"/>
  <c r="AH131" i="5"/>
  <c r="AH116" i="5"/>
  <c r="AN116" i="5" s="1" a="1"/>
  <c r="AN116" i="5" s="1"/>
  <c r="AH118" i="5"/>
  <c r="AH120" i="5"/>
  <c r="AH117" i="5"/>
  <c r="AH119" i="5"/>
  <c r="AH113" i="5"/>
  <c r="AH101" i="5"/>
  <c r="AH100" i="5"/>
  <c r="AH71" i="5"/>
  <c r="AH72" i="5"/>
  <c r="AH197" i="5"/>
  <c r="AN197" i="5" s="1" a="1"/>
  <c r="AN197" i="5" s="1"/>
  <c r="AH196" i="5"/>
  <c r="AN196" i="5" s="1" a="1"/>
  <c r="AN196" i="5" s="1"/>
  <c r="AH195" i="5"/>
  <c r="AH203" i="5"/>
  <c r="AN203" i="5" s="1" a="1"/>
  <c r="AN203" i="5" s="1"/>
  <c r="AH204" i="5"/>
  <c r="AN204" i="5" s="1" a="1"/>
  <c r="AN204" i="5" s="1"/>
  <c r="AH109" i="5"/>
  <c r="AH110" i="5"/>
  <c r="AH108" i="5"/>
  <c r="AH107" i="5"/>
  <c r="E108" i="12"/>
  <c r="AH90" i="5"/>
  <c r="AH89" i="5"/>
  <c r="AH51" i="5"/>
  <c r="AH50" i="5"/>
  <c r="AH41" i="5"/>
  <c r="AH40" i="5"/>
  <c r="AH78" i="5"/>
  <c r="AH77" i="5"/>
  <c r="AH94" i="5"/>
  <c r="AH83" i="5"/>
  <c r="AH82" i="5"/>
  <c r="AH95" i="5"/>
  <c r="AH32" i="5"/>
  <c r="AH63" i="5"/>
  <c r="AH46" i="5"/>
  <c r="AH45" i="5"/>
  <c r="AH31" i="5"/>
  <c r="AH26" i="5"/>
  <c r="AH62" i="5"/>
  <c r="AH55" i="5"/>
  <c r="AH56" i="5"/>
  <c r="AN18" i="6"/>
  <c r="AZ18" i="6" a="1"/>
  <c r="AZ18" i="6" s="1"/>
  <c r="AX18" i="6" a="1"/>
  <c r="AX18" i="6" s="1"/>
  <c r="AY18" i="6" a="1"/>
  <c r="AY18" i="6" s="1"/>
  <c r="AO18" i="6"/>
  <c r="AM18" i="6"/>
  <c r="AD16" i="6"/>
  <c r="AD17" i="6"/>
  <c r="AH235" i="5"/>
  <c r="AH132" i="5"/>
  <c r="AH22" i="5"/>
  <c r="AH112" i="5"/>
  <c r="AH17" i="5"/>
  <c r="AN17" i="5" s="1" a="1"/>
  <c r="AN17" i="5" s="1"/>
  <c r="AH220" i="5"/>
  <c r="AH237" i="5"/>
  <c r="AH175" i="5"/>
  <c r="AH24" i="5"/>
  <c r="AH223" i="5"/>
  <c r="AH239" i="5"/>
  <c r="AH193" i="5"/>
  <c r="AH103" i="5"/>
  <c r="AH234" i="5"/>
  <c r="AH122" i="5"/>
  <c r="AH219" i="5"/>
  <c r="AH111" i="5"/>
  <c r="AH16" i="5"/>
  <c r="AN16" i="5" s="1" a="1"/>
  <c r="AN16" i="5" s="1"/>
  <c r="AH238" i="5"/>
  <c r="AH176" i="5"/>
  <c r="AH121" i="5"/>
  <c r="AH194" i="5"/>
  <c r="AH25" i="5"/>
  <c r="AH133" i="5"/>
  <c r="AH21" i="5"/>
  <c r="AH20" i="5"/>
  <c r="AH18" i="5"/>
  <c r="AH23" i="5"/>
  <c r="AH106" i="5"/>
  <c r="AH236" i="5"/>
  <c r="AH222" i="5"/>
  <c r="M22" i="6"/>
  <c r="M20"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L49" i="6" l="1"/>
  <c r="A48" i="6"/>
  <c r="N48" i="6" s="1"/>
  <c r="C49" i="5"/>
  <c r="AN19" i="6"/>
  <c r="AX19" i="6" a="1"/>
  <c r="AX19" i="6" s="1"/>
  <c r="BA19" i="6" a="1"/>
  <c r="BA19" i="6" s="1"/>
  <c r="AM19" i="6"/>
  <c r="AO19" i="6"/>
  <c r="AY19" i="6" a="1"/>
  <c r="AY19" i="6" s="1"/>
  <c r="AZ19" i="6" a="1"/>
  <c r="AZ19" i="6" s="1"/>
  <c r="AP19" i="6"/>
  <c r="AN100" i="5" a="1"/>
  <c r="AN100" i="5" s="1"/>
  <c r="AN71" i="5" a="1"/>
  <c r="AN71" i="5" s="1"/>
  <c r="AN108" i="5" a="1"/>
  <c r="AN108" i="5" s="1"/>
  <c r="AN89" i="5" a="1"/>
  <c r="AN89" i="5" s="1"/>
  <c r="AN40" i="5" a="1"/>
  <c r="AN40" i="5" s="1"/>
  <c r="W40" i="5" a="1"/>
  <c r="W40" i="5" s="1"/>
  <c r="H40" i="12" s="1" a="1"/>
  <c r="H40" i="12" s="1"/>
  <c r="AN77" i="5" a="1"/>
  <c r="AN77" i="5" s="1"/>
  <c r="AN82" i="5" a="1"/>
  <c r="AN82" i="5" s="1"/>
  <c r="AN94" i="5" a="1"/>
  <c r="AN94" i="5" s="1"/>
  <c r="AN55" i="5" a="1"/>
  <c r="AN55" i="5" s="1"/>
  <c r="AN62" i="5" a="1"/>
  <c r="AN62" i="5" s="1"/>
  <c r="E234" i="12"/>
  <c r="AN31" i="5" a="1"/>
  <c r="AN31" i="5" s="1"/>
  <c r="W31" i="5" a="1"/>
  <c r="W31" i="5" s="1"/>
  <c r="H31" i="12" s="1" a="1"/>
  <c r="H31" i="12" s="1"/>
  <c r="AN45" i="5" a="1"/>
  <c r="AN45" i="5" s="1"/>
  <c r="W45" i="5" a="1"/>
  <c r="W45" i="5" s="1"/>
  <c r="H45" i="12" s="1" a="1"/>
  <c r="H45" i="12" s="1"/>
  <c r="M21" i="6"/>
  <c r="AN133" i="5" a="1"/>
  <c r="AN133" i="5" s="1"/>
  <c r="AN103" i="5" a="1"/>
  <c r="AN103" i="5" s="1"/>
  <c r="AN122" i="5" a="1"/>
  <c r="AN122" i="5" s="1"/>
  <c r="AN193" i="5" a="1"/>
  <c r="AN193" i="5" s="1"/>
  <c r="AN24" i="5" a="1"/>
  <c r="AN24" i="5" s="1"/>
  <c r="W24" i="5" a="1"/>
  <c r="W24" i="5" s="1"/>
  <c r="H24" i="12" s="1" a="1"/>
  <c r="H24" i="12" s="1"/>
  <c r="B17" i="9"/>
  <c r="AN20" i="6"/>
  <c r="AP20" i="6"/>
  <c r="AX20" i="6" a="1"/>
  <c r="AX20" i="6" s="1"/>
  <c r="AM20" i="6"/>
  <c r="BA20" i="6" a="1"/>
  <c r="BA20" i="6" s="1"/>
  <c r="AO20" i="6"/>
  <c r="AY20" i="6" a="1"/>
  <c r="AY20" i="6" s="1"/>
  <c r="AZ20" i="6" a="1"/>
  <c r="AZ20" i="6" s="1"/>
  <c r="AN222" i="5" a="1"/>
  <c r="AN222" i="5" s="1"/>
  <c r="AN234" i="5" a="1"/>
  <c r="AN234" i="5" s="1"/>
  <c r="AN175" i="5" a="1"/>
  <c r="AN175" i="5" s="1"/>
  <c r="AP18" i="6"/>
  <c r="BA18" i="6" a="1"/>
  <c r="BA18" i="6" s="1"/>
  <c r="AN132" i="5" a="1"/>
  <c r="AN132" i="5" s="1"/>
  <c r="AN106" i="5" a="1"/>
  <c r="AN106" i="5" s="1"/>
  <c r="AN112" i="5" a="1"/>
  <c r="AN112" i="5" s="1"/>
  <c r="AN25" i="5" a="1"/>
  <c r="AN25" i="5" s="1"/>
  <c r="W25" i="5" a="1"/>
  <c r="W25" i="5" s="1"/>
  <c r="H25" i="12" s="1" a="1"/>
  <c r="H25" i="12" s="1"/>
  <c r="AN121" i="5" a="1"/>
  <c r="AN121" i="5" s="1"/>
  <c r="AN219" i="5" a="1"/>
  <c r="AN219" i="5" s="1"/>
  <c r="AN223" i="5" a="1"/>
  <c r="AN223" i="5" s="1"/>
  <c r="AN22" i="5" a="1"/>
  <c r="AN22" i="5" s="1"/>
  <c r="W22" i="5" a="1"/>
  <c r="W22" i="5" s="1"/>
  <c r="H22" i="12" s="1" a="1"/>
  <c r="H22" i="12" s="1"/>
  <c r="AY22" i="6" a="1"/>
  <c r="AY22" i="6" s="1"/>
  <c r="AO22" i="6"/>
  <c r="AP22" i="6"/>
  <c r="AX22" i="6" a="1"/>
  <c r="AX22" i="6" s="1"/>
  <c r="BA22" i="6" a="1"/>
  <c r="BA22" i="6" s="1"/>
  <c r="AM22" i="6"/>
  <c r="AN22" i="6"/>
  <c r="AZ22" i="6" a="1"/>
  <c r="AZ22" i="6" s="1"/>
  <c r="AN194" i="5" a="1"/>
  <c r="AN194" i="5" s="1"/>
  <c r="AN111" i="5" a="1"/>
  <c r="AN111" i="5" s="1"/>
  <c r="AN20" i="5" a="1"/>
  <c r="AN20" i="5" s="1"/>
  <c r="W20" i="5" a="1"/>
  <c r="W20" i="5" s="1"/>
  <c r="H20" i="12" s="1" a="1"/>
  <c r="H20" i="12" s="1"/>
  <c r="AN176" i="5" a="1"/>
  <c r="AN176" i="5"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L12" i="10"/>
  <c r="L11" i="10" s="1" a="1"/>
  <c r="L11" i="10" s="1"/>
  <c r="A7" i="4"/>
  <c r="C7" i="4" s="1"/>
  <c r="C6" i="4"/>
  <c r="AQ19" i="6" l="1"/>
  <c r="BB19" i="6" a="1"/>
  <c r="BB19" i="6" s="1"/>
  <c r="K49" i="5"/>
  <c r="AE49" i="5" a="1"/>
  <c r="AE49" i="5" s="1"/>
  <c r="F49" i="5"/>
  <c r="AD49" i="5"/>
  <c r="D49" i="5"/>
  <c r="B49" i="12" s="1"/>
  <c r="A49" i="12"/>
  <c r="J49" i="5"/>
  <c r="G49" i="5"/>
  <c r="B49" i="5"/>
  <c r="C50" i="5" s="1"/>
  <c r="H49" i="5"/>
  <c r="N49" i="5"/>
  <c r="D49" i="6" s="1"/>
  <c r="E49" i="5"/>
  <c r="B49" i="6"/>
  <c r="L50" i="6"/>
  <c r="AO21" i="6"/>
  <c r="AM21" i="6"/>
  <c r="AY21" i="6" a="1"/>
  <c r="AY21" i="6" s="1"/>
  <c r="AX21" i="6" a="1"/>
  <c r="AX21" i="6" s="1"/>
  <c r="BA21" i="6" a="1"/>
  <c r="BA21" i="6" s="1"/>
  <c r="AN21" i="6"/>
  <c r="AP21" i="6"/>
  <c r="AZ21" i="6" a="1"/>
  <c r="AZ21" i="6" s="1"/>
  <c r="M23" i="6"/>
  <c r="AQ23" i="6" s="1"/>
  <c r="AQ22" i="6"/>
  <c r="AQ21" i="6"/>
  <c r="B18" i="9"/>
  <c r="BB21" i="6" a="1"/>
  <c r="BB21" i="6" s="1"/>
  <c r="BB22" i="6" a="1"/>
  <c r="BB22" i="6" s="1"/>
  <c r="BB20" i="6" a="1"/>
  <c r="BB20" i="6" s="1"/>
  <c r="AQ20" i="6"/>
  <c r="BB18" i="6" a="1"/>
  <c r="BB18" i="6" s="1"/>
  <c r="AQ18" i="6"/>
  <c r="AF16" i="6"/>
  <c r="AF17" i="6"/>
  <c r="AE16" i="6"/>
  <c r="AE17"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49" i="6" l="1"/>
  <c r="N49" i="6" s="1"/>
  <c r="F50" i="6"/>
  <c r="L51" i="6"/>
  <c r="B50" i="6"/>
  <c r="N50" i="5"/>
  <c r="D50" i="6" s="1"/>
  <c r="AD50" i="5"/>
  <c r="F50" i="5"/>
  <c r="C51" i="5"/>
  <c r="AE50" i="5" a="1"/>
  <c r="AE50" i="5" s="1"/>
  <c r="B50" i="5"/>
  <c r="A50" i="12"/>
  <c r="H50" i="5"/>
  <c r="G50" i="5"/>
  <c r="K45" i="5" s="1"/>
  <c r="AF50" i="5" a="1"/>
  <c r="AF50" i="5" s="1"/>
  <c r="E50" i="5"/>
  <c r="W50" i="5" a="1"/>
  <c r="W50" i="5" s="1"/>
  <c r="H50" i="12" s="1" a="1"/>
  <c r="H50" i="12" s="1"/>
  <c r="AR19" i="6"/>
  <c r="BC19" i="6" a="1"/>
  <c r="BC19" i="6" s="1"/>
  <c r="AZ23" i="6" a="1"/>
  <c r="AZ23" i="6" s="1"/>
  <c r="AN23" i="6"/>
  <c r="AP23" i="6"/>
  <c r="AM23" i="6"/>
  <c r="AY23" i="6" a="1"/>
  <c r="AY23" i="6" s="1"/>
  <c r="AX23" i="6" a="1"/>
  <c r="AX23" i="6" s="1"/>
  <c r="BA23" i="6" a="1"/>
  <c r="BA23" i="6" s="1"/>
  <c r="AO23" i="6"/>
  <c r="M24" i="6"/>
  <c r="BC24" i="6" s="1" a="1"/>
  <c r="BC24" i="6" s="1"/>
  <c r="BB23" i="6" a="1"/>
  <c r="BB23" i="6" s="1"/>
  <c r="AR18" i="6"/>
  <c r="AR20" i="6"/>
  <c r="AR21" i="6"/>
  <c r="AR22" i="6"/>
  <c r="AR23" i="6"/>
  <c r="BC18" i="6" a="1"/>
  <c r="BC18" i="6" s="1"/>
  <c r="BC21" i="6" a="1"/>
  <c r="BC21" i="6" s="1"/>
  <c r="BC22" i="6" a="1"/>
  <c r="BC22" i="6" s="1"/>
  <c r="BC20" i="6" a="1"/>
  <c r="BC20" i="6" s="1"/>
  <c r="BC23" i="6" a="1"/>
  <c r="BC23"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A50" i="6" l="1"/>
  <c r="BD19" i="6" a="1"/>
  <c r="BD19" i="6" s="1"/>
  <c r="G50" i="6"/>
  <c r="N50" i="6"/>
  <c r="S50" i="5" a="1"/>
  <c r="S50" i="5" s="1"/>
  <c r="F50" i="12" s="1" a="1"/>
  <c r="F50" i="12" s="1"/>
  <c r="AG50" i="5" a="1"/>
  <c r="AG50" i="5" s="1"/>
  <c r="U50" i="5" s="1"/>
  <c r="AN50" i="5" s="1" a="1"/>
  <c r="AN50" i="5" s="1"/>
  <c r="AS19" i="6"/>
  <c r="L52" i="6"/>
  <c r="B51" i="6"/>
  <c r="C52" i="5"/>
  <c r="N51" i="5"/>
  <c r="D51" i="6" s="1"/>
  <c r="H51" i="5"/>
  <c r="D51" i="5"/>
  <c r="B51" i="12" s="1"/>
  <c r="AE51" i="5" a="1"/>
  <c r="AE51" i="5" s="1"/>
  <c r="K51" i="5"/>
  <c r="E51" i="5"/>
  <c r="G51" i="5"/>
  <c r="A51" i="12"/>
  <c r="F51" i="5"/>
  <c r="B51" i="5"/>
  <c r="J51" i="5"/>
  <c r="AD51" i="5"/>
  <c r="E112" i="12"/>
  <c r="M25" i="6"/>
  <c r="AR24" i="6"/>
  <c r="AO24" i="6"/>
  <c r="AX24" i="6" a="1"/>
  <c r="AX24" i="6" s="1"/>
  <c r="BA24" i="6" a="1"/>
  <c r="BA24" i="6" s="1"/>
  <c r="AM24" i="6"/>
  <c r="AN24" i="6"/>
  <c r="AP24" i="6"/>
  <c r="AZ24" i="6" a="1"/>
  <c r="AZ24" i="6" s="1"/>
  <c r="AY24" i="6" a="1"/>
  <c r="AY24" i="6" s="1"/>
  <c r="AQ24" i="6"/>
  <c r="BB24" i="6" a="1"/>
  <c r="BB24" i="6" s="1"/>
  <c r="BD18" i="6" a="1"/>
  <c r="BD18" i="6" s="1"/>
  <c r="BD20" i="6" a="1"/>
  <c r="BD20" i="6" s="1"/>
  <c r="BD22" i="6" a="1"/>
  <c r="BD22" i="6" s="1"/>
  <c r="BD23" i="6" a="1"/>
  <c r="BD23" i="6" s="1"/>
  <c r="BD21" i="6" a="1"/>
  <c r="BD21" i="6" s="1"/>
  <c r="BD24" i="6" a="1"/>
  <c r="BD24" i="6" s="1"/>
  <c r="AH16" i="6"/>
  <c r="AH17" i="6"/>
  <c r="AS18" i="6"/>
  <c r="AS21" i="6"/>
  <c r="AS24" i="6"/>
  <c r="AS23" i="6"/>
  <c r="AS20" i="6"/>
  <c r="AS22" i="6"/>
  <c r="B20" i="9"/>
  <c r="AB10" i="12"/>
  <c r="W69" i="10"/>
  <c r="W74" i="10" s="1"/>
  <c r="N12" i="9"/>
  <c r="J72" i="4"/>
  <c r="U8" i="4"/>
  <c r="BD12" i="6"/>
  <c r="AS12" i="6"/>
  <c r="AI13" i="6"/>
  <c r="AI12" i="6" s="1"/>
  <c r="BE13" i="6"/>
  <c r="AC12" i="8"/>
  <c r="AI13" i="12"/>
  <c r="K72" i="4"/>
  <c r="J112" i="4"/>
  <c r="AT13" i="6"/>
  <c r="O12" i="10"/>
  <c r="O11" i="10" s="1" a="1"/>
  <c r="O11" i="10" s="1"/>
  <c r="K32" i="4"/>
  <c r="J32" i="4"/>
  <c r="H52" i="5" l="1"/>
  <c r="B52" i="5"/>
  <c r="G52" i="5"/>
  <c r="F52" i="5"/>
  <c r="E52" i="5"/>
  <c r="BE19" i="6" a="1"/>
  <c r="BE19" i="6" s="1"/>
  <c r="N52" i="5"/>
  <c r="D52" i="6" s="1"/>
  <c r="AD52" i="5"/>
  <c r="J52" i="5"/>
  <c r="C53" i="5"/>
  <c r="AE52" i="5" a="1"/>
  <c r="AE52" i="5" s="1"/>
  <c r="A52" i="12"/>
  <c r="K52" i="5"/>
  <c r="D52" i="5"/>
  <c r="B52" i="12" s="1"/>
  <c r="AT19" i="6"/>
  <c r="B52" i="6"/>
  <c r="L53" i="6"/>
  <c r="A51" i="6"/>
  <c r="BB25" i="6" a="1"/>
  <c r="BB25" i="6" s="1"/>
  <c r="M26" i="6"/>
  <c r="M31" i="6"/>
  <c r="BD25" i="6" a="1"/>
  <c r="BD25" i="6" s="1"/>
  <c r="AS25" i="6"/>
  <c r="AY25" i="6" a="1"/>
  <c r="AY25" i="6" s="1"/>
  <c r="AZ25" i="6" a="1"/>
  <c r="AZ25" i="6" s="1"/>
  <c r="AN25" i="6"/>
  <c r="AO25" i="6"/>
  <c r="AX25" i="6" a="1"/>
  <c r="AX25" i="6" s="1"/>
  <c r="AP25" i="6"/>
  <c r="BA25" i="6" a="1"/>
  <c r="BA25" i="6" s="1"/>
  <c r="AM25" i="6"/>
  <c r="BC25" i="6" a="1"/>
  <c r="BC25" i="6" s="1"/>
  <c r="AR25" i="6"/>
  <c r="AQ25" i="6"/>
  <c r="AT25" i="6"/>
  <c r="AT18" i="6"/>
  <c r="AT22" i="6"/>
  <c r="AT23" i="6"/>
  <c r="AT20" i="6"/>
  <c r="AT21" i="6"/>
  <c r="AT24" i="6"/>
  <c r="BE25" i="6" a="1"/>
  <c r="BE25" i="6" s="1"/>
  <c r="BE18" i="6" a="1"/>
  <c r="BE18" i="6" s="1"/>
  <c r="BE24" i="6" a="1"/>
  <c r="BE24" i="6" s="1"/>
  <c r="BE22" i="6" a="1"/>
  <c r="BE22" i="6" s="1"/>
  <c r="BE21" i="6" a="1"/>
  <c r="BE21" i="6" s="1"/>
  <c r="BE20" i="6" a="1"/>
  <c r="BE20" i="6" s="1"/>
  <c r="BE23" i="6" a="1"/>
  <c r="BE23" i="6" s="1"/>
  <c r="B21" i="9"/>
  <c r="AI16" i="6"/>
  <c r="AI17" i="6"/>
  <c r="O12" i="9"/>
  <c r="Y69" i="10"/>
  <c r="Y74" i="10" s="1"/>
  <c r="T11" i="11"/>
  <c r="BE12" i="6"/>
  <c r="AT12" i="6"/>
  <c r="AJ13" i="6"/>
  <c r="AJ12" i="6" s="1"/>
  <c r="BF13" i="6"/>
  <c r="AD12" i="8"/>
  <c r="AJ13" i="12"/>
  <c r="AU13" i="6"/>
  <c r="P12" i="10"/>
  <c r="P11" i="10" s="1" a="1"/>
  <c r="P11" i="10" s="1"/>
  <c r="AD53" i="5" l="1"/>
  <c r="AE53" i="5" a="1"/>
  <c r="AE53" i="5" s="1"/>
  <c r="N53" i="5"/>
  <c r="D53" i="6" s="1"/>
  <c r="E53" i="5"/>
  <c r="A53" i="12"/>
  <c r="F53" i="5"/>
  <c r="J53" i="5"/>
  <c r="B53" i="5"/>
  <c r="K53" i="5"/>
  <c r="G53" i="5"/>
  <c r="D53" i="5"/>
  <c r="B53" i="12" s="1"/>
  <c r="H53" i="5"/>
  <c r="C54" i="5"/>
  <c r="AU19" i="6"/>
  <c r="A52" i="6"/>
  <c r="N52" i="6" s="1"/>
  <c r="BF19" i="6" a="1"/>
  <c r="BF19" i="6" s="1"/>
  <c r="L54" i="6"/>
  <c r="B53" i="6"/>
  <c r="N51" i="6"/>
  <c r="M47" i="6"/>
  <c r="M49" i="6"/>
  <c r="M48" i="6"/>
  <c r="M42" i="6"/>
  <c r="M43" i="6"/>
  <c r="M44" i="6"/>
  <c r="M38" i="6"/>
  <c r="M39" i="6"/>
  <c r="M33" i="6"/>
  <c r="M37" i="6"/>
  <c r="M34" i="6"/>
  <c r="M36" i="6"/>
  <c r="M35" i="6"/>
  <c r="M30" i="6"/>
  <c r="M27" i="6"/>
  <c r="M28" i="6"/>
  <c r="M29" i="6"/>
  <c r="E116" i="12"/>
  <c r="M50" i="6"/>
  <c r="M51" i="6"/>
  <c r="M40" i="6"/>
  <c r="M41" i="6"/>
  <c r="M46" i="6"/>
  <c r="AZ46" i="6" s="1" a="1"/>
  <c r="AZ46" i="6" s="1"/>
  <c r="M45" i="6"/>
  <c r="AR45" i="6" s="1"/>
  <c r="M32" i="6"/>
  <c r="AY32" i="6" s="1" a="1"/>
  <c r="AY32" i="6" s="1"/>
  <c r="BA26" i="6" a="1"/>
  <c r="BA26" i="6" s="1"/>
  <c r="AU26" i="6"/>
  <c r="BD26" i="6" a="1"/>
  <c r="BD26" i="6" s="1"/>
  <c r="AP26" i="6"/>
  <c r="AN26" i="6"/>
  <c r="BC26" i="6" a="1"/>
  <c r="BC26" i="6" s="1"/>
  <c r="AQ26" i="6"/>
  <c r="AX26" i="6" a="1"/>
  <c r="AX26" i="6" s="1"/>
  <c r="AS26" i="6"/>
  <c r="BB26" i="6" a="1"/>
  <c r="BB26" i="6" s="1"/>
  <c r="AY26" i="6" a="1"/>
  <c r="AY26" i="6" s="1"/>
  <c r="AZ26" i="6" a="1"/>
  <c r="AZ26" i="6" s="1"/>
  <c r="AM26" i="6"/>
  <c r="BF26" i="6" a="1"/>
  <c r="BF26" i="6" s="1"/>
  <c r="BE26" i="6" a="1"/>
  <c r="BE26" i="6" s="1"/>
  <c r="AT26" i="6"/>
  <c r="AO26" i="6"/>
  <c r="AR26" i="6"/>
  <c r="BE31" i="6" a="1"/>
  <c r="BE31" i="6" s="1"/>
  <c r="AN31" i="6"/>
  <c r="BF31" i="6" a="1"/>
  <c r="BF31" i="6" s="1"/>
  <c r="BD31" i="6" a="1"/>
  <c r="BD31" i="6" s="1"/>
  <c r="AU31" i="6"/>
  <c r="AX31" i="6" a="1"/>
  <c r="AX31" i="6" s="1"/>
  <c r="BC31" i="6" a="1"/>
  <c r="BC31" i="6" s="1"/>
  <c r="AY31" i="6" a="1"/>
  <c r="AY31" i="6" s="1"/>
  <c r="AR31" i="6"/>
  <c r="BB31" i="6" a="1"/>
  <c r="BB31" i="6" s="1"/>
  <c r="BA31" i="6" a="1"/>
  <c r="BA31" i="6" s="1"/>
  <c r="AT31" i="6"/>
  <c r="AS31" i="6"/>
  <c r="AQ31" i="6"/>
  <c r="AO31" i="6"/>
  <c r="AM31" i="6"/>
  <c r="AZ31" i="6" a="1"/>
  <c r="AZ31" i="6" s="1"/>
  <c r="AP31" i="6"/>
  <c r="AU18" i="6"/>
  <c r="AU25" i="6"/>
  <c r="AU22" i="6"/>
  <c r="AU20" i="6"/>
  <c r="AU24" i="6"/>
  <c r="AU21" i="6"/>
  <c r="AU23" i="6"/>
  <c r="BF18" i="6" a="1"/>
  <c r="BF18" i="6" s="1"/>
  <c r="BF25" i="6" a="1"/>
  <c r="BF25" i="6" s="1"/>
  <c r="BF23" i="6" a="1"/>
  <c r="BF23" i="6" s="1"/>
  <c r="BF20" i="6" a="1"/>
  <c r="BF20" i="6" s="1"/>
  <c r="BF22" i="6" a="1"/>
  <c r="BF22" i="6" s="1"/>
  <c r="BF21" i="6" a="1"/>
  <c r="BF21" i="6" s="1"/>
  <c r="BF24" i="6" a="1"/>
  <c r="BF24" i="6" s="1"/>
  <c r="AJ16" i="6"/>
  <c r="AJ17" i="6"/>
  <c r="B22" i="9"/>
  <c r="P12" i="9"/>
  <c r="AA69" i="10"/>
  <c r="AA74" i="10" s="1"/>
  <c r="BF12" i="6"/>
  <c r="AU12" i="6"/>
  <c r="AK13" i="6"/>
  <c r="BG13" i="6"/>
  <c r="AE12" i="8"/>
  <c r="AK13" i="12"/>
  <c r="AV13" i="6"/>
  <c r="Q12" i="10"/>
  <c r="Q11" i="10" s="1" a="1"/>
  <c r="Q11" i="10" s="1"/>
  <c r="A53" i="6" l="1"/>
  <c r="N53" i="6" s="1"/>
  <c r="M52" i="6"/>
  <c r="AY52" i="6" s="1" a="1"/>
  <c r="AY52" i="6" s="1"/>
  <c r="A54" i="12"/>
  <c r="H54" i="5"/>
  <c r="N54" i="5"/>
  <c r="D54" i="6" s="1"/>
  <c r="AE54" i="5" a="1"/>
  <c r="AE54" i="5" s="1"/>
  <c r="E54" i="5"/>
  <c r="B54" i="5"/>
  <c r="C55" i="5" s="1"/>
  <c r="K54" i="5"/>
  <c r="AD54" i="5"/>
  <c r="G54" i="5"/>
  <c r="D54" i="5"/>
  <c r="B54" i="12" s="1"/>
  <c r="J54" i="5"/>
  <c r="F54" i="5"/>
  <c r="BG19" i="6" a="1"/>
  <c r="BG19" i="6" s="1"/>
  <c r="AV19" i="6"/>
  <c r="B54" i="6"/>
  <c r="L55" i="6"/>
  <c r="AN48" i="6"/>
  <c r="AU48" i="6"/>
  <c r="AM48" i="6"/>
  <c r="BG48" i="6" a="1"/>
  <c r="BG48" i="6" s="1"/>
  <c r="AO48" i="6"/>
  <c r="AT48" i="6"/>
  <c r="AS48" i="6"/>
  <c r="AQ48" i="6"/>
  <c r="AP48" i="6"/>
  <c r="BE48" i="6" a="1"/>
  <c r="BE48" i="6" s="1"/>
  <c r="AR48" i="6"/>
  <c r="BC48" i="6" a="1"/>
  <c r="BC48" i="6" s="1"/>
  <c r="AY48" i="6" a="1"/>
  <c r="AY48" i="6" s="1"/>
  <c r="AZ48" i="6" a="1"/>
  <c r="AZ48" i="6" s="1"/>
  <c r="BF48" i="6" a="1"/>
  <c r="BF48" i="6" s="1"/>
  <c r="AX48" i="6" a="1"/>
  <c r="AX48" i="6" s="1"/>
  <c r="BB48" i="6" a="1"/>
  <c r="BB48" i="6" s="1"/>
  <c r="BA48" i="6" a="1"/>
  <c r="BA48" i="6" s="1"/>
  <c r="BD48" i="6" a="1"/>
  <c r="BD48" i="6" s="1"/>
  <c r="AV48" i="6"/>
  <c r="BF47" i="6" a="1"/>
  <c r="BF47" i="6" s="1"/>
  <c r="AU47" i="6"/>
  <c r="AY47" i="6" a="1"/>
  <c r="AY47" i="6" s="1"/>
  <c r="AX47" i="6" a="1"/>
  <c r="AX47" i="6" s="1"/>
  <c r="AV47" i="6"/>
  <c r="BC47" i="6" a="1"/>
  <c r="BC47" i="6" s="1"/>
  <c r="AP47" i="6"/>
  <c r="AT47" i="6"/>
  <c r="AM47" i="6"/>
  <c r="BE47" i="6" a="1"/>
  <c r="BE47" i="6" s="1"/>
  <c r="AZ47" i="6" a="1"/>
  <c r="AZ47" i="6" s="1"/>
  <c r="BD47" i="6" a="1"/>
  <c r="BD47" i="6" s="1"/>
  <c r="BG47" i="6" a="1"/>
  <c r="BG47" i="6" s="1"/>
  <c r="AN47" i="6"/>
  <c r="AR47" i="6"/>
  <c r="BA47" i="6" a="1"/>
  <c r="BA47" i="6" s="1"/>
  <c r="AO47" i="6"/>
  <c r="AQ47" i="6"/>
  <c r="BB47" i="6" a="1"/>
  <c r="BB47" i="6" s="1"/>
  <c r="AS47" i="6"/>
  <c r="BC49" i="6" a="1"/>
  <c r="BC49" i="6" s="1"/>
  <c r="AP49" i="6"/>
  <c r="AY49" i="6" a="1"/>
  <c r="AY49" i="6" s="1"/>
  <c r="BE49" i="6" a="1"/>
  <c r="BE49" i="6" s="1"/>
  <c r="AN49" i="6"/>
  <c r="AZ49" i="6" a="1"/>
  <c r="AZ49" i="6" s="1"/>
  <c r="AT49" i="6"/>
  <c r="BF49" i="6" a="1"/>
  <c r="BF49" i="6" s="1"/>
  <c r="BB49" i="6" a="1"/>
  <c r="BB49" i="6" s="1"/>
  <c r="AX49" i="6" a="1"/>
  <c r="AX49" i="6" s="1"/>
  <c r="AV49" i="6"/>
  <c r="BA49" i="6" a="1"/>
  <c r="BA49" i="6" s="1"/>
  <c r="AQ49" i="6"/>
  <c r="AS49" i="6"/>
  <c r="AO49" i="6"/>
  <c r="BD49" i="6" a="1"/>
  <c r="BD49" i="6" s="1"/>
  <c r="BG49" i="6" a="1"/>
  <c r="BG49" i="6" s="1"/>
  <c r="AR49" i="6"/>
  <c r="AM49" i="6"/>
  <c r="AU49" i="6"/>
  <c r="AQ44" i="6"/>
  <c r="BC44" i="6" a="1"/>
  <c r="BC44" i="6" s="1"/>
  <c r="AZ44" i="6" a="1"/>
  <c r="AZ44" i="6" s="1"/>
  <c r="BG44" i="6" a="1"/>
  <c r="BG44" i="6" s="1"/>
  <c r="AY44" i="6" a="1"/>
  <c r="AY44" i="6" s="1"/>
  <c r="AV44" i="6"/>
  <c r="BE44" i="6" a="1"/>
  <c r="BE44" i="6" s="1"/>
  <c r="AX44" i="6" a="1"/>
  <c r="AX44" i="6" s="1"/>
  <c r="AU44" i="6"/>
  <c r="AT44" i="6"/>
  <c r="AO44" i="6"/>
  <c r="AS44" i="6"/>
  <c r="AM44" i="6"/>
  <c r="AR44" i="6"/>
  <c r="BB44" i="6" a="1"/>
  <c r="BB44" i="6" s="1"/>
  <c r="BD44" i="6" a="1"/>
  <c r="BD44" i="6" s="1"/>
  <c r="AP44" i="6"/>
  <c r="BF44" i="6" a="1"/>
  <c r="BF44" i="6" s="1"/>
  <c r="AN44" i="6"/>
  <c r="BA44" i="6" a="1"/>
  <c r="BA44" i="6" s="1"/>
  <c r="AO43" i="6"/>
  <c r="AN43" i="6"/>
  <c r="AR43" i="6"/>
  <c r="BG43" i="6" a="1"/>
  <c r="BG43" i="6" s="1"/>
  <c r="BF43" i="6" a="1"/>
  <c r="BF43" i="6" s="1"/>
  <c r="AY43" i="6" a="1"/>
  <c r="AY43" i="6" s="1"/>
  <c r="AV43" i="6"/>
  <c r="AT43" i="6"/>
  <c r="AM43" i="6"/>
  <c r="BA43" i="6" a="1"/>
  <c r="BA43" i="6" s="1"/>
  <c r="AZ43" i="6" a="1"/>
  <c r="AZ43" i="6" s="1"/>
  <c r="BD43" i="6" a="1"/>
  <c r="BD43" i="6" s="1"/>
  <c r="AU43" i="6"/>
  <c r="AS43" i="6"/>
  <c r="BC43" i="6" a="1"/>
  <c r="BC43" i="6" s="1"/>
  <c r="BE43" i="6" a="1"/>
  <c r="BE43" i="6" s="1"/>
  <c r="AQ43" i="6"/>
  <c r="BB43" i="6" a="1"/>
  <c r="BB43" i="6" s="1"/>
  <c r="AP43" i="6"/>
  <c r="AX43" i="6" a="1"/>
  <c r="AX43" i="6" s="1"/>
  <c r="BG42" i="6" a="1"/>
  <c r="BG42" i="6" s="1"/>
  <c r="AO42" i="6"/>
  <c r="AS42" i="6"/>
  <c r="AM42" i="6"/>
  <c r="BD42" i="6" a="1"/>
  <c r="BD42" i="6" s="1"/>
  <c r="AP42" i="6"/>
  <c r="BB42" i="6" a="1"/>
  <c r="BB42" i="6" s="1"/>
  <c r="BE42" i="6" a="1"/>
  <c r="BE42" i="6" s="1"/>
  <c r="AR42" i="6"/>
  <c r="BF42" i="6" a="1"/>
  <c r="BF42" i="6" s="1"/>
  <c r="AY42" i="6" a="1"/>
  <c r="AY42" i="6" s="1"/>
  <c r="AZ42" i="6" a="1"/>
  <c r="AZ42" i="6" s="1"/>
  <c r="BC42" i="6" a="1"/>
  <c r="BC42" i="6" s="1"/>
  <c r="AV42" i="6"/>
  <c r="BA42" i="6" a="1"/>
  <c r="BA42" i="6" s="1"/>
  <c r="AN42" i="6"/>
  <c r="AX42" i="6" a="1"/>
  <c r="AX42" i="6" s="1"/>
  <c r="AQ42" i="6"/>
  <c r="AT42" i="6"/>
  <c r="AU42" i="6"/>
  <c r="AR39" i="6"/>
  <c r="AO39" i="6"/>
  <c r="AS39" i="6"/>
  <c r="BE39" i="6" a="1"/>
  <c r="BE39" i="6" s="1"/>
  <c r="AM39" i="6"/>
  <c r="AP39" i="6"/>
  <c r="BA39" i="6" a="1"/>
  <c r="BA39" i="6" s="1"/>
  <c r="AT39" i="6"/>
  <c r="AX39" i="6" a="1"/>
  <c r="AX39" i="6" s="1"/>
  <c r="AQ39" i="6"/>
  <c r="AN39" i="6"/>
  <c r="BC39" i="6" a="1"/>
  <c r="BC39" i="6" s="1"/>
  <c r="BG39" i="6" a="1"/>
  <c r="BG39" i="6" s="1"/>
  <c r="AU39" i="6"/>
  <c r="AV39" i="6"/>
  <c r="BD39" i="6" a="1"/>
  <c r="BD39" i="6" s="1"/>
  <c r="BB39" i="6" a="1"/>
  <c r="BB39" i="6" s="1"/>
  <c r="AZ39" i="6" a="1"/>
  <c r="AZ39" i="6" s="1"/>
  <c r="AY39" i="6" a="1"/>
  <c r="AY39" i="6" s="1"/>
  <c r="BF39" i="6" a="1"/>
  <c r="BF39" i="6" s="1"/>
  <c r="BD38" i="6" a="1"/>
  <c r="BD38" i="6" s="1"/>
  <c r="AM38" i="6"/>
  <c r="AZ38" i="6" a="1"/>
  <c r="AZ38" i="6" s="1"/>
  <c r="AO38" i="6"/>
  <c r="AX38" i="6" a="1"/>
  <c r="AX38" i="6" s="1"/>
  <c r="AU38" i="6"/>
  <c r="AQ38" i="6"/>
  <c r="BA38" i="6" a="1"/>
  <c r="BA38" i="6" s="1"/>
  <c r="AN38" i="6"/>
  <c r="BC38" i="6" a="1"/>
  <c r="BC38" i="6" s="1"/>
  <c r="AR38" i="6"/>
  <c r="BF38" i="6" a="1"/>
  <c r="BF38" i="6" s="1"/>
  <c r="BE38" i="6" a="1"/>
  <c r="BE38" i="6" s="1"/>
  <c r="AS38" i="6"/>
  <c r="AP38" i="6"/>
  <c r="AY38" i="6" a="1"/>
  <c r="AY38" i="6" s="1"/>
  <c r="BB38" i="6" a="1"/>
  <c r="BB38" i="6" s="1"/>
  <c r="AV38" i="6"/>
  <c r="AT38" i="6"/>
  <c r="BG38" i="6" a="1"/>
  <c r="BG38" i="6" s="1"/>
  <c r="AX36" i="6" a="1"/>
  <c r="AX36" i="6" s="1"/>
  <c r="AS36" i="6"/>
  <c r="AO36" i="6"/>
  <c r="AN36" i="6"/>
  <c r="AY36" i="6" a="1"/>
  <c r="AY36" i="6" s="1"/>
  <c r="AV36" i="6"/>
  <c r="AQ36" i="6"/>
  <c r="AT36" i="6"/>
  <c r="BF36" i="6" a="1"/>
  <c r="BF36" i="6" s="1"/>
  <c r="BD36" i="6" a="1"/>
  <c r="BD36" i="6" s="1"/>
  <c r="BA36" i="6" a="1"/>
  <c r="BA36" i="6" s="1"/>
  <c r="BG36" i="6" a="1"/>
  <c r="BG36" i="6" s="1"/>
  <c r="AR36" i="6"/>
  <c r="AP36" i="6"/>
  <c r="BC36" i="6" a="1"/>
  <c r="BC36" i="6" s="1"/>
  <c r="AU36" i="6"/>
  <c r="BE36" i="6" a="1"/>
  <c r="BE36" i="6" s="1"/>
  <c r="BB36" i="6" a="1"/>
  <c r="BB36" i="6" s="1"/>
  <c r="AM36" i="6"/>
  <c r="AZ36" i="6" a="1"/>
  <c r="AZ36" i="6" s="1"/>
  <c r="BD35" i="6" a="1"/>
  <c r="BD35" i="6" s="1"/>
  <c r="AP35" i="6"/>
  <c r="AZ35" i="6" a="1"/>
  <c r="AZ35" i="6" s="1"/>
  <c r="AR35" i="6"/>
  <c r="AO35" i="6"/>
  <c r="BG35" i="6" a="1"/>
  <c r="BG35" i="6" s="1"/>
  <c r="BA35" i="6" a="1"/>
  <c r="BA35" i="6" s="1"/>
  <c r="BC35" i="6" a="1"/>
  <c r="BC35" i="6" s="1"/>
  <c r="AY35" i="6" a="1"/>
  <c r="AY35" i="6" s="1"/>
  <c r="AX35" i="6" a="1"/>
  <c r="AX35" i="6" s="1"/>
  <c r="AU35" i="6"/>
  <c r="AS35" i="6"/>
  <c r="AN35" i="6"/>
  <c r="BF35" i="6" a="1"/>
  <c r="BF35" i="6" s="1"/>
  <c r="AM35" i="6"/>
  <c r="BE35" i="6" a="1"/>
  <c r="BE35" i="6" s="1"/>
  <c r="BB35" i="6" a="1"/>
  <c r="BB35" i="6" s="1"/>
  <c r="AQ35" i="6"/>
  <c r="AV35" i="6"/>
  <c r="AT35" i="6"/>
  <c r="AU33" i="6"/>
  <c r="AZ33" i="6" a="1"/>
  <c r="AZ33" i="6" s="1"/>
  <c r="AP33" i="6"/>
  <c r="AX33" i="6" a="1"/>
  <c r="AX33" i="6" s="1"/>
  <c r="BF33" i="6" a="1"/>
  <c r="BF33" i="6" s="1"/>
  <c r="BE33" i="6" a="1"/>
  <c r="BE33" i="6" s="1"/>
  <c r="AV33" i="6"/>
  <c r="BC33" i="6" a="1"/>
  <c r="BC33" i="6" s="1"/>
  <c r="BB33" i="6" a="1"/>
  <c r="BB33" i="6" s="1"/>
  <c r="AO33" i="6"/>
  <c r="AN33" i="6"/>
  <c r="AM33" i="6"/>
  <c r="BG33" i="6" a="1"/>
  <c r="BG33" i="6" s="1"/>
  <c r="BA33" i="6" a="1"/>
  <c r="BA33" i="6" s="1"/>
  <c r="AQ33" i="6"/>
  <c r="AY33" i="6" a="1"/>
  <c r="AY33" i="6" s="1"/>
  <c r="BD33" i="6" a="1"/>
  <c r="BD33" i="6" s="1"/>
  <c r="AT33" i="6"/>
  <c r="AS33" i="6"/>
  <c r="AR33" i="6"/>
  <c r="AR34" i="6"/>
  <c r="BA34" i="6" a="1"/>
  <c r="BA34" i="6" s="1"/>
  <c r="AM34" i="6"/>
  <c r="AT34" i="6"/>
  <c r="AO34" i="6"/>
  <c r="AQ34" i="6"/>
  <c r="AP34" i="6"/>
  <c r="BF34" i="6" a="1"/>
  <c r="BF34" i="6" s="1"/>
  <c r="AZ34" i="6" a="1"/>
  <c r="AZ34" i="6" s="1"/>
  <c r="AS34" i="6"/>
  <c r="BE34" i="6" a="1"/>
  <c r="BE34" i="6" s="1"/>
  <c r="AX34" i="6" a="1"/>
  <c r="AX34" i="6" s="1"/>
  <c r="BG34" i="6" a="1"/>
  <c r="BG34" i="6" s="1"/>
  <c r="AN34" i="6"/>
  <c r="BD34" i="6" a="1"/>
  <c r="BD34" i="6" s="1"/>
  <c r="BC34" i="6" a="1"/>
  <c r="BC34" i="6" s="1"/>
  <c r="BB34" i="6" a="1"/>
  <c r="BB34" i="6" s="1"/>
  <c r="AV34" i="6"/>
  <c r="AU34" i="6"/>
  <c r="AY34" i="6" a="1"/>
  <c r="AY34" i="6" s="1"/>
  <c r="BD37" i="6" a="1"/>
  <c r="BD37" i="6" s="1"/>
  <c r="AZ37" i="6" a="1"/>
  <c r="AZ37" i="6" s="1"/>
  <c r="AY37" i="6" a="1"/>
  <c r="AY37" i="6" s="1"/>
  <c r="BG37" i="6" a="1"/>
  <c r="BG37" i="6" s="1"/>
  <c r="AM37" i="6"/>
  <c r="BE37" i="6" a="1"/>
  <c r="BE37" i="6" s="1"/>
  <c r="AP37" i="6"/>
  <c r="BB37" i="6" a="1"/>
  <c r="BB37" i="6" s="1"/>
  <c r="BA37" i="6" a="1"/>
  <c r="BA37" i="6" s="1"/>
  <c r="AR37" i="6"/>
  <c r="AU37" i="6"/>
  <c r="AO37" i="6"/>
  <c r="AT37" i="6"/>
  <c r="AQ37" i="6"/>
  <c r="BF37" i="6" a="1"/>
  <c r="BF37" i="6" s="1"/>
  <c r="AS37" i="6"/>
  <c r="BC37" i="6" a="1"/>
  <c r="BC37" i="6" s="1"/>
  <c r="AN37" i="6"/>
  <c r="AV37" i="6"/>
  <c r="AX37" i="6" a="1"/>
  <c r="AX37" i="6" s="1"/>
  <c r="AX29" i="6" a="1"/>
  <c r="AX29" i="6" s="1"/>
  <c r="AM29" i="6"/>
  <c r="AP29" i="6"/>
  <c r="BE29" i="6" a="1"/>
  <c r="BE29" i="6" s="1"/>
  <c r="BC29" i="6" a="1"/>
  <c r="BC29" i="6" s="1"/>
  <c r="BF29" i="6" a="1"/>
  <c r="BF29" i="6" s="1"/>
  <c r="BB29" i="6" a="1"/>
  <c r="BB29" i="6" s="1"/>
  <c r="AU29" i="6"/>
  <c r="AR29" i="6"/>
  <c r="AZ29" i="6" a="1"/>
  <c r="AZ29" i="6" s="1"/>
  <c r="BD29" i="6" a="1"/>
  <c r="BD29" i="6" s="1"/>
  <c r="AV29" i="6"/>
  <c r="AS29" i="6"/>
  <c r="BA29" i="6" a="1"/>
  <c r="BA29" i="6" s="1"/>
  <c r="AO29" i="6"/>
  <c r="BG29" i="6" a="1"/>
  <c r="BG29" i="6" s="1"/>
  <c r="AN29" i="6"/>
  <c r="AY29" i="6" a="1"/>
  <c r="AY29" i="6" s="1"/>
  <c r="AQ29" i="6"/>
  <c r="AT29" i="6"/>
  <c r="AX27" i="6" a="1"/>
  <c r="AX27" i="6" s="1"/>
  <c r="AV27" i="6"/>
  <c r="BC27" i="6" a="1"/>
  <c r="BC27" i="6" s="1"/>
  <c r="AR27" i="6"/>
  <c r="AQ27" i="6"/>
  <c r="BB27" i="6" a="1"/>
  <c r="BB27" i="6" s="1"/>
  <c r="AP27" i="6"/>
  <c r="AM27" i="6"/>
  <c r="BD27" i="6" a="1"/>
  <c r="BD27" i="6" s="1"/>
  <c r="BG27" i="6" a="1"/>
  <c r="BG27" i="6" s="1"/>
  <c r="AZ27" i="6" a="1"/>
  <c r="AZ27" i="6" s="1"/>
  <c r="AU27" i="6"/>
  <c r="AY27" i="6" a="1"/>
  <c r="AY27" i="6" s="1"/>
  <c r="AO27" i="6"/>
  <c r="BE27" i="6" a="1"/>
  <c r="BE27" i="6" s="1"/>
  <c r="AT27" i="6"/>
  <c r="BA27" i="6" a="1"/>
  <c r="BA27" i="6" s="1"/>
  <c r="AS27" i="6"/>
  <c r="BF27" i="6" a="1"/>
  <c r="BF27" i="6" s="1"/>
  <c r="AN27" i="6"/>
  <c r="BD28" i="6" a="1"/>
  <c r="BD28" i="6" s="1"/>
  <c r="AT28" i="6"/>
  <c r="AV28" i="6"/>
  <c r="AO28" i="6"/>
  <c r="AN28" i="6"/>
  <c r="BB28" i="6" a="1"/>
  <c r="BB28" i="6" s="1"/>
  <c r="AY28" i="6" a="1"/>
  <c r="AY28" i="6" s="1"/>
  <c r="AX28" i="6" a="1"/>
  <c r="AX28" i="6" s="1"/>
  <c r="AQ28" i="6"/>
  <c r="AZ28" i="6" a="1"/>
  <c r="AZ28" i="6" s="1"/>
  <c r="BF28" i="6" a="1"/>
  <c r="BF28" i="6" s="1"/>
  <c r="BE28" i="6" a="1"/>
  <c r="BE28" i="6" s="1"/>
  <c r="BC28" i="6" a="1"/>
  <c r="BC28" i="6" s="1"/>
  <c r="AM28" i="6"/>
  <c r="AU28" i="6"/>
  <c r="BA28" i="6" a="1"/>
  <c r="BA28" i="6" s="1"/>
  <c r="AR28" i="6"/>
  <c r="AP28" i="6"/>
  <c r="BG28" i="6" a="1"/>
  <c r="BG28" i="6" s="1"/>
  <c r="AS28" i="6"/>
  <c r="AZ30" i="6" a="1"/>
  <c r="AZ30" i="6" s="1"/>
  <c r="BB30" i="6" a="1"/>
  <c r="BB30" i="6" s="1"/>
  <c r="BD30" i="6" a="1"/>
  <c r="BD30" i="6" s="1"/>
  <c r="BC30" i="6" a="1"/>
  <c r="BC30" i="6" s="1"/>
  <c r="AU30" i="6"/>
  <c r="BG30" i="6" a="1"/>
  <c r="BG30" i="6" s="1"/>
  <c r="BF30" i="6" a="1"/>
  <c r="BF30" i="6" s="1"/>
  <c r="AP30" i="6"/>
  <c r="AN30" i="6"/>
  <c r="AT30" i="6"/>
  <c r="AM30" i="6"/>
  <c r="AS30" i="6"/>
  <c r="AQ30" i="6"/>
  <c r="BE30" i="6" a="1"/>
  <c r="BE30" i="6" s="1"/>
  <c r="AY30" i="6" a="1"/>
  <c r="AY30" i="6" s="1"/>
  <c r="BA30" i="6" a="1"/>
  <c r="BA30" i="6" s="1"/>
  <c r="AX30" i="6" a="1"/>
  <c r="AX30" i="6" s="1"/>
  <c r="AO30" i="6"/>
  <c r="AR30" i="6"/>
  <c r="AV30" i="6"/>
  <c r="AM51" i="6"/>
  <c r="AO51" i="6"/>
  <c r="AP51" i="6"/>
  <c r="BB51" i="6" a="1"/>
  <c r="BB51" i="6" s="1"/>
  <c r="BA51" i="6" a="1"/>
  <c r="BA51" i="6" s="1"/>
  <c r="AU51" i="6"/>
  <c r="AS51" i="6"/>
  <c r="AR51" i="6"/>
  <c r="AQ51" i="6"/>
  <c r="BD51" i="6" a="1"/>
  <c r="BD51" i="6" s="1"/>
  <c r="BC51" i="6" a="1"/>
  <c r="BC51" i="6" s="1"/>
  <c r="AT51" i="6"/>
  <c r="BF51" i="6" a="1"/>
  <c r="BF51" i="6" s="1"/>
  <c r="AN51" i="6"/>
  <c r="AV51" i="6"/>
  <c r="BG51" i="6" a="1"/>
  <c r="BG51" i="6" s="1"/>
  <c r="AX51" i="6" a="1"/>
  <c r="AX51" i="6" s="1"/>
  <c r="AZ51" i="6" a="1"/>
  <c r="AZ51" i="6" s="1"/>
  <c r="AY51" i="6" a="1"/>
  <c r="AY51" i="6" s="1"/>
  <c r="BE51" i="6" a="1"/>
  <c r="BE51" i="6" s="1"/>
  <c r="AV50" i="6"/>
  <c r="AM50" i="6"/>
  <c r="AT50" i="6"/>
  <c r="AQ50" i="6"/>
  <c r="BF50" i="6" a="1"/>
  <c r="BF50" i="6" s="1"/>
  <c r="AO50" i="6"/>
  <c r="BB50" i="6" a="1"/>
  <c r="BB50" i="6" s="1"/>
  <c r="BE50" i="6" a="1"/>
  <c r="BE50" i="6" s="1"/>
  <c r="BA50" i="6" a="1"/>
  <c r="BA50" i="6" s="1"/>
  <c r="AZ50" i="6" a="1"/>
  <c r="AZ50" i="6" s="1"/>
  <c r="AS50" i="6"/>
  <c r="AX50" i="6" a="1"/>
  <c r="AX50" i="6" s="1"/>
  <c r="AR50" i="6"/>
  <c r="AP50" i="6"/>
  <c r="AY50" i="6" a="1"/>
  <c r="AY50" i="6" s="1"/>
  <c r="BD50" i="6" a="1"/>
  <c r="BD50" i="6" s="1"/>
  <c r="AN50" i="6"/>
  <c r="BG50" i="6" a="1"/>
  <c r="BG50" i="6" s="1"/>
  <c r="AU50" i="6"/>
  <c r="BC50" i="6" a="1"/>
  <c r="BC50" i="6" s="1"/>
  <c r="AP41" i="6"/>
  <c r="BD41" i="6" a="1"/>
  <c r="BD41" i="6" s="1"/>
  <c r="AO41" i="6"/>
  <c r="BB41" i="6" a="1"/>
  <c r="BB41" i="6" s="1"/>
  <c r="AT41" i="6"/>
  <c r="AX41" i="6" a="1"/>
  <c r="AX41" i="6" s="1"/>
  <c r="AR41" i="6"/>
  <c r="AN41" i="6"/>
  <c r="AS41" i="6"/>
  <c r="BA41" i="6" a="1"/>
  <c r="BA41" i="6" s="1"/>
  <c r="AZ41" i="6" a="1"/>
  <c r="AZ41" i="6" s="1"/>
  <c r="AY41" i="6" a="1"/>
  <c r="AY41" i="6" s="1"/>
  <c r="BE41" i="6" a="1"/>
  <c r="BE41" i="6" s="1"/>
  <c r="BC41" i="6" a="1"/>
  <c r="BC41" i="6" s="1"/>
  <c r="AM41" i="6"/>
  <c r="AQ41" i="6"/>
  <c r="AV41" i="6"/>
  <c r="BG41" i="6" a="1"/>
  <c r="BG41" i="6" s="1"/>
  <c r="AU41" i="6"/>
  <c r="BF41" i="6" a="1"/>
  <c r="BF41" i="6" s="1"/>
  <c r="AR40" i="6"/>
  <c r="AY40" i="6" a="1"/>
  <c r="AY40" i="6" s="1"/>
  <c r="AM40" i="6"/>
  <c r="BB40" i="6" a="1"/>
  <c r="BB40" i="6" s="1"/>
  <c r="AU40" i="6"/>
  <c r="BE40" i="6" a="1"/>
  <c r="BE40" i="6" s="1"/>
  <c r="AX40" i="6" a="1"/>
  <c r="AX40" i="6" s="1"/>
  <c r="BF40" i="6" a="1"/>
  <c r="BF40" i="6" s="1"/>
  <c r="AZ40" i="6" a="1"/>
  <c r="AZ40" i="6" s="1"/>
  <c r="AS40" i="6"/>
  <c r="AQ40" i="6"/>
  <c r="AV40" i="6"/>
  <c r="AT40" i="6"/>
  <c r="BA40" i="6" a="1"/>
  <c r="BA40" i="6" s="1"/>
  <c r="BG40" i="6" a="1"/>
  <c r="BG40" i="6" s="1"/>
  <c r="AP40" i="6"/>
  <c r="BD40" i="6" a="1"/>
  <c r="BD40" i="6" s="1"/>
  <c r="AO40" i="6"/>
  <c r="AN40" i="6"/>
  <c r="BC40" i="6" a="1"/>
  <c r="BC40" i="6" s="1"/>
  <c r="AS45" i="6"/>
  <c r="BF46" i="6" a="1"/>
  <c r="BF46" i="6" s="1"/>
  <c r="AM46" i="6"/>
  <c r="AP46" i="6"/>
  <c r="AN46" i="6"/>
  <c r="BC46" i="6" a="1"/>
  <c r="BC46" i="6" s="1"/>
  <c r="BE45" i="6" a="1"/>
  <c r="BE45" i="6" s="1"/>
  <c r="AZ45" i="6" a="1"/>
  <c r="AZ45" i="6" s="1"/>
  <c r="AO45" i="6"/>
  <c r="BC45" i="6" a="1"/>
  <c r="BC45" i="6" s="1"/>
  <c r="AY45" i="6" a="1"/>
  <c r="AY45" i="6" s="1"/>
  <c r="BA45" i="6" a="1"/>
  <c r="BA45" i="6" s="1"/>
  <c r="AR46" i="6"/>
  <c r="AZ32" i="6" a="1"/>
  <c r="AZ32" i="6" s="1"/>
  <c r="AT46" i="6"/>
  <c r="BF45" i="6" a="1"/>
  <c r="BF45" i="6" s="1"/>
  <c r="AX45" i="6" a="1"/>
  <c r="AX45" i="6" s="1"/>
  <c r="AQ32" i="6"/>
  <c r="AU46" i="6"/>
  <c r="AM45" i="6"/>
  <c r="AY46" i="6" a="1"/>
  <c r="AY46" i="6" s="1"/>
  <c r="BD45" i="6" a="1"/>
  <c r="BD45" i="6" s="1"/>
  <c r="BE46" i="6" a="1"/>
  <c r="BE46" i="6" s="1"/>
  <c r="AT45" i="6"/>
  <c r="AQ45" i="6"/>
  <c r="BD46" i="6" a="1"/>
  <c r="BD46" i="6" s="1"/>
  <c r="BB45" i="6" a="1"/>
  <c r="BB45" i="6" s="1"/>
  <c r="BG46" i="6" a="1"/>
  <c r="BG46" i="6" s="1"/>
  <c r="AN45" i="6"/>
  <c r="AO46" i="6"/>
  <c r="BA46" i="6" a="1"/>
  <c r="BA46" i="6" s="1"/>
  <c r="BB46" i="6" a="1"/>
  <c r="BB46" i="6" s="1"/>
  <c r="AP45" i="6"/>
  <c r="AS46" i="6"/>
  <c r="AU45" i="6"/>
  <c r="AQ46" i="6"/>
  <c r="AM32" i="6"/>
  <c r="AT32" i="6"/>
  <c r="AN32" i="6"/>
  <c r="AO32" i="6"/>
  <c r="AU32" i="6"/>
  <c r="BA32" i="6" a="1"/>
  <c r="BA32" i="6" s="1"/>
  <c r="AR32" i="6"/>
  <c r="BC32" i="6" a="1"/>
  <c r="BC32" i="6" s="1"/>
  <c r="AX32" i="6" a="1"/>
  <c r="AX32" i="6" s="1"/>
  <c r="BF32" i="6" a="1"/>
  <c r="BF32" i="6" s="1"/>
  <c r="AX46" i="6" a="1"/>
  <c r="AX46" i="6" s="1"/>
  <c r="AP32" i="6"/>
  <c r="BB32" i="6" a="1"/>
  <c r="BB32" i="6" s="1"/>
  <c r="BE32" i="6" a="1"/>
  <c r="BE32" i="6" s="1"/>
  <c r="AS32" i="6"/>
  <c r="BD32" i="6" a="1"/>
  <c r="BD32" i="6" s="1"/>
  <c r="BG26" i="6" a="1"/>
  <c r="BG26" i="6" s="1"/>
  <c r="AV31" i="6"/>
  <c r="AV26" i="6"/>
  <c r="BG32" i="6" a="1"/>
  <c r="BG32" i="6" s="1"/>
  <c r="AV46" i="6"/>
  <c r="BG45" i="6" a="1"/>
  <c r="BG45" i="6" s="1"/>
  <c r="AV45" i="6"/>
  <c r="BG31" i="6" a="1"/>
  <c r="BG31" i="6" s="1"/>
  <c r="AV32" i="6"/>
  <c r="AV18" i="6"/>
  <c r="AV25" i="6"/>
  <c r="AV24" i="6"/>
  <c r="AV22" i="6"/>
  <c r="AV20" i="6"/>
  <c r="AV21" i="6"/>
  <c r="AV23" i="6"/>
  <c r="B23" i="9"/>
  <c r="BG18" i="6" a="1"/>
  <c r="BG18" i="6" s="1"/>
  <c r="BG25" i="6" a="1"/>
  <c r="BG25" i="6" s="1"/>
  <c r="BG24" i="6" a="1"/>
  <c r="BG24" i="6" s="1"/>
  <c r="BG20" i="6" a="1"/>
  <c r="BG20" i="6" s="1"/>
  <c r="BG23" i="6" a="1"/>
  <c r="BG23" i="6" s="1"/>
  <c r="BG21" i="6" a="1"/>
  <c r="BG21" i="6" s="1"/>
  <c r="BG22" i="6" a="1"/>
  <c r="BG22" i="6" s="1"/>
  <c r="AK12" i="6"/>
  <c r="Q12" i="9"/>
  <c r="AC69" i="10"/>
  <c r="AC74" i="10" s="1"/>
  <c r="BG12" i="6"/>
  <c r="AV12" i="6"/>
  <c r="AF12" i="8"/>
  <c r="AL13" i="12"/>
  <c r="R12" i="10"/>
  <c r="R11" i="10" s="1" a="1"/>
  <c r="R11" i="10" s="1"/>
  <c r="AN52" i="6" l="1"/>
  <c r="AO52" i="6"/>
  <c r="BG52" i="6" a="1"/>
  <c r="BG52" i="6" s="1"/>
  <c r="AM52" i="6"/>
  <c r="BB52" i="6" a="1"/>
  <c r="BB52" i="6" s="1"/>
  <c r="BC52" i="6" a="1"/>
  <c r="BC52" i="6" s="1"/>
  <c r="AX52" i="6" a="1"/>
  <c r="AX52" i="6" s="1"/>
  <c r="BF52" i="6" a="1"/>
  <c r="BF52" i="6" s="1"/>
  <c r="AS52" i="6"/>
  <c r="AT52" i="6"/>
  <c r="AQ52" i="6"/>
  <c r="AU52" i="6"/>
  <c r="BD52" i="6" a="1"/>
  <c r="BD52" i="6" s="1"/>
  <c r="AZ52" i="6" a="1"/>
  <c r="AZ52" i="6" s="1"/>
  <c r="BA52" i="6" a="1"/>
  <c r="BA52" i="6" s="1"/>
  <c r="BE52" i="6" a="1"/>
  <c r="BE52" i="6" s="1"/>
  <c r="AV52" i="6"/>
  <c r="M53" i="6"/>
  <c r="BC53" i="6" s="1" a="1"/>
  <c r="BC53" i="6" s="1"/>
  <c r="AR52" i="6"/>
  <c r="AP52" i="6"/>
  <c r="L56" i="6"/>
  <c r="F55" i="6"/>
  <c r="B55" i="6"/>
  <c r="A54" i="6"/>
  <c r="N54" i="6" s="1"/>
  <c r="B55" i="5"/>
  <c r="AF55" i="5" a="1"/>
  <c r="AF55" i="5" s="1"/>
  <c r="H55" i="5"/>
  <c r="AD55" i="5"/>
  <c r="AE55" i="5" a="1"/>
  <c r="AE55" i="5" s="1"/>
  <c r="E55" i="5"/>
  <c r="G55" i="5"/>
  <c r="K50" i="5" s="1"/>
  <c r="A55" i="12"/>
  <c r="F55" i="5"/>
  <c r="C56" i="5"/>
  <c r="N55" i="5"/>
  <c r="D55" i="6" s="1"/>
  <c r="W55" i="5" a="1"/>
  <c r="W55" i="5" s="1"/>
  <c r="H55" i="12" s="1" a="1"/>
  <c r="H55" i="12" s="1"/>
  <c r="B24" i="9"/>
  <c r="AK16" i="6"/>
  <c r="AK17" i="6"/>
  <c r="R12" i="9"/>
  <c r="AE69" i="10"/>
  <c r="AE74" i="10" s="1"/>
  <c r="AM13" i="12"/>
  <c r="S12" i="10"/>
  <c r="S11" i="10" s="1" a="1"/>
  <c r="S11" i="10" s="1"/>
  <c r="AT53" i="6" l="1"/>
  <c r="AN53" i="6"/>
  <c r="BD53" i="6" a="1"/>
  <c r="BD53" i="6" s="1"/>
  <c r="AZ53" i="6" a="1"/>
  <c r="AZ53" i="6" s="1"/>
  <c r="AS53" i="6"/>
  <c r="BA53" i="6" a="1"/>
  <c r="BA53" i="6" s="1"/>
  <c r="AO53" i="6"/>
  <c r="BE53" i="6" a="1"/>
  <c r="BE53" i="6" s="1"/>
  <c r="AQ53" i="6"/>
  <c r="AY53" i="6" a="1"/>
  <c r="AY53" i="6" s="1"/>
  <c r="AX53" i="6" a="1"/>
  <c r="AX53" i="6" s="1"/>
  <c r="BG53" i="6" a="1"/>
  <c r="BG53" i="6" s="1"/>
  <c r="AM53" i="6"/>
  <c r="AR53" i="6"/>
  <c r="AP53" i="6"/>
  <c r="BB53" i="6" a="1"/>
  <c r="BB53" i="6" s="1"/>
  <c r="BF53" i="6" a="1"/>
  <c r="BF53" i="6" s="1"/>
  <c r="AU53" i="6"/>
  <c r="AV53" i="6"/>
  <c r="A56" i="12"/>
  <c r="L56" i="12" s="1" a="1"/>
  <c r="L56" i="12" s="1"/>
  <c r="H56" i="5"/>
  <c r="J56" i="5"/>
  <c r="D56" i="5"/>
  <c r="B56" i="12" s="1"/>
  <c r="AD56" i="5"/>
  <c r="C57" i="5"/>
  <c r="K56" i="5"/>
  <c r="B56" i="5"/>
  <c r="AE56" i="5" a="1"/>
  <c r="AE56" i="5" s="1"/>
  <c r="E56" i="5"/>
  <c r="N56" i="5"/>
  <c r="D56" i="6" s="1"/>
  <c r="G56" i="5"/>
  <c r="F56" i="5"/>
  <c r="M54" i="6"/>
  <c r="L19" i="12" a="1"/>
  <c r="L19" i="12" s="1"/>
  <c r="J19" i="12" a="1"/>
  <c r="J19" i="12" s="1"/>
  <c r="N55" i="6"/>
  <c r="G55" i="6"/>
  <c r="M55" i="6"/>
  <c r="AP55" i="6" s="1"/>
  <c r="A55" i="6"/>
  <c r="B56" i="6"/>
  <c r="L57" i="6"/>
  <c r="S55" i="5" a="1"/>
  <c r="S55" i="5" s="1"/>
  <c r="F55" i="12" s="1" a="1"/>
  <c r="F55" i="12" s="1"/>
  <c r="AG55" i="5" a="1"/>
  <c r="AG55" i="5" s="1"/>
  <c r="J54" i="12" a="1"/>
  <c r="J54" i="12" s="1"/>
  <c r="J52" i="12" a="1"/>
  <c r="J52" i="12" s="1"/>
  <c r="L52" i="12" a="1"/>
  <c r="L52" i="12" s="1"/>
  <c r="L54" i="12" a="1"/>
  <c r="L54" i="12" s="1"/>
  <c r="J53" i="12" a="1"/>
  <c r="J53" i="12" s="1"/>
  <c r="L53" i="12" a="1"/>
  <c r="L53" i="12" s="1"/>
  <c r="J49" i="12" a="1"/>
  <c r="J49" i="12" s="1"/>
  <c r="L49" i="12" a="1"/>
  <c r="L49" i="12" s="1"/>
  <c r="L47" i="12" a="1"/>
  <c r="L47" i="12" s="1"/>
  <c r="J48" i="12" a="1"/>
  <c r="J48" i="12" s="1"/>
  <c r="J47" i="12" a="1"/>
  <c r="J47" i="12" s="1"/>
  <c r="L48" i="12" a="1"/>
  <c r="L48" i="12" s="1"/>
  <c r="J42" i="12" a="1"/>
  <c r="J42" i="12" s="1"/>
  <c r="L42" i="12" a="1"/>
  <c r="L42" i="12" s="1"/>
  <c r="J43" i="12" a="1"/>
  <c r="J43" i="12" s="1"/>
  <c r="J44" i="12" a="1"/>
  <c r="J44" i="12" s="1"/>
  <c r="L43" i="12" a="1"/>
  <c r="L43" i="12" s="1"/>
  <c r="L44" i="12" a="1"/>
  <c r="L44" i="12" s="1"/>
  <c r="L39" i="12" a="1"/>
  <c r="L39" i="12" s="1"/>
  <c r="J38" i="12" a="1"/>
  <c r="J38" i="12" s="1"/>
  <c r="L38" i="12" a="1"/>
  <c r="L38" i="12" s="1"/>
  <c r="J39" i="12" a="1"/>
  <c r="J39" i="12" s="1"/>
  <c r="J37" i="12" a="1"/>
  <c r="J37" i="12" s="1"/>
  <c r="L36" i="12" a="1"/>
  <c r="L36" i="12" s="1"/>
  <c r="L33" i="12" a="1"/>
  <c r="L33" i="12" s="1"/>
  <c r="L34" i="12" a="1"/>
  <c r="L34" i="12" s="1"/>
  <c r="J35" i="12" a="1"/>
  <c r="J35" i="12" s="1"/>
  <c r="L37" i="12" a="1"/>
  <c r="L37" i="12" s="1"/>
  <c r="J33" i="12" a="1"/>
  <c r="J33" i="12" s="1"/>
  <c r="J34" i="12" a="1"/>
  <c r="J34" i="12" s="1"/>
  <c r="L35" i="12" a="1"/>
  <c r="L35" i="12" s="1"/>
  <c r="J36" i="12" a="1"/>
  <c r="J36" i="12" s="1"/>
  <c r="L29" i="12" a="1"/>
  <c r="L29" i="12" s="1"/>
  <c r="J28" i="12" a="1"/>
  <c r="J28" i="12" s="1"/>
  <c r="J29" i="12" a="1"/>
  <c r="J29" i="12" s="1"/>
  <c r="L28" i="12" a="1"/>
  <c r="L28" i="12" s="1"/>
  <c r="J27" i="12" a="1"/>
  <c r="J27" i="12" s="1"/>
  <c r="L30" i="12" a="1"/>
  <c r="L30" i="12" s="1"/>
  <c r="J30" i="12" a="1"/>
  <c r="J30" i="12" s="1"/>
  <c r="L27" i="12" a="1"/>
  <c r="L27" i="12" s="1"/>
  <c r="L51" i="12" a="1"/>
  <c r="L51" i="12" s="1"/>
  <c r="J51" i="12" a="1"/>
  <c r="J51" i="12" s="1"/>
  <c r="L41" i="12" a="1"/>
  <c r="L41" i="12" s="1"/>
  <c r="J41" i="12" a="1"/>
  <c r="J41" i="12" s="1"/>
  <c r="J32" i="12" a="1"/>
  <c r="J32" i="12" s="1"/>
  <c r="J26" i="12" a="1"/>
  <c r="J26" i="12" s="1"/>
  <c r="L26" i="12" a="1"/>
  <c r="L26" i="12" s="1"/>
  <c r="L32" i="12" a="1"/>
  <c r="L32" i="12" s="1"/>
  <c r="L18" i="12" a="1"/>
  <c r="L18" i="12" s="1"/>
  <c r="L23" i="12" a="1"/>
  <c r="L23" i="12" s="1"/>
  <c r="J18" i="12" a="1"/>
  <c r="J18" i="12" s="1"/>
  <c r="J23" i="12" a="1"/>
  <c r="J23" i="12" s="1"/>
  <c r="J21" i="12" a="1"/>
  <c r="J21" i="12" s="1"/>
  <c r="L21" i="12" a="1"/>
  <c r="L21" i="12" s="1"/>
  <c r="B25" i="9"/>
  <c r="AO7" i="12" a="1"/>
  <c r="AO7" i="12" s="1"/>
  <c r="L14" i="12" a="1"/>
  <c r="L14" i="12" s="1"/>
  <c r="J14" i="12" a="1"/>
  <c r="J14" i="12" s="1"/>
  <c r="S12" i="9"/>
  <c r="T12" i="10"/>
  <c r="T11" i="10" s="1" a="1"/>
  <c r="T11" i="10" s="1"/>
  <c r="AT55" i="6" l="1"/>
  <c r="BF55" i="6" a="1"/>
  <c r="BF55" i="6" s="1"/>
  <c r="BB55" i="6" a="1"/>
  <c r="BB55" i="6" s="1"/>
  <c r="AN55" i="6"/>
  <c r="J56" i="12" a="1"/>
  <c r="J56" i="12" s="1"/>
  <c r="K56" i="12" s="1"/>
  <c r="AS55" i="6"/>
  <c r="BA55" i="6" a="1"/>
  <c r="BA55" i="6" s="1"/>
  <c r="AQ55" i="6"/>
  <c r="AU55" i="6"/>
  <c r="AO55" i="6"/>
  <c r="AX55" i="6" a="1"/>
  <c r="AX55" i="6" s="1"/>
  <c r="AM55" i="6"/>
  <c r="AR55" i="6"/>
  <c r="AV55" i="6"/>
  <c r="BG55" i="6" a="1"/>
  <c r="BG55" i="6" s="1"/>
  <c r="K19" i="12"/>
  <c r="A56" i="6"/>
  <c r="M56" i="6" s="1"/>
  <c r="AY54" i="6" a="1"/>
  <c r="AY54" i="6" s="1"/>
  <c r="BG54" i="6" a="1"/>
  <c r="BG54" i="6" s="1"/>
  <c r="AM54" i="6"/>
  <c r="AN54" i="6"/>
  <c r="AR54" i="6"/>
  <c r="BA54" i="6" a="1"/>
  <c r="BA54" i="6" s="1"/>
  <c r="AP54" i="6"/>
  <c r="AU54" i="6"/>
  <c r="AO54" i="6"/>
  <c r="AX54" i="6" a="1"/>
  <c r="AX54" i="6" s="1"/>
  <c r="AV54" i="6"/>
  <c r="AZ54" i="6" a="1"/>
  <c r="AZ54" i="6" s="1"/>
  <c r="BB54" i="6" a="1"/>
  <c r="BB54" i="6" s="1"/>
  <c r="BF54" i="6" a="1"/>
  <c r="BF54" i="6" s="1"/>
  <c r="AT54" i="6"/>
  <c r="BE54" i="6" a="1"/>
  <c r="BE54" i="6" s="1"/>
  <c r="BC54" i="6" a="1"/>
  <c r="BC54" i="6" s="1"/>
  <c r="AQ54" i="6"/>
  <c r="BD54" i="6" a="1"/>
  <c r="BD54" i="6" s="1"/>
  <c r="AS54" i="6"/>
  <c r="AZ55" i="6" a="1"/>
  <c r="AZ55" i="6" s="1"/>
  <c r="BD55" i="6" a="1"/>
  <c r="BD55" i="6" s="1"/>
  <c r="C58" i="5"/>
  <c r="AE57" i="5" a="1"/>
  <c r="AE57" i="5" s="1"/>
  <c r="G57" i="5"/>
  <c r="K57" i="5"/>
  <c r="F57" i="5"/>
  <c r="AD57" i="5"/>
  <c r="B57" i="5"/>
  <c r="J57" i="5"/>
  <c r="N57" i="5"/>
  <c r="D57" i="6" s="1"/>
  <c r="D57" i="5"/>
  <c r="B57" i="12" s="1"/>
  <c r="A57" i="12"/>
  <c r="H57" i="5"/>
  <c r="E57" i="5"/>
  <c r="BC55" i="6" a="1"/>
  <c r="BC55" i="6" s="1"/>
  <c r="BE55" i="6" a="1"/>
  <c r="BE55" i="6" s="1"/>
  <c r="AY55" i="6" a="1"/>
  <c r="AY55" i="6" s="1"/>
  <c r="L58" i="6"/>
  <c r="B57" i="6"/>
  <c r="K53" i="12"/>
  <c r="K52" i="12"/>
  <c r="K54" i="12"/>
  <c r="K48" i="12"/>
  <c r="K47" i="12"/>
  <c r="K49" i="12"/>
  <c r="K43" i="12"/>
  <c r="K42" i="12"/>
  <c r="K44" i="12"/>
  <c r="K38" i="12"/>
  <c r="K39" i="12"/>
  <c r="K35" i="12"/>
  <c r="K37" i="12"/>
  <c r="K34" i="12"/>
  <c r="K33" i="12"/>
  <c r="K36" i="12"/>
  <c r="K28" i="12"/>
  <c r="K29" i="12"/>
  <c r="K30" i="12"/>
  <c r="K27" i="12"/>
  <c r="K51" i="12"/>
  <c r="K41" i="12"/>
  <c r="K32" i="12"/>
  <c r="K26" i="12"/>
  <c r="K18" i="12"/>
  <c r="K23" i="12"/>
  <c r="B26" i="9"/>
  <c r="K21" i="12"/>
  <c r="T12" i="9"/>
  <c r="K14" i="12"/>
  <c r="U12" i="10"/>
  <c r="U11" i="10" s="1" a="1"/>
  <c r="U11" i="10" s="1"/>
  <c r="G58" i="5" l="1"/>
  <c r="B58" i="5"/>
  <c r="F58" i="5"/>
  <c r="H58" i="5"/>
  <c r="E58" i="5"/>
  <c r="AR56" i="6"/>
  <c r="BA56" i="6" a="1"/>
  <c r="BA56" i="6" s="1"/>
  <c r="BE56" i="6" a="1"/>
  <c r="BE56" i="6" s="1"/>
  <c r="BD56" i="6" a="1"/>
  <c r="BD56" i="6" s="1"/>
  <c r="AM56" i="6"/>
  <c r="AN56" i="6"/>
  <c r="BB56" i="6" a="1"/>
  <c r="BB56" i="6" s="1"/>
  <c r="AO56" i="6"/>
  <c r="AZ56" i="6" a="1"/>
  <c r="AZ56" i="6" s="1"/>
  <c r="BF56" i="6" a="1"/>
  <c r="BF56" i="6" s="1"/>
  <c r="AP56" i="6"/>
  <c r="AY56" i="6" a="1"/>
  <c r="AY56" i="6" s="1"/>
  <c r="BG56" i="6" a="1"/>
  <c r="BG56" i="6" s="1"/>
  <c r="AV56" i="6"/>
  <c r="AU56" i="6"/>
  <c r="AS56" i="6"/>
  <c r="BC56" i="6" a="1"/>
  <c r="BC56" i="6" s="1"/>
  <c r="N56" i="6"/>
  <c r="J57" i="12" a="1"/>
  <c r="J57" i="12" s="1"/>
  <c r="L57" i="12" a="1"/>
  <c r="L57" i="12" s="1"/>
  <c r="AX56" i="6" a="1"/>
  <c r="AX56" i="6" s="1"/>
  <c r="AT56" i="6"/>
  <c r="B58" i="6"/>
  <c r="L59" i="6"/>
  <c r="A57" i="6"/>
  <c r="AE58" i="5" a="1"/>
  <c r="AE58" i="5" s="1"/>
  <c r="AD58" i="5"/>
  <c r="D58" i="5"/>
  <c r="B58" i="12" s="1"/>
  <c r="K58" i="5"/>
  <c r="J58" i="5"/>
  <c r="A58" i="12"/>
  <c r="C59" i="5"/>
  <c r="N58" i="5"/>
  <c r="D58" i="6" s="1"/>
  <c r="AQ56" i="6"/>
  <c r="B27" i="9"/>
  <c r="U12" i="9"/>
  <c r="V12" i="10"/>
  <c r="V11" i="10" s="1" a="1"/>
  <c r="V11" i="10" s="1"/>
  <c r="K57" i="12" l="1"/>
  <c r="L58" i="12" a="1"/>
  <c r="L58" i="12" s="1"/>
  <c r="J58" i="12" a="1"/>
  <c r="J58" i="12" s="1"/>
  <c r="A59" i="12"/>
  <c r="D59" i="5"/>
  <c r="B59" i="12" s="1"/>
  <c r="AE59" i="5" a="1"/>
  <c r="AE59" i="5" s="1"/>
  <c r="B59" i="5"/>
  <c r="E59" i="5"/>
  <c r="AD59" i="5"/>
  <c r="K59" i="5"/>
  <c r="F59" i="5"/>
  <c r="G59" i="5"/>
  <c r="N59" i="5"/>
  <c r="D59" i="6" s="1"/>
  <c r="J59" i="5"/>
  <c r="H59" i="5"/>
  <c r="A58" i="6"/>
  <c r="N58" i="6" s="1"/>
  <c r="N57" i="6"/>
  <c r="B59" i="6"/>
  <c r="M57" i="6"/>
  <c r="B28" i="9"/>
  <c r="V12" i="9"/>
  <c r="W12" i="10"/>
  <c r="W11" i="10" s="1" a="1"/>
  <c r="W11" i="10" s="1"/>
  <c r="K58" i="12" l="1"/>
  <c r="L60" i="6"/>
  <c r="A59" i="6"/>
  <c r="N59" i="6" s="1"/>
  <c r="AT57" i="6"/>
  <c r="AM57" i="6"/>
  <c r="BE57" i="6" a="1"/>
  <c r="BE57" i="6" s="1"/>
  <c r="AO57" i="6"/>
  <c r="AX57" i="6" a="1"/>
  <c r="AX57" i="6" s="1"/>
  <c r="AU57" i="6"/>
  <c r="AR57" i="6"/>
  <c r="BC57" i="6" a="1"/>
  <c r="BC57" i="6" s="1"/>
  <c r="AV57" i="6"/>
  <c r="AQ57" i="6"/>
  <c r="BA57" i="6" a="1"/>
  <c r="BA57" i="6" s="1"/>
  <c r="AZ57" i="6" a="1"/>
  <c r="AZ57" i="6" s="1"/>
  <c r="BG57" i="6" a="1"/>
  <c r="BG57" i="6" s="1"/>
  <c r="AY57" i="6" a="1"/>
  <c r="AY57" i="6" s="1"/>
  <c r="AS57" i="6"/>
  <c r="AP57" i="6"/>
  <c r="BF57" i="6" a="1"/>
  <c r="BF57" i="6" s="1"/>
  <c r="AN57" i="6"/>
  <c r="BD57" i="6" a="1"/>
  <c r="BD57" i="6" s="1"/>
  <c r="BB57" i="6" a="1"/>
  <c r="BB57" i="6" s="1"/>
  <c r="C60" i="5"/>
  <c r="J59" i="12" a="1"/>
  <c r="J59" i="12" s="1"/>
  <c r="L59" i="12" a="1"/>
  <c r="L59" i="12" s="1"/>
  <c r="M58" i="6"/>
  <c r="B29" i="9"/>
  <c r="W12" i="9"/>
  <c r="X12" i="10"/>
  <c r="X11" i="10" s="1" a="1"/>
  <c r="X11" i="10" s="1"/>
  <c r="K59" i="12" l="1"/>
  <c r="L61" i="6"/>
  <c r="B60" i="6"/>
  <c r="M59" i="6"/>
  <c r="A60" i="12"/>
  <c r="E60" i="5"/>
  <c r="B60" i="5"/>
  <c r="N60" i="5"/>
  <c r="D60" i="6" s="1"/>
  <c r="AD60" i="5"/>
  <c r="D60" i="5"/>
  <c r="B60" i="12" s="1"/>
  <c r="F60" i="5"/>
  <c r="J60" i="5"/>
  <c r="K60" i="5"/>
  <c r="G60" i="5"/>
  <c r="C61" i="5"/>
  <c r="AE60" i="5" a="1"/>
  <c r="AE60" i="5" s="1"/>
  <c r="H60" i="5"/>
  <c r="AP58" i="6"/>
  <c r="AN58" i="6"/>
  <c r="AV58" i="6"/>
  <c r="BA58" i="6" a="1"/>
  <c r="BA58" i="6" s="1"/>
  <c r="AM58" i="6"/>
  <c r="BE58" i="6" a="1"/>
  <c r="BE58" i="6" s="1"/>
  <c r="AX58" i="6" a="1"/>
  <c r="AX58" i="6" s="1"/>
  <c r="BC58" i="6" a="1"/>
  <c r="BC58" i="6" s="1"/>
  <c r="BG58" i="6" a="1"/>
  <c r="BG58" i="6" s="1"/>
  <c r="BF58" i="6" a="1"/>
  <c r="BF58" i="6" s="1"/>
  <c r="BD58" i="6" a="1"/>
  <c r="BD58" i="6" s="1"/>
  <c r="AY58" i="6" a="1"/>
  <c r="AY58" i="6" s="1"/>
  <c r="AO58" i="6"/>
  <c r="AU58" i="6"/>
  <c r="BB58" i="6" a="1"/>
  <c r="BB58" i="6" s="1"/>
  <c r="AR58" i="6"/>
  <c r="AS58" i="6"/>
  <c r="AZ58" i="6" a="1"/>
  <c r="AZ58" i="6" s="1"/>
  <c r="AT58" i="6"/>
  <c r="AQ58" i="6"/>
  <c r="B30" i="9"/>
  <c r="X12" i="9"/>
  <c r="Y12" i="10"/>
  <c r="Y11" i="10" s="1" a="1"/>
  <c r="Y11" i="10" s="1"/>
  <c r="AE61" i="5" l="1" a="1"/>
  <c r="AE61" i="5" s="1"/>
  <c r="F61" i="5"/>
  <c r="B61" i="5"/>
  <c r="C62" i="5" s="1"/>
  <c r="J61" i="5"/>
  <c r="G61" i="5"/>
  <c r="N61" i="5"/>
  <c r="D61" i="6" s="1"/>
  <c r="A61" i="12"/>
  <c r="H61" i="5"/>
  <c r="AD61" i="5"/>
  <c r="E61" i="5"/>
  <c r="K61" i="5"/>
  <c r="D61" i="5"/>
  <c r="B61" i="12" s="1"/>
  <c r="A60" i="6"/>
  <c r="M60" i="6" s="1"/>
  <c r="BB60" i="6" s="1" a="1"/>
  <c r="BB60" i="6" s="1"/>
  <c r="B61" i="6"/>
  <c r="L62" i="6"/>
  <c r="BD59" i="6" a="1"/>
  <c r="BD59" i="6" s="1"/>
  <c r="AY59" i="6" a="1"/>
  <c r="AY59" i="6" s="1"/>
  <c r="AZ59" i="6" a="1"/>
  <c r="AZ59" i="6" s="1"/>
  <c r="BA59" i="6" a="1"/>
  <c r="BA59" i="6" s="1"/>
  <c r="BB59" i="6" a="1"/>
  <c r="BB59" i="6" s="1"/>
  <c r="BF59" i="6" a="1"/>
  <c r="BF59" i="6" s="1"/>
  <c r="AN59" i="6"/>
  <c r="AU59" i="6"/>
  <c r="AS59" i="6"/>
  <c r="AO59" i="6"/>
  <c r="AV59" i="6"/>
  <c r="BC59" i="6" a="1"/>
  <c r="BC59" i="6" s="1"/>
  <c r="AT59" i="6"/>
  <c r="BE59" i="6" a="1"/>
  <c r="BE59" i="6" s="1"/>
  <c r="AP59" i="6"/>
  <c r="AM59" i="6"/>
  <c r="BG59" i="6" a="1"/>
  <c r="BG59" i="6" s="1"/>
  <c r="AQ59" i="6"/>
  <c r="AX59" i="6" a="1"/>
  <c r="AX59" i="6" s="1"/>
  <c r="AR59" i="6"/>
  <c r="L60" i="12" a="1"/>
  <c r="L60" i="12" s="1"/>
  <c r="J60" i="12" a="1"/>
  <c r="J60" i="12" s="1"/>
  <c r="E194" i="12"/>
  <c r="B31" i="9"/>
  <c r="Y12" i="9"/>
  <c r="Z12" i="10"/>
  <c r="Z11" i="10" s="1" a="1"/>
  <c r="Z11" i="10" s="1"/>
  <c r="A61" i="6" l="1"/>
  <c r="M61" i="6" s="1"/>
  <c r="AU61" i="6" s="1"/>
  <c r="K60" i="12"/>
  <c r="N60" i="6"/>
  <c r="AV60" i="6"/>
  <c r="AY60" i="6" a="1"/>
  <c r="AY60" i="6" s="1"/>
  <c r="AS60" i="6"/>
  <c r="AT60" i="6"/>
  <c r="BG60" i="6" a="1"/>
  <c r="BG60" i="6" s="1"/>
  <c r="AZ60" i="6" a="1"/>
  <c r="AZ60" i="6" s="1"/>
  <c r="AN60" i="6"/>
  <c r="AU60" i="6"/>
  <c r="BF60" i="6" a="1"/>
  <c r="BF60" i="6" s="1"/>
  <c r="AM60" i="6"/>
  <c r="AQ60" i="6"/>
  <c r="B62" i="6"/>
  <c r="L63" i="6"/>
  <c r="F62" i="6"/>
  <c r="AO60" i="6"/>
  <c r="BE60" i="6" a="1"/>
  <c r="BE60" i="6" s="1"/>
  <c r="AF62" i="5" a="1"/>
  <c r="AF62" i="5" s="1"/>
  <c r="F62" i="5"/>
  <c r="G62" i="5"/>
  <c r="K55" i="5" s="1"/>
  <c r="H62" i="5"/>
  <c r="C63" i="5"/>
  <c r="E62" i="5"/>
  <c r="W62" i="5" a="1"/>
  <c r="W62" i="5" s="1"/>
  <c r="H62" i="12" s="1" a="1"/>
  <c r="H62" i="12" s="1"/>
  <c r="AD62" i="5"/>
  <c r="AE62" i="5" a="1"/>
  <c r="AE62" i="5" s="1"/>
  <c r="N62" i="5"/>
  <c r="D62" i="6" s="1"/>
  <c r="A62" i="12"/>
  <c r="B62" i="5"/>
  <c r="AX60" i="6" a="1"/>
  <c r="AX60" i="6" s="1"/>
  <c r="AR60" i="6"/>
  <c r="AP60" i="6"/>
  <c r="BC60" i="6" a="1"/>
  <c r="BC60" i="6" s="1"/>
  <c r="BD60" i="6" a="1"/>
  <c r="BD60" i="6" s="1"/>
  <c r="BA60" i="6" a="1"/>
  <c r="BA60" i="6" s="1"/>
  <c r="L61" i="12" a="1"/>
  <c r="L61" i="12" s="1"/>
  <c r="J61" i="12" a="1"/>
  <c r="J61" i="12" s="1"/>
  <c r="B32" i="9"/>
  <c r="Z12" i="9"/>
  <c r="AA12" i="10"/>
  <c r="AA11" i="10" s="1" a="1"/>
  <c r="AA11" i="10" s="1"/>
  <c r="N61" i="6" l="1"/>
  <c r="AM61" i="6"/>
  <c r="AN61" i="6"/>
  <c r="AT61" i="6"/>
  <c r="AY61" i="6" a="1"/>
  <c r="AY61" i="6" s="1"/>
  <c r="AV61" i="6"/>
  <c r="BE61" i="6" a="1"/>
  <c r="BE61" i="6" s="1"/>
  <c r="A62" i="6"/>
  <c r="BD61" i="6" a="1"/>
  <c r="BD61" i="6" s="1"/>
  <c r="AS61" i="6"/>
  <c r="BF61" i="6" a="1"/>
  <c r="BF61" i="6" s="1"/>
  <c r="K61" i="12"/>
  <c r="AX61" i="6" a="1"/>
  <c r="AX61" i="6" s="1"/>
  <c r="BA61" i="6" a="1"/>
  <c r="BA61" i="6" s="1"/>
  <c r="AP61" i="6"/>
  <c r="AQ61" i="6"/>
  <c r="AZ61" i="6" a="1"/>
  <c r="AZ61" i="6" s="1"/>
  <c r="BC61" i="6" a="1"/>
  <c r="BC61" i="6" s="1"/>
  <c r="BB61" i="6" a="1"/>
  <c r="BB61" i="6" s="1"/>
  <c r="C64" i="5"/>
  <c r="N63" i="5"/>
  <c r="D63" i="6" s="1"/>
  <c r="F63" i="5"/>
  <c r="AE63" i="5" a="1"/>
  <c r="AE63" i="5" s="1"/>
  <c r="E63" i="5"/>
  <c r="A63" i="12"/>
  <c r="J63" i="5"/>
  <c r="D63" i="5"/>
  <c r="B63" i="12" s="1"/>
  <c r="B63" i="5"/>
  <c r="H63" i="5"/>
  <c r="AD63" i="5"/>
  <c r="K63" i="5"/>
  <c r="G63" i="5"/>
  <c r="AG62" i="5" a="1"/>
  <c r="AG62" i="5" s="1"/>
  <c r="S62" i="5" a="1"/>
  <c r="S62" i="5" s="1"/>
  <c r="F62" i="12" s="1" a="1"/>
  <c r="F62" i="12" s="1"/>
  <c r="L64" i="6"/>
  <c r="B63" i="6"/>
  <c r="BG61" i="6" a="1"/>
  <c r="BG61" i="6" s="1"/>
  <c r="AO61" i="6"/>
  <c r="AR61" i="6"/>
  <c r="M62" i="6"/>
  <c r="AY62" i="6" s="1" a="1"/>
  <c r="AY62" i="6" s="1"/>
  <c r="N62" i="6"/>
  <c r="G62" i="6"/>
  <c r="B33" i="9"/>
  <c r="AA12" i="9"/>
  <c r="AB12" i="10"/>
  <c r="AB11" i="10" s="1" a="1"/>
  <c r="AB11" i="10" s="1"/>
  <c r="A63" i="6" l="1"/>
  <c r="M63" i="6" s="1"/>
  <c r="AQ63" i="6" s="1"/>
  <c r="AR62" i="6"/>
  <c r="AP62" i="6"/>
  <c r="AZ62" i="6" a="1"/>
  <c r="AZ62" i="6" s="1"/>
  <c r="AT62" i="6"/>
  <c r="AS62" i="6"/>
  <c r="E64" i="5"/>
  <c r="H64" i="5"/>
  <c r="AM62" i="6"/>
  <c r="B64" i="5"/>
  <c r="F64" i="5"/>
  <c r="BF62" i="6" a="1"/>
  <c r="BF62" i="6" s="1"/>
  <c r="BB62" i="6" a="1"/>
  <c r="BB62" i="6" s="1"/>
  <c r="AQ62" i="6"/>
  <c r="BG62" i="6" a="1"/>
  <c r="BG62" i="6" s="1"/>
  <c r="AV62" i="6"/>
  <c r="BC62" i="6" a="1"/>
  <c r="BC62" i="6" s="1"/>
  <c r="AO62" i="6"/>
  <c r="AN62" i="6"/>
  <c r="G64" i="5"/>
  <c r="AD64" i="5"/>
  <c r="J64" i="5"/>
  <c r="K64" i="5"/>
  <c r="AE64" i="5" a="1"/>
  <c r="AE64" i="5" s="1"/>
  <c r="C65" i="5"/>
  <c r="D64" i="5"/>
  <c r="B64" i="12" s="1"/>
  <c r="N64" i="5"/>
  <c r="D64" i="6" s="1"/>
  <c r="A64" i="12"/>
  <c r="AX62" i="6" a="1"/>
  <c r="AX62" i="6" s="1"/>
  <c r="BD62" i="6" a="1"/>
  <c r="BD62" i="6" s="1"/>
  <c r="L63" i="12" a="1"/>
  <c r="L63" i="12" s="1"/>
  <c r="J63" i="12" a="1"/>
  <c r="J63" i="12" s="1"/>
  <c r="AU62" i="6"/>
  <c r="BA62" i="6" a="1"/>
  <c r="BA62" i="6" s="1"/>
  <c r="BE62" i="6" a="1"/>
  <c r="BE62" i="6" s="1"/>
  <c r="B64" i="6"/>
  <c r="L65" i="6"/>
  <c r="E122" i="12"/>
  <c r="B34" i="9"/>
  <c r="AB12" i="9"/>
  <c r="AC12" i="10"/>
  <c r="AC11" i="10" s="1" a="1"/>
  <c r="AC11" i="10" s="1"/>
  <c r="N63" i="6" l="1"/>
  <c r="K63" i="12"/>
  <c r="BG63" i="6" a="1"/>
  <c r="BG63" i="6" s="1"/>
  <c r="BA63" i="6" a="1"/>
  <c r="BA63" i="6" s="1"/>
  <c r="AR63" i="6"/>
  <c r="A64" i="6"/>
  <c r="N64" i="6" s="1"/>
  <c r="BE63" i="6" a="1"/>
  <c r="BE63" i="6" s="1"/>
  <c r="AM63" i="6"/>
  <c r="AE65" i="5" a="1"/>
  <c r="AE65" i="5" s="1"/>
  <c r="N65" i="5"/>
  <c r="D65" i="6" s="1"/>
  <c r="A65" i="12"/>
  <c r="F65" i="5"/>
  <c r="C66" i="5"/>
  <c r="K65" i="5"/>
  <c r="G65" i="5"/>
  <c r="D65" i="5"/>
  <c r="B65" i="12" s="1"/>
  <c r="J65" i="5"/>
  <c r="B65" i="5"/>
  <c r="E65" i="5"/>
  <c r="H65" i="5"/>
  <c r="AD65" i="5"/>
  <c r="AZ63" i="6" a="1"/>
  <c r="AZ63" i="6" s="1"/>
  <c r="AV63" i="6"/>
  <c r="BC63" i="6" a="1"/>
  <c r="BC63" i="6" s="1"/>
  <c r="AU63" i="6"/>
  <c r="BB63" i="6" a="1"/>
  <c r="BB63" i="6" s="1"/>
  <c r="AY63" i="6" a="1"/>
  <c r="AY63" i="6" s="1"/>
  <c r="AO63" i="6"/>
  <c r="B65" i="6"/>
  <c r="L66" i="6"/>
  <c r="AN63" i="6"/>
  <c r="J64" i="12" a="1"/>
  <c r="J64" i="12" s="1"/>
  <c r="L64" i="12" a="1"/>
  <c r="L64" i="12" s="1"/>
  <c r="AT63" i="6"/>
  <c r="AX63" i="6" a="1"/>
  <c r="AX63" i="6" s="1"/>
  <c r="BD63" i="6" a="1"/>
  <c r="BD63" i="6" s="1"/>
  <c r="AP63" i="6"/>
  <c r="BF63" i="6" a="1"/>
  <c r="BF63" i="6" s="1"/>
  <c r="AS63" i="6"/>
  <c r="E127" i="12"/>
  <c r="B35" i="9"/>
  <c r="AC12" i="9"/>
  <c r="AD12" i="10"/>
  <c r="AD11" i="10" s="1" a="1"/>
  <c r="AD11" i="10" s="1"/>
  <c r="K64" i="12" l="1"/>
  <c r="L65" i="12" a="1"/>
  <c r="L65" i="12" s="1"/>
  <c r="J65" i="12" a="1"/>
  <c r="J65" i="12" s="1"/>
  <c r="N66" i="5"/>
  <c r="D66" i="6" s="1"/>
  <c r="D66" i="5"/>
  <c r="B66" i="12" s="1"/>
  <c r="J66" i="5"/>
  <c r="H66" i="5"/>
  <c r="AE66" i="5" a="1"/>
  <c r="AE66" i="5" s="1"/>
  <c r="K66" i="5"/>
  <c r="A66" i="12"/>
  <c r="E66" i="5"/>
  <c r="C67" i="5"/>
  <c r="C68" i="5" s="1"/>
  <c r="AD66" i="5"/>
  <c r="F66" i="5"/>
  <c r="B66" i="5"/>
  <c r="G66" i="5"/>
  <c r="A65" i="6"/>
  <c r="M65" i="6" s="1"/>
  <c r="L67" i="6"/>
  <c r="L68" i="6" s="1"/>
  <c r="B66" i="6"/>
  <c r="M64" i="6"/>
  <c r="B36" i="9"/>
  <c r="AD12" i="9"/>
  <c r="AE12" i="10"/>
  <c r="AE11" i="10" s="1" a="1"/>
  <c r="AE11" i="10" s="1"/>
  <c r="AE68" i="5" l="1" a="1"/>
  <c r="AE68" i="5" s="1"/>
  <c r="W68" i="5" a="1"/>
  <c r="W68" i="5" s="1"/>
  <c r="H68" i="12" s="1" a="1"/>
  <c r="H68" i="12" s="1"/>
  <c r="AD68" i="5"/>
  <c r="D68" i="5"/>
  <c r="B68" i="12" s="1"/>
  <c r="J68" i="5"/>
  <c r="N68" i="5"/>
  <c r="D68" i="6" s="1"/>
  <c r="A68" i="12"/>
  <c r="K68" i="5"/>
  <c r="B68" i="6"/>
  <c r="K65" i="12"/>
  <c r="AS65" i="6"/>
  <c r="BB65" i="6" a="1"/>
  <c r="BB65" i="6" s="1"/>
  <c r="BF65" i="6" a="1"/>
  <c r="BF65" i="6" s="1"/>
  <c r="AU65" i="6"/>
  <c r="BE65" i="6" a="1"/>
  <c r="BE65" i="6" s="1"/>
  <c r="AO65" i="6"/>
  <c r="BG65" i="6" a="1"/>
  <c r="BG65" i="6" s="1"/>
  <c r="AR65" i="6"/>
  <c r="AX65" i="6" a="1"/>
  <c r="AX65" i="6" s="1"/>
  <c r="BD65" i="6" a="1"/>
  <c r="BD65" i="6" s="1"/>
  <c r="BA65" i="6" a="1"/>
  <c r="BA65" i="6" s="1"/>
  <c r="AZ65" i="6" a="1"/>
  <c r="AZ65" i="6" s="1"/>
  <c r="AQ65" i="6"/>
  <c r="AP65" i="6"/>
  <c r="AN65" i="6"/>
  <c r="AM65" i="6"/>
  <c r="AV65" i="6"/>
  <c r="BC65" i="6" a="1"/>
  <c r="BC65" i="6" s="1"/>
  <c r="AY65" i="6" a="1"/>
  <c r="AY65" i="6" s="1"/>
  <c r="AT65" i="6"/>
  <c r="N65" i="6"/>
  <c r="B67" i="6"/>
  <c r="L69" i="6"/>
  <c r="AD67" i="5"/>
  <c r="D67" i="5"/>
  <c r="B67" i="12" s="1"/>
  <c r="B67" i="5"/>
  <c r="B68" i="5" s="1"/>
  <c r="N67" i="5"/>
  <c r="D67" i="6" s="1"/>
  <c r="C69" i="5"/>
  <c r="A67" i="12"/>
  <c r="K67" i="5"/>
  <c r="J67" i="5"/>
  <c r="H67" i="5"/>
  <c r="H68" i="5" s="1"/>
  <c r="AE67" i="5" a="1"/>
  <c r="AE67" i="5" s="1"/>
  <c r="F67" i="5"/>
  <c r="F68" i="5" s="1"/>
  <c r="G67" i="5"/>
  <c r="G68" i="5" s="1"/>
  <c r="E67" i="5"/>
  <c r="E68" i="5" s="1"/>
  <c r="L66" i="12" a="1"/>
  <c r="L66" i="12" s="1"/>
  <c r="J66" i="12" a="1"/>
  <c r="J66" i="12" s="1"/>
  <c r="AX64" i="6" a="1"/>
  <c r="AX64" i="6" s="1"/>
  <c r="BC64" i="6" a="1"/>
  <c r="BC64" i="6" s="1"/>
  <c r="AT64" i="6"/>
  <c r="AV64" i="6"/>
  <c r="AM64" i="6"/>
  <c r="BE64" i="6" a="1"/>
  <c r="BE64" i="6" s="1"/>
  <c r="AQ64" i="6"/>
  <c r="BF64" i="6" a="1"/>
  <c r="BF64" i="6" s="1"/>
  <c r="AU64" i="6"/>
  <c r="AO64" i="6"/>
  <c r="AY64" i="6" a="1"/>
  <c r="AY64" i="6" s="1"/>
  <c r="BA64" i="6" a="1"/>
  <c r="BA64" i="6" s="1"/>
  <c r="AR64" i="6"/>
  <c r="AZ64" i="6" a="1"/>
  <c r="AZ64" i="6" s="1"/>
  <c r="AS64" i="6"/>
  <c r="AP64" i="6"/>
  <c r="AN64" i="6"/>
  <c r="BG64" i="6" a="1"/>
  <c r="BG64" i="6" s="1"/>
  <c r="BB64" i="6" a="1"/>
  <c r="BB64" i="6" s="1"/>
  <c r="BD64" i="6" a="1"/>
  <c r="BD64" i="6" s="1"/>
  <c r="A66" i="6"/>
  <c r="M66" i="6" s="1"/>
  <c r="B37" i="9"/>
  <c r="AE12" i="9"/>
  <c r="AF12" i="10"/>
  <c r="AF11" i="10" s="1" a="1"/>
  <c r="AF11" i="10" s="1"/>
  <c r="L68" i="12" l="1" a="1"/>
  <c r="L68" i="12" s="1"/>
  <c r="J68" i="12" a="1"/>
  <c r="J68" i="12" s="1"/>
  <c r="H68" i="6" a="1"/>
  <c r="H68" i="6" s="1"/>
  <c r="T68" i="5" s="1"/>
  <c r="BC66" i="6" a="1"/>
  <c r="BC66" i="6" s="1"/>
  <c r="AU66" i="6"/>
  <c r="AO66" i="6"/>
  <c r="BB66" i="6" a="1"/>
  <c r="BB66" i="6" s="1"/>
  <c r="BG66" i="6" a="1"/>
  <c r="BG66" i="6" s="1"/>
  <c r="BF66" i="6" a="1"/>
  <c r="BF66" i="6" s="1"/>
  <c r="AZ66" i="6" a="1"/>
  <c r="AZ66" i="6" s="1"/>
  <c r="AR66" i="6"/>
  <c r="AT66" i="6"/>
  <c r="AP66" i="6"/>
  <c r="AN66" i="6"/>
  <c r="BE66" i="6" a="1"/>
  <c r="BE66" i="6" s="1"/>
  <c r="BA66" i="6" a="1"/>
  <c r="BA66" i="6" s="1"/>
  <c r="BD66" i="6" a="1"/>
  <c r="BD66" i="6" s="1"/>
  <c r="AY66" i="6" a="1"/>
  <c r="AY66" i="6" s="1"/>
  <c r="AM66" i="6"/>
  <c r="AV66" i="6"/>
  <c r="AX66" i="6" a="1"/>
  <c r="AX66" i="6" s="1"/>
  <c r="AQ66" i="6"/>
  <c r="AS66" i="6"/>
  <c r="J67" i="12" a="1"/>
  <c r="J67" i="12" s="1"/>
  <c r="L67" i="12" a="1"/>
  <c r="L67" i="12" s="1"/>
  <c r="L70" i="6"/>
  <c r="B69" i="6"/>
  <c r="K66" i="12"/>
  <c r="N66" i="6"/>
  <c r="A67" i="6"/>
  <c r="N67" i="6" s="1"/>
  <c r="C70" i="5"/>
  <c r="AE69" i="5" a="1"/>
  <c r="AE69" i="5" s="1"/>
  <c r="H69" i="5"/>
  <c r="D69" i="5"/>
  <c r="B69" i="12" s="1"/>
  <c r="AD69" i="5"/>
  <c r="E69" i="5"/>
  <c r="K69" i="5"/>
  <c r="N69" i="5"/>
  <c r="D69" i="6" s="1"/>
  <c r="F69" i="5"/>
  <c r="J69" i="5"/>
  <c r="A69" i="12"/>
  <c r="G69" i="5"/>
  <c r="B69" i="5"/>
  <c r="B38" i="9"/>
  <c r="M1" i="6"/>
  <c r="J68" i="6" s="1" a="1"/>
  <c r="J68" i="6" s="1"/>
  <c r="K68" i="12" l="1"/>
  <c r="G68" i="12" a="1"/>
  <c r="G68" i="12" s="1"/>
  <c r="X68" i="5" a="1"/>
  <c r="X68" i="5" s="1"/>
  <c r="A68" i="6"/>
  <c r="F70" i="5"/>
  <c r="E70" i="5"/>
  <c r="H70" i="5"/>
  <c r="K67" i="12"/>
  <c r="L71" i="6"/>
  <c r="B70" i="6"/>
  <c r="J70" i="6" s="1" a="1"/>
  <c r="J70" i="6" s="1"/>
  <c r="J70" i="5"/>
  <c r="A70" i="12"/>
  <c r="N70" i="5"/>
  <c r="D70" i="6" s="1"/>
  <c r="K70" i="5"/>
  <c r="D70" i="5"/>
  <c r="B70" i="12" s="1"/>
  <c r="AE70" i="5" a="1"/>
  <c r="AE70" i="5" s="1"/>
  <c r="AD70" i="5"/>
  <c r="B70" i="5"/>
  <c r="C71" i="5" s="1"/>
  <c r="G70" i="5"/>
  <c r="M67" i="6"/>
  <c r="H19" i="6" a="1"/>
  <c r="H19" i="6" s="1"/>
  <c r="J19" i="6" a="1"/>
  <c r="J19" i="6" s="1"/>
  <c r="J69" i="12" a="1"/>
  <c r="J69" i="12" s="1"/>
  <c r="L69" i="12" a="1"/>
  <c r="L69" i="12" s="1"/>
  <c r="J64" i="6" a="1"/>
  <c r="J64" i="6" s="1"/>
  <c r="H64" i="6" a="1"/>
  <c r="H64" i="6" s="1"/>
  <c r="J65" i="6" a="1"/>
  <c r="J65" i="6" s="1"/>
  <c r="J66" i="6" a="1"/>
  <c r="J66" i="6" s="1"/>
  <c r="H66" i="6" a="1"/>
  <c r="H66" i="6" s="1"/>
  <c r="H65" i="6" a="1"/>
  <c r="H65" i="6" s="1"/>
  <c r="J67" i="6" a="1"/>
  <c r="J67" i="6" s="1"/>
  <c r="J69" i="6" a="1"/>
  <c r="J69" i="6" s="1"/>
  <c r="H69" i="6" a="1"/>
  <c r="H69" i="6" s="1"/>
  <c r="H67" i="6" a="1"/>
  <c r="H67" i="6" s="1"/>
  <c r="J58" i="6" a="1"/>
  <c r="J58" i="6" s="1"/>
  <c r="H58" i="6" a="1"/>
  <c r="H58" i="6" s="1"/>
  <c r="J59" i="6" a="1"/>
  <c r="J59" i="6" s="1"/>
  <c r="H59" i="6" a="1"/>
  <c r="H59" i="6" s="1"/>
  <c r="J52" i="6" a="1"/>
  <c r="J52" i="6" s="1"/>
  <c r="J53" i="6" a="1"/>
  <c r="J53" i="6" s="1"/>
  <c r="H52" i="6" a="1"/>
  <c r="H52" i="6" s="1"/>
  <c r="H53" i="6" a="1"/>
  <c r="H53" i="6" s="1"/>
  <c r="J54" i="6" a="1"/>
  <c r="J54" i="6" s="1"/>
  <c r="H54" i="6" a="1"/>
  <c r="H54" i="6" s="1"/>
  <c r="E104" i="12"/>
  <c r="J47" i="6" a="1"/>
  <c r="J47" i="6" s="1"/>
  <c r="H47" i="6" a="1"/>
  <c r="H47" i="6" s="1"/>
  <c r="J48" i="6" a="1"/>
  <c r="J48" i="6" s="1"/>
  <c r="H48" i="6" a="1"/>
  <c r="H48" i="6" s="1"/>
  <c r="J49" i="6" a="1"/>
  <c r="J49" i="6" s="1"/>
  <c r="H49" i="6" a="1"/>
  <c r="H49" i="6" s="1"/>
  <c r="J42" i="6" a="1"/>
  <c r="J42" i="6" s="1"/>
  <c r="H42" i="6" a="1"/>
  <c r="H42" i="6" s="1"/>
  <c r="J43" i="6" a="1"/>
  <c r="J43" i="6" s="1"/>
  <c r="H43" i="6" a="1"/>
  <c r="H43" i="6" s="1"/>
  <c r="H44" i="6" a="1"/>
  <c r="H44" i="6" s="1"/>
  <c r="J44" i="6" a="1"/>
  <c r="J44" i="6" s="1"/>
  <c r="H38" i="6" a="1"/>
  <c r="H38" i="6" s="1"/>
  <c r="J38" i="6" a="1"/>
  <c r="J38" i="6" s="1"/>
  <c r="H39" i="6" a="1"/>
  <c r="H39" i="6" s="1"/>
  <c r="J39" i="6" a="1"/>
  <c r="J39" i="6" s="1"/>
  <c r="J33" i="6" a="1"/>
  <c r="J33" i="6" s="1"/>
  <c r="J34" i="6" a="1"/>
  <c r="J34" i="6" s="1"/>
  <c r="H33" i="6" a="1"/>
  <c r="H33" i="6" s="1"/>
  <c r="H34" i="6" a="1"/>
  <c r="H34" i="6" s="1"/>
  <c r="J35" i="6" a="1"/>
  <c r="J35" i="6" s="1"/>
  <c r="H35" i="6" a="1"/>
  <c r="H35" i="6" s="1"/>
  <c r="J36" i="6" a="1"/>
  <c r="J36" i="6" s="1"/>
  <c r="J37" i="6" a="1"/>
  <c r="J37" i="6" s="1"/>
  <c r="H36" i="6" a="1"/>
  <c r="H36" i="6" s="1"/>
  <c r="H37" i="6" a="1"/>
  <c r="H37" i="6" s="1"/>
  <c r="H27" i="6" a="1"/>
  <c r="H27" i="6" s="1"/>
  <c r="J27" i="6" a="1"/>
  <c r="J27" i="6" s="1"/>
  <c r="J28" i="6" a="1"/>
  <c r="J28" i="6" s="1"/>
  <c r="H28" i="6" a="1"/>
  <c r="H28" i="6" s="1"/>
  <c r="J29" i="6" a="1"/>
  <c r="J29" i="6" s="1"/>
  <c r="H29" i="6" a="1"/>
  <c r="H29" i="6" s="1"/>
  <c r="J30" i="6" a="1"/>
  <c r="J30" i="6" s="1"/>
  <c r="H30" i="6" a="1"/>
  <c r="H30" i="6" s="1"/>
  <c r="J57" i="6" a="1"/>
  <c r="J57" i="6" s="1"/>
  <c r="J60" i="6" a="1"/>
  <c r="J60" i="6" s="1"/>
  <c r="H57" i="6" a="1"/>
  <c r="H57" i="6" s="1"/>
  <c r="H60" i="6" a="1"/>
  <c r="H60" i="6" s="1"/>
  <c r="J61" i="6" a="1"/>
  <c r="J61" i="6" s="1"/>
  <c r="H61" i="6" a="1"/>
  <c r="H61" i="6" s="1"/>
  <c r="J50" i="6" a="1"/>
  <c r="J50" i="6" s="1"/>
  <c r="J51" i="6" a="1"/>
  <c r="J51" i="6" s="1"/>
  <c r="H50" i="6" a="1"/>
  <c r="H50" i="6" s="1"/>
  <c r="H51" i="6" a="1"/>
  <c r="H51" i="6" s="1"/>
  <c r="J40" i="6" a="1"/>
  <c r="J40" i="6" s="1"/>
  <c r="H40" i="6" a="1"/>
  <c r="H40" i="6" s="1"/>
  <c r="J41" i="6" a="1"/>
  <c r="J41" i="6" s="1"/>
  <c r="H41" i="6" a="1"/>
  <c r="H41" i="6" s="1"/>
  <c r="J26" i="6" a="1"/>
  <c r="J26" i="6" s="1"/>
  <c r="H31" i="6" a="1"/>
  <c r="H31" i="6" s="1"/>
  <c r="J31" i="6" a="1"/>
  <c r="J31" i="6" s="1"/>
  <c r="H26" i="6" a="1"/>
  <c r="H26" i="6" s="1"/>
  <c r="J32" i="6" a="1"/>
  <c r="J32" i="6" s="1"/>
  <c r="H32" i="6" a="1"/>
  <c r="H32" i="6" s="1"/>
  <c r="J45" i="6" a="1"/>
  <c r="J45" i="6" s="1"/>
  <c r="H45" i="6" a="1"/>
  <c r="H45" i="6" s="1"/>
  <c r="H46" i="6" a="1"/>
  <c r="H46" i="6" s="1"/>
  <c r="J46" i="6" a="1"/>
  <c r="J46" i="6" s="1"/>
  <c r="J55" i="6" a="1"/>
  <c r="J55" i="6" s="1"/>
  <c r="H56" i="6" a="1"/>
  <c r="H56" i="6" s="1"/>
  <c r="J56" i="6" a="1"/>
  <c r="J56" i="6" s="1"/>
  <c r="H55" i="6" a="1"/>
  <c r="H55" i="6" s="1"/>
  <c r="H62" i="6" a="1"/>
  <c r="H62" i="6" s="1"/>
  <c r="J62" i="6" a="1"/>
  <c r="J62" i="6" s="1"/>
  <c r="J63" i="6" a="1"/>
  <c r="J63" i="6" s="1"/>
  <c r="H63" i="6" a="1"/>
  <c r="H63" i="6" s="1"/>
  <c r="B39" i="9"/>
  <c r="J16" i="6" a="1"/>
  <c r="J16" i="6" s="1"/>
  <c r="J17" i="6" a="1"/>
  <c r="J17" i="6" s="1"/>
  <c r="J18" i="6" a="1"/>
  <c r="J18" i="6" s="1"/>
  <c r="J20" i="6" a="1"/>
  <c r="J20" i="6" s="1"/>
  <c r="J21" i="6" a="1"/>
  <c r="J21" i="6" s="1"/>
  <c r="J22" i="6" a="1"/>
  <c r="J22" i="6" s="1"/>
  <c r="J23" i="6" a="1"/>
  <c r="J23" i="6" s="1"/>
  <c r="J24" i="6" a="1"/>
  <c r="J24" i="6" s="1"/>
  <c r="J25" i="6" a="1"/>
  <c r="J25" i="6" s="1"/>
  <c r="H21" i="6" a="1"/>
  <c r="H21" i="6" s="1"/>
  <c r="H18" i="6" a="1"/>
  <c r="H18" i="6" s="1"/>
  <c r="H22" i="6" a="1"/>
  <c r="H22" i="6" s="1"/>
  <c r="H23" i="6" a="1"/>
  <c r="H23" i="6" s="1"/>
  <c r="H24" i="6" a="1"/>
  <c r="H24" i="6" s="1"/>
  <c r="H25" i="6" a="1"/>
  <c r="H25" i="6" s="1"/>
  <c r="H20" i="6" a="1"/>
  <c r="H20"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N68" i="6" l="1"/>
  <c r="M68" i="6"/>
  <c r="A69" i="6"/>
  <c r="A70" i="6" s="1"/>
  <c r="M70" i="6" s="1"/>
  <c r="AM68" i="5"/>
  <c r="L68" i="5"/>
  <c r="I68" i="12"/>
  <c r="Z68" i="5"/>
  <c r="K69" i="12"/>
  <c r="H70" i="6" a="1"/>
  <c r="H70" i="6" s="1"/>
  <c r="T70" i="5" s="1"/>
  <c r="AS67" i="6"/>
  <c r="BD67" i="6" a="1"/>
  <c r="BD67" i="6" s="1"/>
  <c r="BC67" i="6" a="1"/>
  <c r="BC67" i="6" s="1"/>
  <c r="AZ67" i="6" a="1"/>
  <c r="AZ67" i="6" s="1"/>
  <c r="BB67" i="6" a="1"/>
  <c r="BB67" i="6" s="1"/>
  <c r="AU67" i="6"/>
  <c r="BE67" i="6" a="1"/>
  <c r="BE67" i="6" s="1"/>
  <c r="AT67" i="6"/>
  <c r="AR67" i="6"/>
  <c r="AY67" i="6" a="1"/>
  <c r="AY67" i="6" s="1"/>
  <c r="AP67" i="6"/>
  <c r="BG67" i="6" a="1"/>
  <c r="BG67" i="6" s="1"/>
  <c r="AM67" i="6"/>
  <c r="BA67" i="6" a="1"/>
  <c r="BA67" i="6" s="1"/>
  <c r="AV67" i="6"/>
  <c r="AN67" i="6"/>
  <c r="BF67" i="6" a="1"/>
  <c r="BF67" i="6" s="1"/>
  <c r="AQ67" i="6"/>
  <c r="AO67" i="6"/>
  <c r="AX67" i="6" a="1"/>
  <c r="AX67" i="6" s="1"/>
  <c r="J70" i="12" a="1"/>
  <c r="J70" i="12" s="1"/>
  <c r="L70" i="12" a="1"/>
  <c r="L70" i="12" s="1"/>
  <c r="L72" i="6"/>
  <c r="F71" i="6"/>
  <c r="B71" i="6"/>
  <c r="N71" i="5"/>
  <c r="D71" i="6" s="1"/>
  <c r="H71" i="5"/>
  <c r="AF71" i="5" a="1"/>
  <c r="AF71" i="5" s="1"/>
  <c r="W71" i="5" a="1"/>
  <c r="W71" i="5" s="1"/>
  <c r="H71" i="12" s="1" a="1"/>
  <c r="H71" i="12" s="1"/>
  <c r="AE71" i="5" a="1"/>
  <c r="AE71" i="5" s="1"/>
  <c r="AD71" i="5"/>
  <c r="G71" i="5"/>
  <c r="B71" i="5"/>
  <c r="C72" i="5"/>
  <c r="F71" i="5"/>
  <c r="E71" i="5"/>
  <c r="A71" i="12"/>
  <c r="T19" i="5"/>
  <c r="AB19" i="6"/>
  <c r="AC19" i="6"/>
  <c r="AD19" i="6"/>
  <c r="AF19" i="6"/>
  <c r="AE19" i="6"/>
  <c r="AG19" i="6"/>
  <c r="AH19" i="6"/>
  <c r="AI19" i="6"/>
  <c r="AJ19" i="6"/>
  <c r="AK19" i="6"/>
  <c r="T67" i="5"/>
  <c r="AD67" i="6"/>
  <c r="AF67" i="6"/>
  <c r="AI67" i="6"/>
  <c r="AH67" i="6"/>
  <c r="AG67" i="6"/>
  <c r="AK67" i="6"/>
  <c r="AE67" i="6"/>
  <c r="AJ67" i="6"/>
  <c r="AC67" i="6"/>
  <c r="AB67" i="6"/>
  <c r="T64" i="5"/>
  <c r="AC64" i="6"/>
  <c r="AB64" i="6"/>
  <c r="AE64" i="6"/>
  <c r="AJ64" i="6"/>
  <c r="AG64" i="6"/>
  <c r="AI64" i="6"/>
  <c r="AD64" i="6"/>
  <c r="AH64" i="6"/>
  <c r="AF64" i="6"/>
  <c r="AK64" i="6"/>
  <c r="T65" i="5"/>
  <c r="AK65" i="6"/>
  <c r="AG65" i="6"/>
  <c r="AJ65" i="6"/>
  <c r="AH65" i="6"/>
  <c r="AI65" i="6"/>
  <c r="AC65" i="6"/>
  <c r="AD65" i="6"/>
  <c r="AE65" i="6"/>
  <c r="AB65" i="6"/>
  <c r="AF65" i="6"/>
  <c r="T69" i="5"/>
  <c r="T66" i="5"/>
  <c r="AF66" i="6"/>
  <c r="AK66" i="6"/>
  <c r="AB66" i="6"/>
  <c r="AI66" i="6"/>
  <c r="AG66" i="6"/>
  <c r="AJ66" i="6"/>
  <c r="AD66" i="6"/>
  <c r="AC66" i="6"/>
  <c r="AE66" i="6"/>
  <c r="AH66" i="6"/>
  <c r="T59" i="5"/>
  <c r="AD59" i="6"/>
  <c r="AF59" i="6"/>
  <c r="AG59" i="6"/>
  <c r="AB59" i="6"/>
  <c r="AE59" i="6"/>
  <c r="AC59" i="6"/>
  <c r="AH59" i="6"/>
  <c r="AI59" i="6"/>
  <c r="AJ59" i="6"/>
  <c r="AK59" i="6"/>
  <c r="T58" i="5"/>
  <c r="AB58" i="6"/>
  <c r="AD58" i="6"/>
  <c r="AC58" i="6"/>
  <c r="AE58" i="6"/>
  <c r="AF58" i="6"/>
  <c r="AG58" i="6"/>
  <c r="AH58" i="6"/>
  <c r="AI58" i="6"/>
  <c r="AJ58" i="6"/>
  <c r="AK58" i="6"/>
  <c r="T54" i="5"/>
  <c r="AC54" i="6"/>
  <c r="AB54" i="6"/>
  <c r="AD54" i="6"/>
  <c r="AE54" i="6"/>
  <c r="AF54" i="6"/>
  <c r="AG54" i="6"/>
  <c r="AH54" i="6"/>
  <c r="AI54" i="6"/>
  <c r="AJ54" i="6"/>
  <c r="AK54" i="6"/>
  <c r="T53" i="5"/>
  <c r="AB53" i="6"/>
  <c r="AC53" i="6"/>
  <c r="AD53" i="6"/>
  <c r="AE53" i="6"/>
  <c r="AF53" i="6"/>
  <c r="AG53" i="6"/>
  <c r="AH53" i="6"/>
  <c r="AI53" i="6"/>
  <c r="AJ53" i="6"/>
  <c r="AK53" i="6"/>
  <c r="T52" i="5"/>
  <c r="AB52" i="6"/>
  <c r="AC52" i="6"/>
  <c r="AD52" i="6"/>
  <c r="AF52" i="6"/>
  <c r="AE52" i="6"/>
  <c r="AG52" i="6"/>
  <c r="AH52" i="6"/>
  <c r="AI52" i="6"/>
  <c r="AJ52" i="6"/>
  <c r="AK52" i="6"/>
  <c r="T49" i="5"/>
  <c r="AB49" i="6"/>
  <c r="AC49" i="6"/>
  <c r="AD49" i="6"/>
  <c r="AF49" i="6"/>
  <c r="AE49" i="6"/>
  <c r="AG49" i="6"/>
  <c r="AH49" i="6"/>
  <c r="AI49" i="6"/>
  <c r="AJ49" i="6"/>
  <c r="AK49" i="6"/>
  <c r="T47" i="5"/>
  <c r="AB47" i="6"/>
  <c r="AC47" i="6"/>
  <c r="AD47" i="6"/>
  <c r="AE47" i="6"/>
  <c r="AF47" i="6"/>
  <c r="AG47" i="6"/>
  <c r="AH47" i="6"/>
  <c r="AI47" i="6"/>
  <c r="AJ47" i="6"/>
  <c r="AK47" i="6"/>
  <c r="T48" i="5"/>
  <c r="AB48" i="6"/>
  <c r="AC48" i="6"/>
  <c r="AD48" i="6"/>
  <c r="AF48" i="6"/>
  <c r="AE48" i="6"/>
  <c r="AG48" i="6"/>
  <c r="AH48" i="6"/>
  <c r="AI48" i="6"/>
  <c r="AJ48" i="6"/>
  <c r="AK48" i="6"/>
  <c r="T43" i="5"/>
  <c r="AB43" i="6"/>
  <c r="AC43" i="6"/>
  <c r="AD43" i="6"/>
  <c r="AF43" i="6"/>
  <c r="AE43" i="6"/>
  <c r="AG43" i="6"/>
  <c r="AH43" i="6"/>
  <c r="AI43" i="6"/>
  <c r="AJ43" i="6"/>
  <c r="AK43" i="6"/>
  <c r="T42" i="5"/>
  <c r="AB42" i="6"/>
  <c r="AC42" i="6"/>
  <c r="AD42" i="6"/>
  <c r="AE42" i="6"/>
  <c r="AF42" i="6"/>
  <c r="AG42" i="6"/>
  <c r="AH42" i="6"/>
  <c r="AI42" i="6"/>
  <c r="AJ42" i="6"/>
  <c r="AK42" i="6"/>
  <c r="T44" i="5"/>
  <c r="AB44" i="6"/>
  <c r="AC44" i="6"/>
  <c r="AD44" i="6"/>
  <c r="AF44" i="6"/>
  <c r="AE44" i="6"/>
  <c r="AG44" i="6"/>
  <c r="AH44" i="6"/>
  <c r="AI44" i="6"/>
  <c r="AJ44" i="6"/>
  <c r="AK44" i="6"/>
  <c r="T38" i="5"/>
  <c r="AB38" i="6"/>
  <c r="AC38" i="6"/>
  <c r="AD38" i="6"/>
  <c r="AF38" i="6"/>
  <c r="AE38" i="6"/>
  <c r="AG38" i="6"/>
  <c r="AH38" i="6"/>
  <c r="AI38" i="6"/>
  <c r="AJ38" i="6"/>
  <c r="AK38" i="6"/>
  <c r="T39" i="5"/>
  <c r="AB39" i="6"/>
  <c r="AC39" i="6"/>
  <c r="AD39" i="6"/>
  <c r="AF39" i="6"/>
  <c r="AE39" i="6"/>
  <c r="AG39" i="6"/>
  <c r="AH39" i="6"/>
  <c r="AI39" i="6"/>
  <c r="AJ39" i="6"/>
  <c r="AK39" i="6"/>
  <c r="T37" i="5"/>
  <c r="AB37" i="6"/>
  <c r="AC37" i="6"/>
  <c r="AD37" i="6"/>
  <c r="AE37" i="6"/>
  <c r="AF37" i="6"/>
  <c r="AG37" i="6"/>
  <c r="AH37" i="6"/>
  <c r="AI37" i="6"/>
  <c r="AJ37" i="6"/>
  <c r="AK37" i="6"/>
  <c r="T36" i="5"/>
  <c r="AB36" i="6"/>
  <c r="AC36" i="6"/>
  <c r="AD36" i="6"/>
  <c r="AE36" i="6"/>
  <c r="AF36" i="6"/>
  <c r="AG36" i="6"/>
  <c r="AH36" i="6"/>
  <c r="AI36" i="6"/>
  <c r="AJ36" i="6"/>
  <c r="AK36" i="6"/>
  <c r="T34" i="5"/>
  <c r="AB34" i="6"/>
  <c r="AC34" i="6"/>
  <c r="AD34" i="6"/>
  <c r="AE34" i="6"/>
  <c r="AF34" i="6"/>
  <c r="AG34" i="6"/>
  <c r="AH34" i="6"/>
  <c r="AI34" i="6"/>
  <c r="AJ34" i="6"/>
  <c r="AK34" i="6"/>
  <c r="T35" i="5"/>
  <c r="AB35" i="6"/>
  <c r="AC35" i="6"/>
  <c r="AD35" i="6"/>
  <c r="AE35" i="6"/>
  <c r="AF35" i="6"/>
  <c r="AG35" i="6"/>
  <c r="AH35" i="6"/>
  <c r="AI35" i="6"/>
  <c r="AJ35" i="6"/>
  <c r="AK35" i="6"/>
  <c r="T33" i="5"/>
  <c r="AB33" i="6"/>
  <c r="AC33" i="6"/>
  <c r="AD33" i="6"/>
  <c r="AE33" i="6"/>
  <c r="AF33" i="6"/>
  <c r="AG33" i="6"/>
  <c r="AH33" i="6"/>
  <c r="AI33" i="6"/>
  <c r="AJ33" i="6"/>
  <c r="AK33" i="6"/>
  <c r="T29" i="5"/>
  <c r="AB29" i="6"/>
  <c r="AC29" i="6"/>
  <c r="AD29" i="6"/>
  <c r="AE29" i="6"/>
  <c r="AF29" i="6"/>
  <c r="AG29" i="6"/>
  <c r="AH29" i="6"/>
  <c r="AI29" i="6"/>
  <c r="AJ29" i="6"/>
  <c r="AK29" i="6"/>
  <c r="T28" i="5"/>
  <c r="AB28" i="6"/>
  <c r="AC28" i="6"/>
  <c r="AD28" i="6"/>
  <c r="AE28" i="6"/>
  <c r="AF28" i="6"/>
  <c r="AG28" i="6"/>
  <c r="AH28" i="6"/>
  <c r="AI28" i="6"/>
  <c r="AJ28" i="6"/>
  <c r="AK28" i="6"/>
  <c r="T30" i="5"/>
  <c r="AB30" i="6"/>
  <c r="AC30" i="6"/>
  <c r="AD30" i="6"/>
  <c r="AE30" i="6"/>
  <c r="AF30" i="6"/>
  <c r="AG30" i="6"/>
  <c r="AH30" i="6"/>
  <c r="AI30" i="6"/>
  <c r="AJ30" i="6"/>
  <c r="AK30" i="6"/>
  <c r="T27" i="5"/>
  <c r="AB27" i="6"/>
  <c r="AC27" i="6"/>
  <c r="AD27" i="6"/>
  <c r="AF27" i="6"/>
  <c r="AE27" i="6"/>
  <c r="AG27" i="6"/>
  <c r="AH27" i="6"/>
  <c r="AI27" i="6"/>
  <c r="AJ27" i="6"/>
  <c r="AK27" i="6"/>
  <c r="T60" i="5"/>
  <c r="AB60" i="6"/>
  <c r="AC60" i="6"/>
  <c r="AD60" i="6"/>
  <c r="AF60" i="6"/>
  <c r="AE60" i="6"/>
  <c r="AG60" i="6"/>
  <c r="AH60" i="6"/>
  <c r="AI60" i="6"/>
  <c r="AJ60" i="6"/>
  <c r="AK60" i="6"/>
  <c r="T61" i="5"/>
  <c r="AB61" i="6"/>
  <c r="AC61" i="6"/>
  <c r="AD61" i="6"/>
  <c r="AE61" i="6"/>
  <c r="AF61" i="6"/>
  <c r="AG61" i="6"/>
  <c r="AH61" i="6"/>
  <c r="AI61" i="6"/>
  <c r="AJ61" i="6"/>
  <c r="AK61" i="6"/>
  <c r="T57" i="5"/>
  <c r="AB57" i="6"/>
  <c r="AC57" i="6"/>
  <c r="AD57" i="6"/>
  <c r="AE57" i="6"/>
  <c r="AF57" i="6"/>
  <c r="AG57" i="6"/>
  <c r="AH57" i="6"/>
  <c r="AI57" i="6"/>
  <c r="AJ57" i="6"/>
  <c r="AK57" i="6"/>
  <c r="E133" i="12"/>
  <c r="T51" i="5"/>
  <c r="AB51" i="6"/>
  <c r="AC51" i="6"/>
  <c r="AD51" i="6"/>
  <c r="AF51" i="6"/>
  <c r="AE51" i="6"/>
  <c r="AG51" i="6"/>
  <c r="AH51" i="6"/>
  <c r="AI51" i="6"/>
  <c r="AJ51" i="6"/>
  <c r="AK51" i="6"/>
  <c r="T50" i="5"/>
  <c r="AB50" i="6"/>
  <c r="AC50" i="6"/>
  <c r="AD50" i="6"/>
  <c r="AE50" i="6"/>
  <c r="AF50" i="6"/>
  <c r="AG50" i="6"/>
  <c r="AH50" i="6"/>
  <c r="AI50" i="6"/>
  <c r="AJ50" i="6"/>
  <c r="AK50" i="6"/>
  <c r="T41" i="5"/>
  <c r="AB41" i="6"/>
  <c r="AC41" i="6"/>
  <c r="AD41" i="6"/>
  <c r="AE41" i="6"/>
  <c r="AF41" i="6"/>
  <c r="AG41" i="6"/>
  <c r="AH41" i="6"/>
  <c r="AI41" i="6"/>
  <c r="AJ41" i="6"/>
  <c r="AK41" i="6"/>
  <c r="T40" i="5"/>
  <c r="AB40" i="6"/>
  <c r="AC40" i="6"/>
  <c r="AD40" i="6"/>
  <c r="AE40" i="6"/>
  <c r="AF40" i="6"/>
  <c r="AG40" i="6"/>
  <c r="AH40" i="6"/>
  <c r="AI40" i="6"/>
  <c r="AJ40" i="6"/>
  <c r="AK40" i="6"/>
  <c r="T46" i="5"/>
  <c r="AB46" i="6"/>
  <c r="AC46" i="6"/>
  <c r="AD46" i="6"/>
  <c r="AF46" i="6"/>
  <c r="AE46" i="6"/>
  <c r="AG46" i="6"/>
  <c r="AH46" i="6"/>
  <c r="AI46" i="6"/>
  <c r="AJ46" i="6"/>
  <c r="AK46" i="6"/>
  <c r="T56" i="5"/>
  <c r="AB56" i="6"/>
  <c r="AC56" i="6"/>
  <c r="AD56" i="6"/>
  <c r="AE56" i="6"/>
  <c r="AF56" i="6"/>
  <c r="AG56" i="6"/>
  <c r="AH56" i="6"/>
  <c r="AI56" i="6"/>
  <c r="AJ56" i="6"/>
  <c r="AK56" i="6"/>
  <c r="T32" i="5"/>
  <c r="AB32" i="6"/>
  <c r="AC32" i="6"/>
  <c r="AD32" i="6"/>
  <c r="AE32" i="6"/>
  <c r="AF32" i="6"/>
  <c r="AG32" i="6"/>
  <c r="AH32" i="6"/>
  <c r="AI32" i="6"/>
  <c r="AJ32" i="6"/>
  <c r="AK32" i="6"/>
  <c r="T31" i="5"/>
  <c r="AB31" i="6"/>
  <c r="AC31" i="6"/>
  <c r="AD31" i="6"/>
  <c r="AF31" i="6"/>
  <c r="AE31" i="6"/>
  <c r="AG31" i="6"/>
  <c r="AH31" i="6"/>
  <c r="AI31" i="6"/>
  <c r="AJ31" i="6"/>
  <c r="AK31" i="6"/>
  <c r="T45" i="5"/>
  <c r="AB45" i="6"/>
  <c r="AC45" i="6"/>
  <c r="AD45" i="6"/>
  <c r="AF45" i="6"/>
  <c r="AE45" i="6"/>
  <c r="AG45" i="6"/>
  <c r="AH45" i="6"/>
  <c r="AI45" i="6"/>
  <c r="AJ45" i="6"/>
  <c r="AK45" i="6"/>
  <c r="T63" i="5"/>
  <c r="AB63" i="6"/>
  <c r="AC63" i="6"/>
  <c r="AD63" i="6"/>
  <c r="AE63" i="6"/>
  <c r="AF63" i="6"/>
  <c r="AG63" i="6"/>
  <c r="AH63" i="6"/>
  <c r="AI63" i="6"/>
  <c r="AJ63" i="6"/>
  <c r="AK63" i="6"/>
  <c r="T26" i="5"/>
  <c r="AB26" i="6"/>
  <c r="AC26" i="6"/>
  <c r="AD26" i="6"/>
  <c r="AE26" i="6"/>
  <c r="AF26" i="6"/>
  <c r="AG26" i="6"/>
  <c r="AH26" i="6"/>
  <c r="AI26" i="6"/>
  <c r="AJ26" i="6"/>
  <c r="AK26" i="6"/>
  <c r="T62" i="5"/>
  <c r="AB62" i="6"/>
  <c r="AC62" i="6"/>
  <c r="AD62" i="6"/>
  <c r="AE62" i="6"/>
  <c r="AF62" i="6"/>
  <c r="AG62" i="6"/>
  <c r="AH62" i="6"/>
  <c r="AI62" i="6"/>
  <c r="AJ62" i="6"/>
  <c r="AK62" i="6"/>
  <c r="T55" i="5"/>
  <c r="AB55" i="6"/>
  <c r="AC55" i="6"/>
  <c r="AD55" i="6"/>
  <c r="AE55" i="6"/>
  <c r="AF55" i="6"/>
  <c r="AG55" i="6"/>
  <c r="AH55" i="6"/>
  <c r="AI55" i="6"/>
  <c r="AJ55" i="6"/>
  <c r="AK55" i="6"/>
  <c r="T23" i="5"/>
  <c r="AB23" i="6"/>
  <c r="AC23" i="6"/>
  <c r="AD23" i="6"/>
  <c r="AF23" i="6"/>
  <c r="AE23" i="6"/>
  <c r="AG23" i="6"/>
  <c r="AH23" i="6"/>
  <c r="AI23" i="6"/>
  <c r="AJ23" i="6"/>
  <c r="AK23" i="6"/>
  <c r="B40" i="9"/>
  <c r="T22" i="5"/>
  <c r="AB22" i="6"/>
  <c r="AC22" i="6"/>
  <c r="AD22" i="6"/>
  <c r="AE22" i="6"/>
  <c r="AF22" i="6"/>
  <c r="AG22" i="6"/>
  <c r="AH22" i="6"/>
  <c r="AI22" i="6"/>
  <c r="AJ22" i="6"/>
  <c r="AK22" i="6"/>
  <c r="T21" i="5"/>
  <c r="AB21" i="6"/>
  <c r="AC21" i="6"/>
  <c r="AD21" i="6"/>
  <c r="AF21" i="6"/>
  <c r="AE21" i="6"/>
  <c r="AG21" i="6"/>
  <c r="AH21" i="6"/>
  <c r="AI21" i="6"/>
  <c r="AJ21" i="6"/>
  <c r="AK21" i="6"/>
  <c r="T18" i="5"/>
  <c r="AB18" i="6"/>
  <c r="AC18" i="6"/>
  <c r="AD18" i="6"/>
  <c r="AF18" i="6"/>
  <c r="AE18" i="6"/>
  <c r="AG18" i="6"/>
  <c r="AH18" i="6"/>
  <c r="AI18" i="6"/>
  <c r="AJ18" i="6"/>
  <c r="AK18" i="6"/>
  <c r="T20" i="5"/>
  <c r="AB20" i="6"/>
  <c r="AC20" i="6"/>
  <c r="AD20" i="6"/>
  <c r="AF20" i="6"/>
  <c r="AE20" i="6"/>
  <c r="AG20" i="6"/>
  <c r="AH20" i="6"/>
  <c r="AI20" i="6"/>
  <c r="AJ20" i="6"/>
  <c r="AK20" i="6"/>
  <c r="T25" i="5"/>
  <c r="AB25" i="6"/>
  <c r="AC25" i="6"/>
  <c r="AD25" i="6"/>
  <c r="AE25" i="6"/>
  <c r="AF25" i="6"/>
  <c r="AG25" i="6"/>
  <c r="AH25" i="6"/>
  <c r="AI25" i="6"/>
  <c r="AJ25" i="6"/>
  <c r="AK25" i="6"/>
  <c r="T24" i="5"/>
  <c r="AB24" i="6"/>
  <c r="AC24" i="6"/>
  <c r="AD24" i="6"/>
  <c r="AF24" i="6"/>
  <c r="AE24" i="6"/>
  <c r="AG24" i="6"/>
  <c r="AH24" i="6"/>
  <c r="AI24" i="6"/>
  <c r="AJ24" i="6"/>
  <c r="AK24" i="6"/>
  <c r="I10" i="7"/>
  <c r="K13" i="7"/>
  <c r="L13" i="7" s="1"/>
  <c r="J10" i="7"/>
  <c r="N69" i="6" l="1"/>
  <c r="M69" i="6"/>
  <c r="AK69" i="6" s="1"/>
  <c r="AB68" i="5" a="1"/>
  <c r="AB68" i="5" s="1"/>
  <c r="C68" i="12"/>
  <c r="O68" i="12" a="1"/>
  <c r="O68" i="12" s="1"/>
  <c r="AO68" i="12" a="1"/>
  <c r="AO68" i="12" s="1"/>
  <c r="M68" i="12" a="1"/>
  <c r="M68" i="12" s="1"/>
  <c r="C68" i="6"/>
  <c r="BF68" i="6" a="1"/>
  <c r="BF68" i="6" s="1"/>
  <c r="AX68" i="6" a="1"/>
  <c r="AX68" i="6" s="1"/>
  <c r="AS68" i="6"/>
  <c r="AZ68" i="6" a="1"/>
  <c r="AZ68" i="6" s="1"/>
  <c r="AO68" i="6"/>
  <c r="AV68" i="6"/>
  <c r="AR68" i="6"/>
  <c r="AN68" i="6"/>
  <c r="BC68" i="6" a="1"/>
  <c r="BC68" i="6" s="1"/>
  <c r="BG68" i="6" a="1"/>
  <c r="BG68" i="6" s="1"/>
  <c r="BE68" i="6" a="1"/>
  <c r="BE68" i="6" s="1"/>
  <c r="AU68" i="6"/>
  <c r="BA68" i="6" a="1"/>
  <c r="BA68" i="6" s="1"/>
  <c r="AY68" i="6" a="1"/>
  <c r="AY68" i="6" s="1"/>
  <c r="AQ68" i="6"/>
  <c r="AM68" i="6"/>
  <c r="AT68" i="6"/>
  <c r="AP68" i="6"/>
  <c r="BD68" i="6" a="1"/>
  <c r="BD68" i="6" s="1"/>
  <c r="BB68" i="6" a="1"/>
  <c r="BB68" i="6" s="1"/>
  <c r="AF68" i="6"/>
  <c r="AJ68" i="6"/>
  <c r="AK68" i="6"/>
  <c r="AG68" i="6"/>
  <c r="AD68" i="6"/>
  <c r="AH68" i="6"/>
  <c r="AE68" i="6"/>
  <c r="AI68" i="6"/>
  <c r="AB68" i="6"/>
  <c r="AC68" i="6"/>
  <c r="K70" i="12"/>
  <c r="AT70" i="6"/>
  <c r="AI70" i="6"/>
  <c r="AV70" i="6"/>
  <c r="AN70" i="6"/>
  <c r="BE70" i="6" a="1"/>
  <c r="BE70" i="6" s="1"/>
  <c r="AK70" i="6"/>
  <c r="AF70" i="6"/>
  <c r="BC70" i="6" a="1"/>
  <c r="BC70" i="6" s="1"/>
  <c r="BG70" i="6" a="1"/>
  <c r="BG70" i="6" s="1"/>
  <c r="AD70" i="6"/>
  <c r="AY70" i="6" a="1"/>
  <c r="AY70" i="6" s="1"/>
  <c r="AU70" i="6"/>
  <c r="AE70" i="6"/>
  <c r="AQ70" i="6"/>
  <c r="BF70" i="6" a="1"/>
  <c r="BF70" i="6" s="1"/>
  <c r="AS70" i="6"/>
  <c r="AB70" i="6"/>
  <c r="AZ70" i="6" a="1"/>
  <c r="AZ70" i="6" s="1"/>
  <c r="AJ70" i="6"/>
  <c r="AR70" i="6"/>
  <c r="AC70" i="6"/>
  <c r="BD70" i="6" a="1"/>
  <c r="BD70" i="6" s="1"/>
  <c r="AP70" i="6"/>
  <c r="AX70" i="6" a="1"/>
  <c r="AX70" i="6" s="1"/>
  <c r="AH70" i="6"/>
  <c r="BA70" i="6" a="1"/>
  <c r="BA70" i="6" s="1"/>
  <c r="AG70" i="6"/>
  <c r="AM70" i="6"/>
  <c r="AO70" i="6"/>
  <c r="BB70" i="6" a="1"/>
  <c r="BB70" i="6" s="1"/>
  <c r="S71" i="5" a="1"/>
  <c r="S71" i="5" s="1"/>
  <c r="F71" i="12" s="1" a="1"/>
  <c r="F71" i="12" s="1"/>
  <c r="AG71" i="5" a="1"/>
  <c r="AG71" i="5" s="1"/>
  <c r="G19" i="12" a="1"/>
  <c r="G19" i="12" s="1"/>
  <c r="A71" i="6"/>
  <c r="J71" i="6" a="1"/>
  <c r="J71" i="6" s="1"/>
  <c r="N71" i="6"/>
  <c r="M71" i="6"/>
  <c r="AU71" i="6" s="1"/>
  <c r="G71" i="6"/>
  <c r="H71" i="6" a="1"/>
  <c r="H71" i="6" s="1"/>
  <c r="C73" i="5"/>
  <c r="F72" i="5"/>
  <c r="B72" i="5"/>
  <c r="AE72" i="5" a="1"/>
  <c r="AE72" i="5" s="1"/>
  <c r="AD72" i="5"/>
  <c r="A72" i="12"/>
  <c r="E72" i="5"/>
  <c r="J72" i="5"/>
  <c r="H72" i="5"/>
  <c r="K72" i="5"/>
  <c r="G72" i="5"/>
  <c r="N72" i="5"/>
  <c r="D72" i="6" s="1"/>
  <c r="D72" i="5"/>
  <c r="B72" i="12" s="1"/>
  <c r="N70" i="6"/>
  <c r="L73" i="6"/>
  <c r="B72" i="6"/>
  <c r="J72" i="6" s="1" a="1"/>
  <c r="J72" i="6" s="1"/>
  <c r="G70" i="12" a="1"/>
  <c r="G70" i="12" s="1"/>
  <c r="G64" i="12" a="1"/>
  <c r="G64" i="12" s="1"/>
  <c r="G66" i="12" a="1"/>
  <c r="G66" i="12" s="1"/>
  <c r="G67" i="12" a="1"/>
  <c r="G67" i="12" s="1"/>
  <c r="G69" i="12" a="1"/>
  <c r="G69" i="12" s="1"/>
  <c r="G65" i="12" a="1"/>
  <c r="G65" i="12" s="1"/>
  <c r="G58" i="12" a="1"/>
  <c r="G58" i="12" s="1"/>
  <c r="G59" i="12" a="1"/>
  <c r="G59" i="12" s="1"/>
  <c r="G53" i="12" a="1"/>
  <c r="G53" i="12" s="1"/>
  <c r="G52" i="12" a="1"/>
  <c r="G52" i="12" s="1"/>
  <c r="G54" i="12" a="1"/>
  <c r="G54" i="12" s="1"/>
  <c r="G47" i="12" a="1"/>
  <c r="G47" i="12" s="1"/>
  <c r="G49" i="12" a="1"/>
  <c r="G49" i="12" s="1"/>
  <c r="G48" i="12" a="1"/>
  <c r="G48" i="12" s="1"/>
  <c r="G44" i="12" a="1"/>
  <c r="G44" i="12" s="1"/>
  <c r="G42" i="12" a="1"/>
  <c r="G42" i="12" s="1"/>
  <c r="G43" i="12" a="1"/>
  <c r="G43" i="12" s="1"/>
  <c r="G38" i="12" a="1"/>
  <c r="G38" i="12" s="1"/>
  <c r="G39" i="12" a="1"/>
  <c r="G39" i="12" s="1"/>
  <c r="G36" i="12" a="1"/>
  <c r="G36" i="12" s="1"/>
  <c r="G33" i="12" a="1"/>
  <c r="G33" i="12" s="1"/>
  <c r="G34" i="12" a="1"/>
  <c r="G34" i="12" s="1"/>
  <c r="G37" i="12" a="1"/>
  <c r="G37" i="12" s="1"/>
  <c r="G35" i="12" a="1"/>
  <c r="G35" i="12" s="1"/>
  <c r="G28" i="12" a="1"/>
  <c r="G28" i="12" s="1"/>
  <c r="G27" i="12" a="1"/>
  <c r="G27" i="12" s="1"/>
  <c r="G30" i="12" a="1"/>
  <c r="G30" i="12" s="1"/>
  <c r="G29" i="12" a="1"/>
  <c r="G29" i="12" s="1"/>
  <c r="G61" i="12" a="1"/>
  <c r="G61" i="12" s="1"/>
  <c r="G57" i="12" a="1"/>
  <c r="G57" i="12" s="1"/>
  <c r="G60" i="12" a="1"/>
  <c r="G60" i="12" s="1"/>
  <c r="E140" i="12"/>
  <c r="G50" i="12" a="1"/>
  <c r="G50" i="12" s="1"/>
  <c r="G51" i="12" a="1"/>
  <c r="G51" i="12" s="1"/>
  <c r="G40" i="12" a="1"/>
  <c r="G40" i="12" s="1"/>
  <c r="G41" i="12" a="1"/>
  <c r="G41" i="12" s="1"/>
  <c r="G62" i="12" a="1"/>
  <c r="G62" i="12" s="1"/>
  <c r="G63" i="12" a="1"/>
  <c r="G63" i="12" s="1"/>
  <c r="G31" i="12" a="1"/>
  <c r="G31" i="12" s="1"/>
  <c r="G26" i="12" a="1"/>
  <c r="G26" i="12" s="1"/>
  <c r="G56" i="12" a="1"/>
  <c r="G56" i="12" s="1"/>
  <c r="G55" i="12" a="1"/>
  <c r="G55" i="12" s="1"/>
  <c r="G45" i="12" a="1"/>
  <c r="G45" i="12" s="1"/>
  <c r="G32" i="12" a="1"/>
  <c r="G32" i="12" s="1"/>
  <c r="G46" i="12" a="1"/>
  <c r="G46" i="12" s="1"/>
  <c r="G20" i="12" a="1"/>
  <c r="G20" i="12" s="1"/>
  <c r="B41" i="9"/>
  <c r="G21" i="12" a="1"/>
  <c r="G21" i="12" s="1"/>
  <c r="G18" i="12" a="1"/>
  <c r="G18" i="12" s="1"/>
  <c r="G25" i="12" a="1"/>
  <c r="G25" i="12" s="1"/>
  <c r="G24" i="12" a="1"/>
  <c r="G24" i="12" s="1"/>
  <c r="G22" i="12" a="1"/>
  <c r="G22" i="12" s="1"/>
  <c r="G23" i="12" a="1"/>
  <c r="G23" i="12" s="1"/>
  <c r="M13" i="7"/>
  <c r="L10" i="7"/>
  <c r="AI69" i="6" l="1"/>
  <c r="AB69" i="6"/>
  <c r="AP69" i="6"/>
  <c r="AS69" i="6"/>
  <c r="BA69" i="6" a="1"/>
  <c r="BA69" i="6" s="1"/>
  <c r="BD69" i="6" a="1"/>
  <c r="BD69" i="6" s="1"/>
  <c r="AM69" i="6"/>
  <c r="AZ69" i="6" a="1"/>
  <c r="AZ69" i="6" s="1"/>
  <c r="AY69" i="6" a="1"/>
  <c r="AY69" i="6" s="1"/>
  <c r="BB69" i="6" a="1"/>
  <c r="BB69" i="6" s="1"/>
  <c r="AX69" i="6" a="1"/>
  <c r="AX69" i="6" s="1"/>
  <c r="AG69" i="6"/>
  <c r="AE69" i="6"/>
  <c r="AD69" i="6"/>
  <c r="BG69" i="6" a="1"/>
  <c r="BG69" i="6" s="1"/>
  <c r="AO69" i="6"/>
  <c r="AC69" i="6"/>
  <c r="AT69" i="6"/>
  <c r="BF69" i="6" a="1"/>
  <c r="BF69" i="6" s="1"/>
  <c r="AN69" i="6"/>
  <c r="AH69" i="6"/>
  <c r="AV69" i="6"/>
  <c r="Y68" i="12"/>
  <c r="X68" i="12" s="1" a="1"/>
  <c r="X68" i="12" s="1"/>
  <c r="AR69" i="6"/>
  <c r="BC69" i="6" a="1"/>
  <c r="BC69" i="6" s="1"/>
  <c r="AU69" i="6"/>
  <c r="AJ69" i="6"/>
  <c r="AQ69" i="6"/>
  <c r="AF69" i="6"/>
  <c r="BE69" i="6" a="1"/>
  <c r="BE69" i="6" s="1"/>
  <c r="N68" i="12"/>
  <c r="AF71" i="6"/>
  <c r="BF71" i="6" a="1"/>
  <c r="BF71" i="6" s="1"/>
  <c r="AG71" i="6"/>
  <c r="BA71" i="6" a="1"/>
  <c r="BA71" i="6" s="1"/>
  <c r="AM71" i="6"/>
  <c r="BE71" i="6" a="1"/>
  <c r="BE71" i="6" s="1"/>
  <c r="AN71" i="6"/>
  <c r="AP71" i="6"/>
  <c r="AE71" i="6"/>
  <c r="AJ71" i="6"/>
  <c r="AB71" i="6"/>
  <c r="AC71" i="6"/>
  <c r="T71" i="5"/>
  <c r="G71" i="12" s="1" a="1"/>
  <c r="G71" i="12" s="1"/>
  <c r="AD71" i="6"/>
  <c r="AS71" i="6"/>
  <c r="H73" i="5"/>
  <c r="AZ71" i="6" a="1"/>
  <c r="AZ71" i="6" s="1"/>
  <c r="BC71" i="6" a="1"/>
  <c r="BC71" i="6" s="1"/>
  <c r="H72" i="6" a="1"/>
  <c r="H72" i="6" s="1"/>
  <c r="T72" i="5" s="1"/>
  <c r="G72" i="12" s="1" a="1"/>
  <c r="G72" i="12" s="1"/>
  <c r="BB71" i="6" a="1"/>
  <c r="BB71" i="6" s="1"/>
  <c r="AX71" i="6" a="1"/>
  <c r="AX71" i="6" s="1"/>
  <c r="L72" i="12" a="1"/>
  <c r="L72" i="12" s="1"/>
  <c r="J72" i="12" a="1"/>
  <c r="J72" i="12" s="1"/>
  <c r="AR71" i="6"/>
  <c r="AI71" i="6"/>
  <c r="D73" i="5"/>
  <c r="B73" i="12" s="1"/>
  <c r="N73" i="5"/>
  <c r="D73" i="6" s="1"/>
  <c r="A73" i="12"/>
  <c r="AD73" i="5"/>
  <c r="AE73" i="5" a="1"/>
  <c r="AE73" i="5" s="1"/>
  <c r="C74" i="5"/>
  <c r="J73" i="5"/>
  <c r="K73" i="5"/>
  <c r="AV71" i="6"/>
  <c r="AO71" i="6"/>
  <c r="AT71" i="6"/>
  <c r="L74" i="6"/>
  <c r="B73" i="6"/>
  <c r="A72" i="6"/>
  <c r="N72" i="6" s="1"/>
  <c r="B73" i="5"/>
  <c r="AY71" i="6" a="1"/>
  <c r="AY71" i="6" s="1"/>
  <c r="AK71" i="6"/>
  <c r="G73" i="5"/>
  <c r="BD71" i="6" a="1"/>
  <c r="BD71" i="6" s="1"/>
  <c r="E73" i="5"/>
  <c r="BG71" i="6" a="1"/>
  <c r="BG71" i="6" s="1"/>
  <c r="F73" i="5"/>
  <c r="AQ71" i="6"/>
  <c r="AH71" i="6"/>
  <c r="E153" i="12"/>
  <c r="B42" i="9"/>
  <c r="N13" i="7"/>
  <c r="M10" i="7"/>
  <c r="W68" i="12" l="1" a="1"/>
  <c r="W68" i="12" s="1"/>
  <c r="T68" i="12" s="1"/>
  <c r="B74" i="5"/>
  <c r="G74" i="5"/>
  <c r="H74" i="5"/>
  <c r="F74" i="5"/>
  <c r="A74" i="12"/>
  <c r="D74" i="5"/>
  <c r="B74" i="12" s="1"/>
  <c r="C75" i="5"/>
  <c r="N74" i="5"/>
  <c r="D74" i="6" s="1"/>
  <c r="AE74" i="5" a="1"/>
  <c r="AE74" i="5" s="1"/>
  <c r="K74" i="5"/>
  <c r="E74" i="5"/>
  <c r="J74" i="5"/>
  <c r="AD74" i="5"/>
  <c r="M72" i="6"/>
  <c r="L73" i="12" a="1"/>
  <c r="L73" i="12" s="1"/>
  <c r="J73" i="12" a="1"/>
  <c r="J73" i="12" s="1"/>
  <c r="H73" i="6" a="1"/>
  <c r="H73" i="6" s="1"/>
  <c r="T73" i="5" s="1"/>
  <c r="G73" i="12" s="1" a="1"/>
  <c r="G73" i="12" s="1"/>
  <c r="A73" i="6"/>
  <c r="N73" i="6" s="1"/>
  <c r="J73" i="6" a="1"/>
  <c r="J73" i="6" s="1"/>
  <c r="K72" i="12"/>
  <c r="B74" i="6"/>
  <c r="L75" i="6"/>
  <c r="B43" i="9"/>
  <c r="O13" i="7"/>
  <c r="N10" i="7"/>
  <c r="U68" i="12" l="1"/>
  <c r="V68" i="12" a="1"/>
  <c r="V68" i="12" s="1"/>
  <c r="M73" i="6"/>
  <c r="AC73" i="6" s="1"/>
  <c r="H74" i="6" a="1"/>
  <c r="H74" i="6" s="1"/>
  <c r="T74" i="5" s="1"/>
  <c r="G74" i="12" s="1" a="1"/>
  <c r="G74" i="12" s="1"/>
  <c r="AY72" i="6" a="1"/>
  <c r="AY72" i="6" s="1"/>
  <c r="AB72" i="6"/>
  <c r="BD72" i="6" a="1"/>
  <c r="BD72" i="6" s="1"/>
  <c r="BF72" i="6" a="1"/>
  <c r="BF72" i="6" s="1"/>
  <c r="AT72" i="6"/>
  <c r="BA72" i="6" a="1"/>
  <c r="BA72" i="6" s="1"/>
  <c r="AR72" i="6"/>
  <c r="BE72" i="6" a="1"/>
  <c r="BE72" i="6" s="1"/>
  <c r="BC72" i="6" a="1"/>
  <c r="BC72" i="6" s="1"/>
  <c r="AF72" i="6"/>
  <c r="AN72" i="6"/>
  <c r="AO72" i="6"/>
  <c r="AH72" i="6"/>
  <c r="AS72" i="6"/>
  <c r="AZ72" i="6" a="1"/>
  <c r="AZ72" i="6" s="1"/>
  <c r="AI72" i="6"/>
  <c r="AP72" i="6"/>
  <c r="AX72" i="6" a="1"/>
  <c r="AX72" i="6" s="1"/>
  <c r="AC72" i="6"/>
  <c r="AQ72" i="6"/>
  <c r="AU72" i="6"/>
  <c r="AD72" i="6"/>
  <c r="BB72" i="6" a="1"/>
  <c r="BB72" i="6" s="1"/>
  <c r="AV72" i="6"/>
  <c r="BG72" i="6" a="1"/>
  <c r="BG72" i="6" s="1"/>
  <c r="AJ72" i="6"/>
  <c r="AM72" i="6"/>
  <c r="A74" i="6"/>
  <c r="M74" i="6" s="1"/>
  <c r="J74" i="6" a="1"/>
  <c r="J74" i="6" s="1"/>
  <c r="D75" i="5"/>
  <c r="B75" i="12" s="1"/>
  <c r="B75" i="5"/>
  <c r="N75" i="5"/>
  <c r="D75" i="6" s="1"/>
  <c r="AD75" i="5"/>
  <c r="J75" i="5"/>
  <c r="H75" i="5"/>
  <c r="F75" i="5"/>
  <c r="K75" i="5"/>
  <c r="AE75" i="5" a="1"/>
  <c r="AE75" i="5" s="1"/>
  <c r="E75" i="5"/>
  <c r="G75" i="5"/>
  <c r="A75" i="12"/>
  <c r="C76" i="5"/>
  <c r="AE72" i="6"/>
  <c r="AK72" i="6"/>
  <c r="AG72" i="6"/>
  <c r="J74" i="12" a="1"/>
  <c r="J74" i="12" s="1"/>
  <c r="L74" i="12" a="1"/>
  <c r="L74" i="12" s="1"/>
  <c r="B75" i="6"/>
  <c r="L76" i="6"/>
  <c r="K73" i="12"/>
  <c r="I31" i="5"/>
  <c r="E160" i="12"/>
  <c r="I45" i="5"/>
  <c r="I40" i="5"/>
  <c r="B44" i="9"/>
  <c r="P13" i="7"/>
  <c r="O10" i="7"/>
  <c r="AX73" i="6" l="1" a="1"/>
  <c r="AX73" i="6" s="1"/>
  <c r="BC73" i="6" a="1"/>
  <c r="BC73" i="6" s="1"/>
  <c r="AH73" i="6"/>
  <c r="K74" i="12"/>
  <c r="AR73" i="6"/>
  <c r="AN73" i="6"/>
  <c r="AG73" i="6"/>
  <c r="AF73" i="6"/>
  <c r="BA73" i="6" a="1"/>
  <c r="BA73" i="6" s="1"/>
  <c r="AJ73" i="6"/>
  <c r="AI73" i="6"/>
  <c r="BD73" i="6" a="1"/>
  <c r="BD73" i="6" s="1"/>
  <c r="AD73" i="6"/>
  <c r="AQ73" i="6"/>
  <c r="AB73" i="6"/>
  <c r="AE73" i="6"/>
  <c r="BB73" i="6" a="1"/>
  <c r="BB73" i="6" s="1"/>
  <c r="AS73" i="6"/>
  <c r="AV73" i="6"/>
  <c r="AP73" i="6"/>
  <c r="AY73" i="6" a="1"/>
  <c r="AY73" i="6" s="1"/>
  <c r="AO73" i="6"/>
  <c r="AZ73" i="6" a="1"/>
  <c r="AZ73" i="6" s="1"/>
  <c r="BF73" i="6" a="1"/>
  <c r="BF73" i="6" s="1"/>
  <c r="BG73" i="6" a="1"/>
  <c r="BG73" i="6" s="1"/>
  <c r="AU73" i="6"/>
  <c r="AM73" i="6"/>
  <c r="AT73" i="6"/>
  <c r="BE73" i="6" a="1"/>
  <c r="BE73" i="6" s="1"/>
  <c r="AK73" i="6"/>
  <c r="AV74" i="6"/>
  <c r="AX74" i="6" a="1"/>
  <c r="AX74" i="6" s="1"/>
  <c r="AU74" i="6"/>
  <c r="AF74" i="6"/>
  <c r="AR74" i="6"/>
  <c r="AH74" i="6"/>
  <c r="BD74" i="6" a="1"/>
  <c r="BD74" i="6" s="1"/>
  <c r="AZ74" i="6" a="1"/>
  <c r="AZ74" i="6" s="1"/>
  <c r="AI74" i="6"/>
  <c r="BG74" i="6" a="1"/>
  <c r="BG74" i="6" s="1"/>
  <c r="AC74" i="6"/>
  <c r="BA74" i="6" a="1"/>
  <c r="BA74" i="6" s="1"/>
  <c r="AD74" i="6"/>
  <c r="BC74" i="6" a="1"/>
  <c r="BC74" i="6" s="1"/>
  <c r="AB74" i="6"/>
  <c r="AS74" i="6"/>
  <c r="AT74" i="6"/>
  <c r="AK74" i="6"/>
  <c r="BB74" i="6" a="1"/>
  <c r="BB74" i="6" s="1"/>
  <c r="AG74" i="6"/>
  <c r="AP74" i="6"/>
  <c r="AJ74" i="6"/>
  <c r="AO74" i="6"/>
  <c r="AE74" i="6"/>
  <c r="AN74" i="6"/>
  <c r="AM74" i="6"/>
  <c r="BF74" i="6" a="1"/>
  <c r="BF74" i="6" s="1"/>
  <c r="AQ74" i="6"/>
  <c r="AY74" i="6" a="1"/>
  <c r="AY74" i="6" s="1"/>
  <c r="BE74" i="6" a="1"/>
  <c r="BE74" i="6" s="1"/>
  <c r="L77" i="6"/>
  <c r="B76" i="6"/>
  <c r="A75" i="6"/>
  <c r="M75" i="6" s="1"/>
  <c r="J75" i="6" a="1"/>
  <c r="J75" i="6" s="1"/>
  <c r="AE76" i="5" a="1"/>
  <c r="AE76" i="5" s="1"/>
  <c r="B76" i="5"/>
  <c r="C77" i="5" s="1"/>
  <c r="H76" i="5"/>
  <c r="J76" i="5"/>
  <c r="K76" i="5"/>
  <c r="G76" i="5"/>
  <c r="AD76" i="5"/>
  <c r="E76" i="5"/>
  <c r="A76" i="12"/>
  <c r="N76" i="5"/>
  <c r="D76" i="6" s="1"/>
  <c r="D76" i="5"/>
  <c r="B76" i="12" s="1"/>
  <c r="F76" i="5"/>
  <c r="L75" i="12" a="1"/>
  <c r="L75" i="12" s="1"/>
  <c r="J75" i="12" a="1"/>
  <c r="J75" i="12" s="1"/>
  <c r="H75" i="6" a="1"/>
  <c r="H75" i="6" s="1"/>
  <c r="T75" i="5" s="1"/>
  <c r="G75" i="12" s="1" a="1"/>
  <c r="G75" i="12" s="1"/>
  <c r="N74" i="6"/>
  <c r="I55" i="5"/>
  <c r="B45" i="9"/>
  <c r="Q13" i="7"/>
  <c r="P10" i="7"/>
  <c r="K75" i="12" l="1"/>
  <c r="AV75" i="6"/>
  <c r="AR75" i="6"/>
  <c r="AC75" i="6"/>
  <c r="AZ75" i="6" a="1"/>
  <c r="AZ75" i="6" s="1"/>
  <c r="AM75" i="6"/>
  <c r="AX75" i="6" a="1"/>
  <c r="AX75" i="6" s="1"/>
  <c r="AP75" i="6"/>
  <c r="AT75" i="6"/>
  <c r="AI75" i="6"/>
  <c r="AN75" i="6"/>
  <c r="AU75" i="6"/>
  <c r="AK75" i="6"/>
  <c r="AS75" i="6"/>
  <c r="BB75" i="6" a="1"/>
  <c r="BB75" i="6" s="1"/>
  <c r="AY75" i="6" a="1"/>
  <c r="AY75" i="6" s="1"/>
  <c r="AO75" i="6"/>
  <c r="AQ75" i="6"/>
  <c r="BG75" i="6" a="1"/>
  <c r="BG75" i="6" s="1"/>
  <c r="BD75" i="6" a="1"/>
  <c r="BD75" i="6" s="1"/>
  <c r="BE75" i="6" a="1"/>
  <c r="BE75" i="6" s="1"/>
  <c r="AJ75" i="6"/>
  <c r="AG75" i="6"/>
  <c r="BC75" i="6" a="1"/>
  <c r="BC75" i="6" s="1"/>
  <c r="BF75" i="6" a="1"/>
  <c r="BF75" i="6" s="1"/>
  <c r="BA75" i="6" a="1"/>
  <c r="BA75" i="6" s="1"/>
  <c r="AH75" i="6"/>
  <c r="N75" i="6"/>
  <c r="A76" i="6"/>
  <c r="N76" i="6" s="1"/>
  <c r="J76" i="6" a="1"/>
  <c r="J76" i="6" s="1"/>
  <c r="L78" i="6"/>
  <c r="B77" i="6"/>
  <c r="F77" i="6"/>
  <c r="B77" i="5"/>
  <c r="AE77" i="5" a="1"/>
  <c r="AE77" i="5" s="1"/>
  <c r="AF77" i="5" a="1"/>
  <c r="AF77" i="5" s="1"/>
  <c r="AD77" i="5"/>
  <c r="A77" i="12"/>
  <c r="F77" i="5"/>
  <c r="H77" i="5"/>
  <c r="W77" i="5" a="1"/>
  <c r="W77" i="5" s="1"/>
  <c r="H77" i="12" s="1" a="1"/>
  <c r="H77" i="12" s="1"/>
  <c r="C78" i="5"/>
  <c r="G77" i="5"/>
  <c r="K71" i="5" s="1"/>
  <c r="E77" i="5"/>
  <c r="N77" i="5"/>
  <c r="D77" i="6" s="1"/>
  <c r="AF75" i="6"/>
  <c r="AB75" i="6"/>
  <c r="J76" i="12" a="1"/>
  <c r="J76" i="12" s="1"/>
  <c r="L76" i="12" a="1"/>
  <c r="L76" i="12" s="1"/>
  <c r="H76" i="6" a="1"/>
  <c r="H76" i="6" s="1"/>
  <c r="T76" i="5" s="1"/>
  <c r="G76" i="12" s="1" a="1"/>
  <c r="G76" i="12" s="1"/>
  <c r="AE75" i="6"/>
  <c r="AD75" i="6"/>
  <c r="I62" i="5"/>
  <c r="E166" i="12"/>
  <c r="I77" i="5"/>
  <c r="I71" i="5"/>
  <c r="B46" i="9"/>
  <c r="R13" i="7"/>
  <c r="Q10" i="7"/>
  <c r="K76" i="12" l="1"/>
  <c r="A77" i="6"/>
  <c r="J77" i="6" a="1"/>
  <c r="J77" i="6" s="1"/>
  <c r="B78" i="6"/>
  <c r="J78" i="6" s="1" a="1"/>
  <c r="J78" i="6" s="1"/>
  <c r="L79" i="6"/>
  <c r="M76" i="6"/>
  <c r="AG76" i="6" s="1"/>
  <c r="N77" i="6"/>
  <c r="G77" i="6"/>
  <c r="M77" i="6"/>
  <c r="BC77" i="6" s="1" a="1"/>
  <c r="BC77" i="6" s="1"/>
  <c r="H77" i="6" a="1"/>
  <c r="H77" i="6" s="1"/>
  <c r="T77" i="5" s="1"/>
  <c r="G77" i="12" s="1" a="1"/>
  <c r="G77" i="12" s="1"/>
  <c r="N78" i="5"/>
  <c r="D78" i="6" s="1"/>
  <c r="G78" i="5"/>
  <c r="A78" i="12"/>
  <c r="C79" i="5"/>
  <c r="AD78" i="5"/>
  <c r="K78" i="5"/>
  <c r="F78" i="5"/>
  <c r="B78" i="5"/>
  <c r="J78" i="5"/>
  <c r="E78" i="5"/>
  <c r="H78" i="5"/>
  <c r="AE78" i="5" a="1"/>
  <c r="AE78" i="5" s="1"/>
  <c r="D78" i="5"/>
  <c r="B78" i="12" s="1"/>
  <c r="S77" i="5" a="1"/>
  <c r="S77" i="5" s="1"/>
  <c r="F77" i="12" s="1" a="1"/>
  <c r="F77" i="12" s="1"/>
  <c r="AG77" i="5" a="1"/>
  <c r="AG77" i="5" s="1"/>
  <c r="B47" i="9"/>
  <c r="S13" i="7"/>
  <c r="R10" i="7"/>
  <c r="AI77" i="6" l="1"/>
  <c r="AG77" i="6"/>
  <c r="BG77" i="6" a="1"/>
  <c r="BG77" i="6" s="1"/>
  <c r="AZ77" i="6" a="1"/>
  <c r="AZ77" i="6" s="1"/>
  <c r="BD77" i="6" a="1"/>
  <c r="BD77" i="6" s="1"/>
  <c r="AB77" i="6"/>
  <c r="AE77" i="6"/>
  <c r="AM77" i="6"/>
  <c r="AV77" i="6"/>
  <c r="AD77" i="6"/>
  <c r="AC77" i="6"/>
  <c r="AK77" i="6"/>
  <c r="AS77" i="6"/>
  <c r="AT77" i="6"/>
  <c r="AP77" i="6"/>
  <c r="AO77" i="6"/>
  <c r="BF77" i="6" a="1"/>
  <c r="BF77" i="6" s="1"/>
  <c r="AR77" i="6"/>
  <c r="AJ77" i="6"/>
  <c r="AY77" i="6" a="1"/>
  <c r="AY77" i="6" s="1"/>
  <c r="AH77" i="6"/>
  <c r="AX77" i="6" a="1"/>
  <c r="AX77" i="6" s="1"/>
  <c r="BB77" i="6" a="1"/>
  <c r="BB77" i="6" s="1"/>
  <c r="AF77" i="6"/>
  <c r="AQ77" i="6"/>
  <c r="AE76" i="6"/>
  <c r="L78" i="12" a="1"/>
  <c r="L78" i="12" s="1"/>
  <c r="J78" i="12" a="1"/>
  <c r="J78" i="12" s="1"/>
  <c r="B79" i="6"/>
  <c r="J79" i="6" s="1" a="1"/>
  <c r="J79" i="6" s="1"/>
  <c r="L80" i="6"/>
  <c r="B79" i="5"/>
  <c r="AD79" i="5"/>
  <c r="D79" i="5"/>
  <c r="B79" i="12" s="1"/>
  <c r="H79" i="5"/>
  <c r="F79" i="5"/>
  <c r="N79" i="5"/>
  <c r="D79" i="6" s="1"/>
  <c r="C80" i="5"/>
  <c r="E79" i="5"/>
  <c r="K79" i="5"/>
  <c r="A79" i="12"/>
  <c r="J79" i="5"/>
  <c r="AE79" i="5" a="1"/>
  <c r="AE79" i="5" s="1"/>
  <c r="G79" i="5"/>
  <c r="AK76" i="6"/>
  <c r="H78" i="6" a="1"/>
  <c r="H78" i="6" s="1"/>
  <c r="T78" i="5" s="1"/>
  <c r="G78" i="12" s="1" a="1"/>
  <c r="G78" i="12" s="1"/>
  <c r="AD76" i="6"/>
  <c r="A78" i="6"/>
  <c r="BE77" i="6" a="1"/>
  <c r="BE77" i="6" s="1"/>
  <c r="AU77" i="6"/>
  <c r="AM76" i="6"/>
  <c r="AF76" i="6"/>
  <c r="AI76" i="6"/>
  <c r="AX76" i="6" a="1"/>
  <c r="AX76" i="6" s="1"/>
  <c r="AU76" i="6"/>
  <c r="AH76" i="6"/>
  <c r="AC76" i="6"/>
  <c r="BF76" i="6" a="1"/>
  <c r="BF76" i="6" s="1"/>
  <c r="AV76" i="6"/>
  <c r="BG76" i="6" a="1"/>
  <c r="BG76" i="6" s="1"/>
  <c r="AP76" i="6"/>
  <c r="AZ76" i="6" a="1"/>
  <c r="AZ76" i="6" s="1"/>
  <c r="AS76" i="6"/>
  <c r="AQ76" i="6"/>
  <c r="BA76" i="6" a="1"/>
  <c r="BA76" i="6" s="1"/>
  <c r="BB76" i="6" a="1"/>
  <c r="BB76" i="6" s="1"/>
  <c r="AT76" i="6"/>
  <c r="AR76" i="6"/>
  <c r="AY76" i="6" a="1"/>
  <c r="AY76" i="6" s="1"/>
  <c r="BD76" i="6" a="1"/>
  <c r="BD76" i="6" s="1"/>
  <c r="AN76" i="6"/>
  <c r="BE76" i="6" a="1"/>
  <c r="BE76" i="6" s="1"/>
  <c r="AO76" i="6"/>
  <c r="BC76" i="6" a="1"/>
  <c r="BC76" i="6" s="1"/>
  <c r="AJ76" i="6"/>
  <c r="AB76" i="6"/>
  <c r="AN77" i="6"/>
  <c r="BA77" i="6" a="1"/>
  <c r="BA77" i="6" s="1"/>
  <c r="E162" i="12"/>
  <c r="B48" i="9"/>
  <c r="T13" i="7"/>
  <c r="S10" i="7"/>
  <c r="A79" i="6" l="1"/>
  <c r="M79" i="6" s="1"/>
  <c r="AV79" i="6" s="1"/>
  <c r="N78" i="6"/>
  <c r="K78" i="12"/>
  <c r="J79" i="12" a="1"/>
  <c r="J79" i="12" s="1"/>
  <c r="L79" i="12" a="1"/>
  <c r="L79" i="12" s="1"/>
  <c r="H79" i="6" a="1"/>
  <c r="H79" i="6" s="1"/>
  <c r="T79" i="5" s="1"/>
  <c r="G79" i="12" s="1" a="1"/>
  <c r="G79" i="12" s="1"/>
  <c r="L81" i="6"/>
  <c r="B80" i="6"/>
  <c r="K80" i="5"/>
  <c r="H80" i="5"/>
  <c r="B80" i="5"/>
  <c r="G80" i="5"/>
  <c r="J80" i="5"/>
  <c r="A80" i="12"/>
  <c r="N80" i="5"/>
  <c r="D80" i="6" s="1"/>
  <c r="D80" i="5"/>
  <c r="B80" i="12" s="1"/>
  <c r="AD80" i="5"/>
  <c r="AE80" i="5" a="1"/>
  <c r="AE80" i="5" s="1"/>
  <c r="C81" i="5"/>
  <c r="F80" i="5"/>
  <c r="E80" i="5"/>
  <c r="M78" i="6"/>
  <c r="AB78" i="6" s="1"/>
  <c r="B49" i="9"/>
  <c r="U13" i="7"/>
  <c r="T10" i="7"/>
  <c r="AM79" i="6" l="1"/>
  <c r="BF79" i="6" a="1"/>
  <c r="BF79" i="6" s="1"/>
  <c r="AR79" i="6"/>
  <c r="BC79" i="6" a="1"/>
  <c r="BC79" i="6" s="1"/>
  <c r="BA79" i="6" a="1"/>
  <c r="BA79" i="6" s="1"/>
  <c r="AZ79" i="6" a="1"/>
  <c r="AZ79" i="6" s="1"/>
  <c r="BD79" i="6" a="1"/>
  <c r="BD79" i="6" s="1"/>
  <c r="AU79" i="6"/>
  <c r="AN79" i="6"/>
  <c r="AI78" i="6"/>
  <c r="BE79" i="6" a="1"/>
  <c r="BE79" i="6" s="1"/>
  <c r="AQ79" i="6"/>
  <c r="BB79" i="6" a="1"/>
  <c r="BB79" i="6" s="1"/>
  <c r="AO79" i="6"/>
  <c r="N79" i="6"/>
  <c r="BG79" i="6" a="1"/>
  <c r="BG79" i="6" s="1"/>
  <c r="AT79" i="6"/>
  <c r="AP79" i="6"/>
  <c r="AX79" i="6" a="1"/>
  <c r="AX79" i="6" s="1"/>
  <c r="AS79" i="6"/>
  <c r="AY79" i="6" a="1"/>
  <c r="AY79" i="6" s="1"/>
  <c r="K79" i="12"/>
  <c r="B81" i="5"/>
  <c r="C82" i="5" s="1"/>
  <c r="D81" i="5"/>
  <c r="B81" i="12" s="1"/>
  <c r="F81" i="5"/>
  <c r="A81" i="12"/>
  <c r="H81" i="5"/>
  <c r="J81" i="5"/>
  <c r="K81" i="5"/>
  <c r="AD81" i="5"/>
  <c r="G81" i="5"/>
  <c r="AE81" i="5" a="1"/>
  <c r="AE81" i="5" s="1"/>
  <c r="N81" i="5"/>
  <c r="D81" i="6" s="1"/>
  <c r="E81" i="5"/>
  <c r="H80" i="6" a="1"/>
  <c r="H80" i="6" s="1"/>
  <c r="T80" i="5" s="1"/>
  <c r="G80" i="12" s="1" a="1"/>
  <c r="G80" i="12" s="1"/>
  <c r="AD79" i="6"/>
  <c r="AF79" i="6"/>
  <c r="AJ79" i="6"/>
  <c r="AK79" i="6"/>
  <c r="J80" i="12" a="1"/>
  <c r="J80" i="12" s="1"/>
  <c r="L80" i="12" a="1"/>
  <c r="L80" i="12" s="1"/>
  <c r="AC79" i="6"/>
  <c r="BC78" i="6" a="1"/>
  <c r="BC78" i="6" s="1"/>
  <c r="AG78" i="6"/>
  <c r="BF78" i="6" a="1"/>
  <c r="BF78" i="6" s="1"/>
  <c r="AC78" i="6"/>
  <c r="AD78" i="6"/>
  <c r="AE78" i="6"/>
  <c r="AS78" i="6"/>
  <c r="AJ78" i="6"/>
  <c r="AH78" i="6"/>
  <c r="AQ78" i="6"/>
  <c r="BB78" i="6" a="1"/>
  <c r="BB78" i="6" s="1"/>
  <c r="AK78" i="6"/>
  <c r="AV78" i="6"/>
  <c r="AM78" i="6"/>
  <c r="BG78" i="6" a="1"/>
  <c r="BG78" i="6" s="1"/>
  <c r="BD78" i="6" a="1"/>
  <c r="BD78" i="6" s="1"/>
  <c r="BE78" i="6" a="1"/>
  <c r="BE78" i="6" s="1"/>
  <c r="AF78" i="6"/>
  <c r="AR78" i="6"/>
  <c r="AO78" i="6"/>
  <c r="AY78" i="6" a="1"/>
  <c r="AY78" i="6" s="1"/>
  <c r="AP78" i="6"/>
  <c r="AZ78" i="6" a="1"/>
  <c r="AZ78" i="6" s="1"/>
  <c r="AT78" i="6"/>
  <c r="AX78" i="6" a="1"/>
  <c r="AX78" i="6" s="1"/>
  <c r="AU78" i="6"/>
  <c r="AN78" i="6"/>
  <c r="BA78" i="6" a="1"/>
  <c r="BA78" i="6" s="1"/>
  <c r="AH79" i="6"/>
  <c r="A80" i="6"/>
  <c r="N80" i="6" s="1"/>
  <c r="J80" i="6" a="1"/>
  <c r="J80" i="6" s="1"/>
  <c r="AI79" i="6"/>
  <c r="L82" i="6"/>
  <c r="B81" i="6"/>
  <c r="AE79" i="6"/>
  <c r="AB79" i="6"/>
  <c r="AG79" i="6"/>
  <c r="B50" i="9"/>
  <c r="V13" i="7"/>
  <c r="U10" i="7"/>
  <c r="K10" i="7"/>
  <c r="K80" i="12" l="1"/>
  <c r="M80" i="6"/>
  <c r="AD80" i="6" s="1"/>
  <c r="H81" i="6" a="1"/>
  <c r="H81" i="6" s="1"/>
  <c r="T81" i="5" s="1"/>
  <c r="G81" i="12" s="1" a="1"/>
  <c r="G81" i="12" s="1"/>
  <c r="L81" i="12" a="1"/>
  <c r="L81" i="12" s="1"/>
  <c r="J81" i="12" a="1"/>
  <c r="J81" i="12" s="1"/>
  <c r="A81" i="6"/>
  <c r="M81" i="6" s="1"/>
  <c r="AU81" i="6" s="1"/>
  <c r="J81" i="6" a="1"/>
  <c r="J81" i="6" s="1"/>
  <c r="L83" i="6"/>
  <c r="F82" i="6"/>
  <c r="B82" i="6"/>
  <c r="W82" i="5" a="1"/>
  <c r="W82" i="5" s="1"/>
  <c r="H82" i="12" s="1" a="1"/>
  <c r="H82" i="12" s="1"/>
  <c r="AF82" i="5" a="1"/>
  <c r="AF82" i="5" s="1"/>
  <c r="N82" i="5"/>
  <c r="D82" i="6" s="1"/>
  <c r="H82" i="5"/>
  <c r="G82" i="5"/>
  <c r="B82" i="5"/>
  <c r="AD82" i="5"/>
  <c r="C83" i="5"/>
  <c r="AE82" i="5" a="1"/>
  <c r="AE82" i="5" s="1"/>
  <c r="E82" i="5"/>
  <c r="F82" i="5"/>
  <c r="A82" i="12"/>
  <c r="I82" i="5"/>
  <c r="B51" i="9"/>
  <c r="W13" i="7"/>
  <c r="V10" i="7"/>
  <c r="T14" i="5"/>
  <c r="G14" i="12" s="1" a="1"/>
  <c r="G14" i="12" s="1"/>
  <c r="AP80" i="6" l="1"/>
  <c r="AY80" i="6" a="1"/>
  <c r="AY80" i="6" s="1"/>
  <c r="BD80" i="6" a="1"/>
  <c r="BD80" i="6" s="1"/>
  <c r="BF80" i="6" a="1"/>
  <c r="BF80" i="6" s="1"/>
  <c r="BE80" i="6" a="1"/>
  <c r="BE80" i="6" s="1"/>
  <c r="AZ80" i="6" a="1"/>
  <c r="AZ80" i="6" s="1"/>
  <c r="BB80" i="6" a="1"/>
  <c r="BB80" i="6" s="1"/>
  <c r="AF80" i="6"/>
  <c r="AI80" i="6"/>
  <c r="AE81" i="6"/>
  <c r="AN81" i="6"/>
  <c r="BD81" i="6" a="1"/>
  <c r="BD81" i="6" s="1"/>
  <c r="BF81" i="6" a="1"/>
  <c r="BF81" i="6" s="1"/>
  <c r="AT81" i="6"/>
  <c r="AO81" i="6"/>
  <c r="BC80" i="6" a="1"/>
  <c r="BC80" i="6" s="1"/>
  <c r="BG80" i="6" a="1"/>
  <c r="BG80" i="6" s="1"/>
  <c r="BC81" i="6" a="1"/>
  <c r="BC81" i="6" s="1"/>
  <c r="AG81" i="6"/>
  <c r="AJ81" i="6"/>
  <c r="AH81" i="6"/>
  <c r="AS81" i="6"/>
  <c r="AR81" i="6"/>
  <c r="AQ81" i="6"/>
  <c r="BG81" i="6" a="1"/>
  <c r="BG81" i="6" s="1"/>
  <c r="AC81" i="6"/>
  <c r="AN80" i="6"/>
  <c r="AM80" i="6"/>
  <c r="AU80" i="6"/>
  <c r="AJ80" i="6"/>
  <c r="AR80" i="6"/>
  <c r="AH80" i="6"/>
  <c r="AE80" i="6"/>
  <c r="AT80" i="6"/>
  <c r="AX80" i="6" a="1"/>
  <c r="AX80" i="6" s="1"/>
  <c r="AO80" i="6"/>
  <c r="AV80" i="6"/>
  <c r="BA80" i="6" a="1"/>
  <c r="BA80" i="6" s="1"/>
  <c r="AQ80" i="6"/>
  <c r="AK80" i="6"/>
  <c r="AB80" i="6"/>
  <c r="AS80" i="6"/>
  <c r="AC80" i="6"/>
  <c r="AG80" i="6"/>
  <c r="AD81" i="6"/>
  <c r="N82" i="6"/>
  <c r="H82" i="6" a="1"/>
  <c r="H82" i="6" s="1"/>
  <c r="T82" i="5" s="1"/>
  <c r="G82" i="12" s="1" a="1"/>
  <c r="G82" i="12" s="1"/>
  <c r="M82" i="6"/>
  <c r="BE82" i="6" s="1" a="1"/>
  <c r="BE82" i="6" s="1"/>
  <c r="G82" i="6"/>
  <c r="AK81" i="6"/>
  <c r="BE81" i="6" a="1"/>
  <c r="BE81" i="6" s="1"/>
  <c r="S82" i="5" a="1"/>
  <c r="S82" i="5" s="1"/>
  <c r="F82" i="12" s="1" a="1"/>
  <c r="F82" i="12" s="1"/>
  <c r="AG82" i="5" a="1"/>
  <c r="AG82" i="5" s="1"/>
  <c r="L84" i="6"/>
  <c r="B83" i="6"/>
  <c r="N81" i="6"/>
  <c r="BB81" i="6" a="1"/>
  <c r="BB81" i="6" s="1"/>
  <c r="AB81" i="6"/>
  <c r="AF81" i="6"/>
  <c r="AX81" i="6" a="1"/>
  <c r="AX81" i="6" s="1"/>
  <c r="AI81" i="6"/>
  <c r="C84" i="5"/>
  <c r="J83" i="5"/>
  <c r="N83" i="5"/>
  <c r="D83" i="6" s="1"/>
  <c r="E83" i="5"/>
  <c r="AD83" i="5"/>
  <c r="F83" i="5"/>
  <c r="K83" i="5"/>
  <c r="H83" i="5"/>
  <c r="A83" i="12"/>
  <c r="G83" i="5"/>
  <c r="B83" i="5"/>
  <c r="AE83" i="5" a="1"/>
  <c r="AE83" i="5" s="1"/>
  <c r="D83" i="5"/>
  <c r="B83" i="12" s="1"/>
  <c r="AP81" i="6"/>
  <c r="A82" i="6"/>
  <c r="J82" i="6" a="1"/>
  <c r="J82" i="6" s="1"/>
  <c r="AY81" i="6" a="1"/>
  <c r="AY81" i="6" s="1"/>
  <c r="K81" i="12"/>
  <c r="BA81" i="6" a="1"/>
  <c r="BA81" i="6" s="1"/>
  <c r="AZ81" i="6" a="1"/>
  <c r="AZ81" i="6" s="1"/>
  <c r="AM81" i="6"/>
  <c r="AV81" i="6"/>
  <c r="B52" i="9"/>
  <c r="X13" i="7"/>
  <c r="W10" i="7"/>
  <c r="E84" i="5" l="1"/>
  <c r="AY82" i="6" a="1"/>
  <c r="AY82" i="6" s="1"/>
  <c r="F84" i="5"/>
  <c r="AV82" i="6"/>
  <c r="AM82" i="6"/>
  <c r="B84" i="5"/>
  <c r="G84" i="5"/>
  <c r="H84" i="5"/>
  <c r="AQ82" i="6"/>
  <c r="BD82" i="6" a="1"/>
  <c r="BD82" i="6" s="1"/>
  <c r="AX82" i="6" a="1"/>
  <c r="AX82" i="6" s="1"/>
  <c r="AR82" i="6"/>
  <c r="AP82" i="6"/>
  <c r="AK82" i="6"/>
  <c r="AG82" i="6"/>
  <c r="AS82" i="6"/>
  <c r="BG82" i="6" a="1"/>
  <c r="BG82" i="6" s="1"/>
  <c r="AO82" i="6"/>
  <c r="BC82" i="6" a="1"/>
  <c r="BC82" i="6" s="1"/>
  <c r="AJ82" i="6"/>
  <c r="AU82" i="6"/>
  <c r="BB82" i="6" a="1"/>
  <c r="BB82" i="6" s="1"/>
  <c r="AI82" i="6"/>
  <c r="AD82" i="6"/>
  <c r="AZ82" i="6" a="1"/>
  <c r="AZ82" i="6" s="1"/>
  <c r="J83" i="12" a="1"/>
  <c r="J83" i="12" s="1"/>
  <c r="L83" i="12" a="1"/>
  <c r="L83" i="12" s="1"/>
  <c r="B84" i="6"/>
  <c r="L85" i="6"/>
  <c r="AF82" i="6"/>
  <c r="AB82" i="6"/>
  <c r="H83" i="6" a="1"/>
  <c r="H83" i="6" s="1"/>
  <c r="T83" i="5" s="1"/>
  <c r="G83" i="12" s="1" a="1"/>
  <c r="G83" i="12" s="1"/>
  <c r="J84" i="5"/>
  <c r="N84" i="5"/>
  <c r="D84" i="6" s="1"/>
  <c r="C85" i="5"/>
  <c r="A84" i="12"/>
  <c r="D84" i="5"/>
  <c r="B84" i="12" s="1"/>
  <c r="AE84" i="5" a="1"/>
  <c r="AE84" i="5" s="1"/>
  <c r="AD84" i="5"/>
  <c r="K84" i="5"/>
  <c r="BA82" i="6" a="1"/>
  <c r="BA82" i="6" s="1"/>
  <c r="A83" i="6"/>
  <c r="N83" i="6" s="1"/>
  <c r="J83" i="6" a="1"/>
  <c r="J83" i="6" s="1"/>
  <c r="BF82" i="6" a="1"/>
  <c r="BF82" i="6" s="1"/>
  <c r="AN82" i="6"/>
  <c r="AH82" i="6"/>
  <c r="AT82" i="6"/>
  <c r="AE82" i="6"/>
  <c r="AC82" i="6"/>
  <c r="B53" i="9"/>
  <c r="Y13" i="7"/>
  <c r="X10" i="7"/>
  <c r="A8" i="9"/>
  <c r="B7" i="9" a="1"/>
  <c r="B7" i="9" s="1"/>
  <c r="K83" i="12" l="1"/>
  <c r="H84" i="6" a="1"/>
  <c r="H84" i="6" s="1"/>
  <c r="T84" i="5" s="1"/>
  <c r="G84" i="12" s="1" a="1"/>
  <c r="G84" i="12" s="1"/>
  <c r="L84" i="12" a="1"/>
  <c r="L84" i="12" s="1"/>
  <c r="J84" i="12" a="1"/>
  <c r="J84" i="12" s="1"/>
  <c r="J84" i="6" a="1"/>
  <c r="J84" i="6" s="1"/>
  <c r="A84" i="6"/>
  <c r="N84" i="6" s="1"/>
  <c r="H85" i="5"/>
  <c r="G85" i="5"/>
  <c r="A85" i="12"/>
  <c r="AE85" i="5" a="1"/>
  <c r="AE85" i="5" s="1"/>
  <c r="K85" i="5"/>
  <c r="J85" i="5"/>
  <c r="D85" i="5"/>
  <c r="B85" i="12" s="1"/>
  <c r="AD85" i="5"/>
  <c r="N85" i="5"/>
  <c r="D85" i="6" s="1"/>
  <c r="F85" i="5"/>
  <c r="C86" i="5"/>
  <c r="B85" i="5"/>
  <c r="E85" i="5"/>
  <c r="M83" i="6"/>
  <c r="L86" i="6"/>
  <c r="B85" i="6"/>
  <c r="J85" i="6" s="1" a="1"/>
  <c r="J85" i="6" s="1"/>
  <c r="B54" i="9"/>
  <c r="Y10" i="7"/>
  <c r="D15" i="7"/>
  <c r="C16" i="7" s="1" a="1"/>
  <c r="C16" i="7" s="1"/>
  <c r="B15" i="10"/>
  <c r="B16" i="10" s="1"/>
  <c r="AZ83" i="6" l="1" a="1"/>
  <c r="AZ83" i="6" s="1"/>
  <c r="AG83" i="6"/>
  <c r="AH83" i="6"/>
  <c r="BG83" i="6" a="1"/>
  <c r="BG83" i="6" s="1"/>
  <c r="BC83" i="6" a="1"/>
  <c r="BC83" i="6" s="1"/>
  <c r="AQ83" i="6"/>
  <c r="AT83" i="6"/>
  <c r="AC83" i="6"/>
  <c r="BF83" i="6" a="1"/>
  <c r="BF83" i="6" s="1"/>
  <c r="AS83" i="6"/>
  <c r="AJ83" i="6"/>
  <c r="AM83" i="6"/>
  <c r="AR83" i="6"/>
  <c r="BD83" i="6" a="1"/>
  <c r="BD83" i="6" s="1"/>
  <c r="AP83" i="6"/>
  <c r="AI83" i="6"/>
  <c r="AV83" i="6"/>
  <c r="AU83" i="6"/>
  <c r="AE83" i="6"/>
  <c r="AD83" i="6"/>
  <c r="AF83" i="6"/>
  <c r="AN83" i="6"/>
  <c r="AO83" i="6"/>
  <c r="AY83" i="6" a="1"/>
  <c r="AY83" i="6" s="1"/>
  <c r="BB83" i="6" a="1"/>
  <c r="BB83" i="6" s="1"/>
  <c r="AK83" i="6"/>
  <c r="BE83" i="6" a="1"/>
  <c r="BE83" i="6" s="1"/>
  <c r="BA83" i="6" a="1"/>
  <c r="BA83" i="6" s="1"/>
  <c r="AX83" i="6" a="1"/>
  <c r="AX83" i="6" s="1"/>
  <c r="H85" i="6" a="1"/>
  <c r="H85" i="6" s="1"/>
  <c r="T85" i="5" s="1"/>
  <c r="G85" i="12" s="1" a="1"/>
  <c r="G85" i="12" s="1"/>
  <c r="L85" i="12" a="1"/>
  <c r="L85" i="12" s="1"/>
  <c r="J85" i="12" a="1"/>
  <c r="J85" i="12" s="1"/>
  <c r="K84" i="12"/>
  <c r="B86" i="6"/>
  <c r="J86" i="6" s="1" a="1"/>
  <c r="J86" i="6" s="1"/>
  <c r="L87" i="6"/>
  <c r="M84" i="6"/>
  <c r="AB83" i="6"/>
  <c r="A85" i="6"/>
  <c r="M85" i="6" s="1"/>
  <c r="F86" i="5"/>
  <c r="A86" i="12"/>
  <c r="D86" i="5"/>
  <c r="B86" i="12" s="1"/>
  <c r="E86" i="5"/>
  <c r="AE86" i="5" a="1"/>
  <c r="AE86" i="5" s="1"/>
  <c r="K86" i="5"/>
  <c r="AD86" i="5"/>
  <c r="H86" i="5"/>
  <c r="N86" i="5"/>
  <c r="D86" i="6" s="1"/>
  <c r="G86" i="5"/>
  <c r="C87" i="5"/>
  <c r="J86" i="5"/>
  <c r="B86" i="5"/>
  <c r="B55" i="9"/>
  <c r="B17" i="10"/>
  <c r="B16" i="7"/>
  <c r="C17" i="7" a="1"/>
  <c r="C17" i="7" s="1"/>
  <c r="A15" i="10"/>
  <c r="B15" i="7"/>
  <c r="C15" i="9"/>
  <c r="F15" i="9" s="1"/>
  <c r="C15" i="10"/>
  <c r="A15" i="7"/>
  <c r="AH85" i="6" l="1"/>
  <c r="N85" i="6"/>
  <c r="K85" i="12"/>
  <c r="A86" i="6"/>
  <c r="M86" i="6" s="1"/>
  <c r="H86" i="6" a="1"/>
  <c r="H86" i="6" s="1"/>
  <c r="T86" i="5" s="1"/>
  <c r="G86" i="12" s="1" a="1"/>
  <c r="G86" i="12" s="1"/>
  <c r="BC85" i="6" a="1"/>
  <c r="BC85" i="6" s="1"/>
  <c r="BD85" i="6" a="1"/>
  <c r="BD85" i="6" s="1"/>
  <c r="AT85" i="6"/>
  <c r="AV85" i="6"/>
  <c r="AF85" i="6"/>
  <c r="B87" i="6"/>
  <c r="L88" i="6"/>
  <c r="AE85" i="6"/>
  <c r="AB85" i="6"/>
  <c r="AI85" i="6"/>
  <c r="AM85" i="6"/>
  <c r="AJ85" i="6"/>
  <c r="AC85" i="6"/>
  <c r="AR85" i="6"/>
  <c r="AO85" i="6"/>
  <c r="D87" i="5"/>
  <c r="B87" i="12" s="1"/>
  <c r="B87" i="5"/>
  <c r="G87" i="5"/>
  <c r="C88" i="5"/>
  <c r="K87" i="5"/>
  <c r="F87" i="5"/>
  <c r="N87" i="5"/>
  <c r="D87" i="6" s="1"/>
  <c r="AD87" i="5"/>
  <c r="H87" i="5"/>
  <c r="J87" i="5"/>
  <c r="E87" i="5"/>
  <c r="A87" i="12"/>
  <c r="AE87" i="5" a="1"/>
  <c r="AE87" i="5" s="1"/>
  <c r="AY85" i="6" a="1"/>
  <c r="AY85" i="6" s="1"/>
  <c r="BB85" i="6" a="1"/>
  <c r="BB85" i="6" s="1"/>
  <c r="BA85" i="6" a="1"/>
  <c r="BA85" i="6" s="1"/>
  <c r="AG85" i="6"/>
  <c r="BE85" i="6" a="1"/>
  <c r="BE85" i="6" s="1"/>
  <c r="AK85" i="6"/>
  <c r="AX85" i="6" a="1"/>
  <c r="AX85" i="6" s="1"/>
  <c r="BG85" i="6" a="1"/>
  <c r="BG85" i="6" s="1"/>
  <c r="AQ85" i="6"/>
  <c r="L86" i="12" a="1"/>
  <c r="L86" i="12" s="1"/>
  <c r="J86" i="12" a="1"/>
  <c r="J86" i="12" s="1"/>
  <c r="AU85" i="6"/>
  <c r="AS85" i="6"/>
  <c r="AZ85" i="6" a="1"/>
  <c r="AZ85" i="6" s="1"/>
  <c r="BF85" i="6" a="1"/>
  <c r="BF85" i="6" s="1"/>
  <c r="AP85" i="6"/>
  <c r="AN84" i="6"/>
  <c r="BC84" i="6" a="1"/>
  <c r="BC84" i="6" s="1"/>
  <c r="BB84" i="6" a="1"/>
  <c r="BB84" i="6" s="1"/>
  <c r="AS84" i="6"/>
  <c r="AE84" i="6"/>
  <c r="AT84" i="6"/>
  <c r="AK84" i="6"/>
  <c r="AX84" i="6" a="1"/>
  <c r="AX84" i="6" s="1"/>
  <c r="AB84" i="6"/>
  <c r="AI84" i="6"/>
  <c r="AR84" i="6"/>
  <c r="AY84" i="6" a="1"/>
  <c r="AY84" i="6" s="1"/>
  <c r="AZ84" i="6" a="1"/>
  <c r="AZ84" i="6" s="1"/>
  <c r="AD84" i="6"/>
  <c r="AO84" i="6"/>
  <c r="AJ84" i="6"/>
  <c r="BG84" i="6" a="1"/>
  <c r="BG84" i="6" s="1"/>
  <c r="AH84" i="6"/>
  <c r="AC84" i="6"/>
  <c r="AV84" i="6"/>
  <c r="AU84" i="6"/>
  <c r="AF84" i="6"/>
  <c r="BE84" i="6" a="1"/>
  <c r="BE84" i="6" s="1"/>
  <c r="AQ84" i="6"/>
  <c r="AP84" i="6"/>
  <c r="BA84" i="6" a="1"/>
  <c r="BA84" i="6" s="1"/>
  <c r="BF84" i="6" a="1"/>
  <c r="BF84" i="6" s="1"/>
  <c r="BD84" i="6" a="1"/>
  <c r="BD84" i="6" s="1"/>
  <c r="AM84" i="6"/>
  <c r="AG84" i="6"/>
  <c r="AD85" i="6"/>
  <c r="AN85" i="6"/>
  <c r="B56" i="9"/>
  <c r="B17" i="7"/>
  <c r="C18" i="7" a="1"/>
  <c r="C18" i="7" s="1"/>
  <c r="B18" i="10"/>
  <c r="D21" i="2"/>
  <c r="N86" i="6" l="1"/>
  <c r="BD86" i="6" a="1"/>
  <c r="BD86" i="6" s="1"/>
  <c r="AE86" i="6"/>
  <c r="AS86" i="6"/>
  <c r="AM86" i="6"/>
  <c r="AO86" i="6"/>
  <c r="AK86" i="6"/>
  <c r="AU86" i="6"/>
  <c r="AR86" i="6"/>
  <c r="AI86" i="6"/>
  <c r="AD86" i="6"/>
  <c r="AG86" i="6"/>
  <c r="BA86" i="6" a="1"/>
  <c r="BA86" i="6" s="1"/>
  <c r="AC86" i="6"/>
  <c r="AN86" i="6"/>
  <c r="AQ86" i="6"/>
  <c r="AV86" i="6"/>
  <c r="AF86" i="6"/>
  <c r="K86" i="12"/>
  <c r="AJ86" i="6"/>
  <c r="AY86" i="6" a="1"/>
  <c r="AY86" i="6" s="1"/>
  <c r="BF86" i="6" a="1"/>
  <c r="BF86" i="6" s="1"/>
  <c r="BC86" i="6" a="1"/>
  <c r="BC86" i="6" s="1"/>
  <c r="AX86" i="6" a="1"/>
  <c r="AX86" i="6" s="1"/>
  <c r="AT86" i="6"/>
  <c r="BG86" i="6" a="1"/>
  <c r="BG86" i="6" s="1"/>
  <c r="BB86" i="6" a="1"/>
  <c r="BB86" i="6" s="1"/>
  <c r="BE86" i="6" a="1"/>
  <c r="BE86" i="6" s="1"/>
  <c r="AB86" i="6"/>
  <c r="AZ86" i="6" a="1"/>
  <c r="AZ86" i="6" s="1"/>
  <c r="AP86" i="6"/>
  <c r="G88" i="5"/>
  <c r="AE88" i="5" a="1"/>
  <c r="AE88" i="5" s="1"/>
  <c r="N88" i="5"/>
  <c r="D88" i="6" s="1"/>
  <c r="J88" i="5"/>
  <c r="AD88" i="5"/>
  <c r="K88" i="5"/>
  <c r="F88" i="5"/>
  <c r="B88" i="5"/>
  <c r="C89" i="5" s="1"/>
  <c r="E88" i="5"/>
  <c r="A88" i="12"/>
  <c r="H88" i="5"/>
  <c r="D88" i="5"/>
  <c r="B88" i="12" s="1"/>
  <c r="B88" i="6"/>
  <c r="L89" i="6"/>
  <c r="J87" i="6" a="1"/>
  <c r="J87" i="6" s="1"/>
  <c r="A87" i="6"/>
  <c r="N87" i="6" s="1"/>
  <c r="L87" i="12" a="1"/>
  <c r="L87" i="12" s="1"/>
  <c r="J87" i="12" a="1"/>
  <c r="J87" i="12" s="1"/>
  <c r="H87" i="6" a="1"/>
  <c r="H87" i="6" s="1"/>
  <c r="T87" i="5" s="1"/>
  <c r="G87" i="12" s="1" a="1"/>
  <c r="G87" i="12" s="1"/>
  <c r="AH86" i="6"/>
  <c r="E158" i="12"/>
  <c r="C19" i="7" a="1"/>
  <c r="C19" i="7" s="1"/>
  <c r="B18" i="7"/>
  <c r="B57" i="9"/>
  <c r="B19" i="10"/>
  <c r="N14" i="6"/>
  <c r="M87" i="6" l="1"/>
  <c r="AF87" i="6" s="1"/>
  <c r="K87" i="12"/>
  <c r="J88" i="6" a="1"/>
  <c r="J88" i="6" s="1"/>
  <c r="A88" i="6"/>
  <c r="N88" i="6" s="1"/>
  <c r="B89" i="5"/>
  <c r="H89" i="5"/>
  <c r="W89" i="5" a="1"/>
  <c r="W89" i="5" s="1"/>
  <c r="H89" i="12" s="1" a="1"/>
  <c r="H89" i="12" s="1"/>
  <c r="E89" i="5"/>
  <c r="A89" i="12"/>
  <c r="N89" i="5"/>
  <c r="D89" i="6" s="1"/>
  <c r="C90" i="5"/>
  <c r="AE89" i="5" a="1"/>
  <c r="AE89" i="5" s="1"/>
  <c r="AD89" i="5"/>
  <c r="F89" i="5"/>
  <c r="G89" i="5"/>
  <c r="AF89" i="5" a="1"/>
  <c r="AF89" i="5" s="1"/>
  <c r="I89" i="5"/>
  <c r="L88" i="12" a="1"/>
  <c r="L88" i="12" s="1"/>
  <c r="J88" i="12" a="1"/>
  <c r="J88" i="12" s="1"/>
  <c r="H88" i="6" a="1"/>
  <c r="H88" i="6" s="1"/>
  <c r="T88" i="5" s="1"/>
  <c r="G88" i="12" s="1" a="1"/>
  <c r="G88" i="12" s="1"/>
  <c r="B89" i="6"/>
  <c r="L90" i="6"/>
  <c r="F89" i="6"/>
  <c r="B20" i="10"/>
  <c r="B58" i="9"/>
  <c r="C20" i="7" a="1"/>
  <c r="C20" i="7" s="1"/>
  <c r="B19" i="7"/>
  <c r="U1" i="7" a="1"/>
  <c r="U1" i="7" s="1"/>
  <c r="W1" i="7" a="1"/>
  <c r="W1" i="7" s="1"/>
  <c r="Y1" i="7" a="1"/>
  <c r="Y1" i="7" s="1"/>
  <c r="S1" i="7" a="1"/>
  <c r="S1" i="7" s="1"/>
  <c r="T1" i="7" a="1"/>
  <c r="T1" i="7" s="1"/>
  <c r="V1" i="7" a="1"/>
  <c r="V1" i="7" s="1"/>
  <c r="X1" i="7" a="1"/>
  <c r="X1" i="7" s="1"/>
  <c r="AC87" i="6" l="1"/>
  <c r="AT87" i="6"/>
  <c r="AN87" i="6"/>
  <c r="BG87" i="6" a="1"/>
  <c r="BG87" i="6" s="1"/>
  <c r="AE87" i="6"/>
  <c r="AK87" i="6"/>
  <c r="AS87" i="6"/>
  <c r="BB87" i="6" a="1"/>
  <c r="BB87" i="6" s="1"/>
  <c r="AZ87" i="6" a="1"/>
  <c r="AZ87" i="6" s="1"/>
  <c r="AM87" i="6"/>
  <c r="AY87" i="6" a="1"/>
  <c r="AY87" i="6" s="1"/>
  <c r="AP87" i="6"/>
  <c r="BE87" i="6" a="1"/>
  <c r="BE87" i="6" s="1"/>
  <c r="AJ87" i="6"/>
  <c r="AB87" i="6"/>
  <c r="AR87" i="6"/>
  <c r="AQ87" i="6"/>
  <c r="BC87" i="6" a="1"/>
  <c r="BC87" i="6" s="1"/>
  <c r="AX87" i="6" a="1"/>
  <c r="AX87" i="6" s="1"/>
  <c r="BD87" i="6" a="1"/>
  <c r="BD87" i="6" s="1"/>
  <c r="BF87" i="6" a="1"/>
  <c r="BF87" i="6" s="1"/>
  <c r="AG87" i="6"/>
  <c r="AV87" i="6"/>
  <c r="AI87" i="6"/>
  <c r="AO87" i="6"/>
  <c r="AD87" i="6"/>
  <c r="BA87" i="6" a="1"/>
  <c r="BA87" i="6" s="1"/>
  <c r="AU87" i="6"/>
  <c r="AH87" i="6"/>
  <c r="M88" i="6"/>
  <c r="AI88" i="6" s="1"/>
  <c r="C91" i="5"/>
  <c r="K90" i="5"/>
  <c r="D90" i="5"/>
  <c r="B90" i="12" s="1"/>
  <c r="E90" i="5"/>
  <c r="H90" i="5"/>
  <c r="AD90" i="5"/>
  <c r="B90" i="5"/>
  <c r="G90" i="5"/>
  <c r="J90" i="5"/>
  <c r="A90" i="12"/>
  <c r="AE90" i="5" a="1"/>
  <c r="AE90" i="5" s="1"/>
  <c r="N90" i="5"/>
  <c r="D90" i="6" s="1"/>
  <c r="F90" i="5"/>
  <c r="M89" i="6"/>
  <c r="AM89" i="6" s="1"/>
  <c r="G89" i="6"/>
  <c r="N89" i="6"/>
  <c r="H89" i="6" a="1"/>
  <c r="H89" i="6" s="1"/>
  <c r="T89" i="5" s="1"/>
  <c r="G89" i="12" s="1" a="1"/>
  <c r="G89" i="12" s="1"/>
  <c r="AG89" i="5" a="1"/>
  <c r="AG89" i="5" s="1"/>
  <c r="S89" i="5" a="1"/>
  <c r="S89" i="5" s="1"/>
  <c r="F89" i="12" s="1" a="1"/>
  <c r="F89" i="12" s="1"/>
  <c r="K88" i="12"/>
  <c r="B90" i="6"/>
  <c r="L91" i="6"/>
  <c r="A89" i="6"/>
  <c r="J89" i="6" a="1"/>
  <c r="J89" i="6" s="1"/>
  <c r="B59" i="9"/>
  <c r="B21" i="10"/>
  <c r="C21" i="7" a="1"/>
  <c r="C21" i="7" s="1"/>
  <c r="B20" i="7"/>
  <c r="R1" i="7" a="1"/>
  <c r="R1" i="7" s="1"/>
  <c r="M1" i="7" a="1"/>
  <c r="M1" i="7" s="1"/>
  <c r="P1" i="7" a="1"/>
  <c r="P1" i="7" s="1"/>
  <c r="Q1" i="7" a="1"/>
  <c r="Q1" i="7" s="1"/>
  <c r="O1" i="7" a="1"/>
  <c r="O1" i="7" s="1"/>
  <c r="N1" i="7" a="1"/>
  <c r="N1" i="7" s="1"/>
  <c r="BB89" i="6" l="1" a="1"/>
  <c r="BB89" i="6" s="1"/>
  <c r="AQ89" i="6"/>
  <c r="AN88" i="6"/>
  <c r="AR88" i="6"/>
  <c r="AG88" i="6"/>
  <c r="AY88" i="6" a="1"/>
  <c r="AY88" i="6" s="1"/>
  <c r="AO89" i="6"/>
  <c r="AF88" i="6"/>
  <c r="AX89" i="6" a="1"/>
  <c r="AX89" i="6" s="1"/>
  <c r="AR89" i="6"/>
  <c r="AN89" i="6"/>
  <c r="AJ89" i="6"/>
  <c r="AI89" i="6"/>
  <c r="AD88" i="6"/>
  <c r="AQ88" i="6"/>
  <c r="AE89" i="6"/>
  <c r="AS88" i="6"/>
  <c r="BE88" i="6" a="1"/>
  <c r="BE88" i="6" s="1"/>
  <c r="BC88" i="6" a="1"/>
  <c r="BC88" i="6" s="1"/>
  <c r="AT89" i="6"/>
  <c r="AJ88" i="6"/>
  <c r="AZ89" i="6" a="1"/>
  <c r="AZ89" i="6" s="1"/>
  <c r="AH88" i="6"/>
  <c r="BD89" i="6" a="1"/>
  <c r="BD89" i="6" s="1"/>
  <c r="AB89" i="6"/>
  <c r="BF89" i="6" a="1"/>
  <c r="BF89" i="6" s="1"/>
  <c r="BG88" i="6" a="1"/>
  <c r="BG88" i="6" s="1"/>
  <c r="AS89" i="6"/>
  <c r="AG89" i="6"/>
  <c r="BE89" i="6" a="1"/>
  <c r="BE89" i="6" s="1"/>
  <c r="AU89" i="6"/>
  <c r="AC88" i="6"/>
  <c r="AV89" i="6"/>
  <c r="BA89" i="6" a="1"/>
  <c r="BA89" i="6" s="1"/>
  <c r="AY89" i="6" a="1"/>
  <c r="AY89" i="6" s="1"/>
  <c r="BC89" i="6" a="1"/>
  <c r="BC89" i="6" s="1"/>
  <c r="AB88" i="6"/>
  <c r="AM88" i="6"/>
  <c r="AO88" i="6"/>
  <c r="AT88" i="6"/>
  <c r="BF88" i="6" a="1"/>
  <c r="BF88" i="6" s="1"/>
  <c r="BD88" i="6" a="1"/>
  <c r="BD88" i="6" s="1"/>
  <c r="AP88" i="6"/>
  <c r="AX88" i="6" a="1"/>
  <c r="AX88" i="6" s="1"/>
  <c r="BB88" i="6" a="1"/>
  <c r="BB88" i="6" s="1"/>
  <c r="AV88" i="6"/>
  <c r="AZ88" i="6" a="1"/>
  <c r="AZ88" i="6" s="1"/>
  <c r="AK88" i="6"/>
  <c r="BA88" i="6" a="1"/>
  <c r="BA88" i="6" s="1"/>
  <c r="AU88" i="6"/>
  <c r="AD89" i="6"/>
  <c r="AC89" i="6"/>
  <c r="AE88" i="6"/>
  <c r="AH89" i="6"/>
  <c r="H90" i="6" a="1"/>
  <c r="H90" i="6" s="1"/>
  <c r="T90" i="5" s="1"/>
  <c r="G90" i="12" s="1" a="1"/>
  <c r="G90" i="12" s="1"/>
  <c r="L92" i="6"/>
  <c r="B91" i="6"/>
  <c r="AF89" i="6"/>
  <c r="AK89" i="6"/>
  <c r="J90" i="12" a="1"/>
  <c r="J90" i="12" s="1"/>
  <c r="L90" i="12" a="1"/>
  <c r="L90" i="12" s="1"/>
  <c r="AP89" i="6"/>
  <c r="A90" i="6"/>
  <c r="M90" i="6" s="1"/>
  <c r="BB90" i="6" s="1" a="1"/>
  <c r="BB90" i="6" s="1"/>
  <c r="J90" i="6" a="1"/>
  <c r="J90" i="6" s="1"/>
  <c r="BG89" i="6" a="1"/>
  <c r="BG89" i="6" s="1"/>
  <c r="AE91" i="5" a="1"/>
  <c r="AE91" i="5" s="1"/>
  <c r="J91" i="5"/>
  <c r="H91" i="5"/>
  <c r="N91" i="5"/>
  <c r="D91" i="6" s="1"/>
  <c r="B91" i="5"/>
  <c r="K91" i="5"/>
  <c r="E91" i="5"/>
  <c r="D91" i="5"/>
  <c r="B91" i="12" s="1"/>
  <c r="AD91" i="5"/>
  <c r="F91" i="5"/>
  <c r="G91" i="5"/>
  <c r="A91" i="12"/>
  <c r="C92" i="5"/>
  <c r="B21" i="7"/>
  <c r="C22" i="7" a="1"/>
  <c r="C22" i="7" s="1"/>
  <c r="B60" i="9"/>
  <c r="B22" i="10"/>
  <c r="A10" i="9"/>
  <c r="F15" i="7" a="1"/>
  <c r="F15" i="7" s="1"/>
  <c r="AT90" i="6" l="1"/>
  <c r="AM90" i="6"/>
  <c r="AU90" i="6"/>
  <c r="AX90" i="6" a="1"/>
  <c r="AX90" i="6" s="1"/>
  <c r="BF90" i="6" a="1"/>
  <c r="BF90" i="6" s="1"/>
  <c r="BG90" i="6" a="1"/>
  <c r="BG90" i="6" s="1"/>
  <c r="AD90" i="6"/>
  <c r="AK90" i="6"/>
  <c r="AO90" i="6"/>
  <c r="BE90" i="6" a="1"/>
  <c r="BE90" i="6" s="1"/>
  <c r="BA90" i="6" a="1"/>
  <c r="BA90" i="6" s="1"/>
  <c r="AV90" i="6"/>
  <c r="AQ90" i="6"/>
  <c r="AY90" i="6" a="1"/>
  <c r="AY90" i="6" s="1"/>
  <c r="AZ90" i="6" a="1"/>
  <c r="AZ90" i="6" s="1"/>
  <c r="N90" i="6"/>
  <c r="H91" i="6" a="1"/>
  <c r="H91" i="6" s="1"/>
  <c r="T91" i="5" s="1"/>
  <c r="G91" i="12" s="1" a="1"/>
  <c r="G91" i="12" s="1"/>
  <c r="BC90" i="6" a="1"/>
  <c r="BC90" i="6" s="1"/>
  <c r="BD90" i="6" a="1"/>
  <c r="BD90" i="6" s="1"/>
  <c r="AF90" i="6"/>
  <c r="AJ90" i="6"/>
  <c r="AH90" i="6"/>
  <c r="AS90" i="6"/>
  <c r="B92" i="6"/>
  <c r="L93" i="6"/>
  <c r="AE90" i="6"/>
  <c r="AR90" i="6"/>
  <c r="AI90" i="6"/>
  <c r="A91" i="6"/>
  <c r="N91" i="6" s="1"/>
  <c r="J91" i="6" a="1"/>
  <c r="J91" i="6" s="1"/>
  <c r="AC90" i="6"/>
  <c r="AG90" i="6"/>
  <c r="C93" i="5"/>
  <c r="B92" i="5"/>
  <c r="F92" i="5"/>
  <c r="AE92" i="5" a="1"/>
  <c r="AE92" i="5" s="1"/>
  <c r="J92" i="5"/>
  <c r="H92" i="5"/>
  <c r="E92" i="5"/>
  <c r="K92" i="5"/>
  <c r="D92" i="5"/>
  <c r="B92" i="12" s="1"/>
  <c r="G92" i="5"/>
  <c r="A92" i="12"/>
  <c r="N92" i="5"/>
  <c r="D92" i="6" s="1"/>
  <c r="AD92" i="5"/>
  <c r="J91" i="12" a="1"/>
  <c r="J91" i="12" s="1"/>
  <c r="L91" i="12" a="1"/>
  <c r="L91" i="12" s="1"/>
  <c r="AP90" i="6"/>
  <c r="K90" i="12"/>
  <c r="AN90" i="6"/>
  <c r="AB90" i="6"/>
  <c r="B23" i="10"/>
  <c r="B22" i="7"/>
  <c r="C23" i="7" a="1"/>
  <c r="C23" i="7" s="1"/>
  <c r="B61" i="9"/>
  <c r="I15" i="7"/>
  <c r="J15" i="7"/>
  <c r="J1" i="7" a="1"/>
  <c r="J1" i="7" s="1"/>
  <c r="Q15" i="7"/>
  <c r="Q14" i="7" s="1"/>
  <c r="L1" i="7" a="1"/>
  <c r="L1" i="7" s="1"/>
  <c r="L15" i="7"/>
  <c r="K15" i="7"/>
  <c r="K1" i="7" a="1"/>
  <c r="K1" i="7" s="1"/>
  <c r="K91" i="12" l="1"/>
  <c r="M91" i="6"/>
  <c r="F93" i="5"/>
  <c r="K93" i="5"/>
  <c r="D93" i="5"/>
  <c r="B93" i="12" s="1"/>
  <c r="AE93" i="5" a="1"/>
  <c r="AE93" i="5" s="1"/>
  <c r="B93" i="5"/>
  <c r="C94" i="5" s="1"/>
  <c r="J93" i="5"/>
  <c r="A93" i="12"/>
  <c r="H93" i="5"/>
  <c r="AD93" i="5"/>
  <c r="G93" i="5"/>
  <c r="N93" i="5"/>
  <c r="D93" i="6" s="1"/>
  <c r="E93" i="5"/>
  <c r="L92" i="12" a="1"/>
  <c r="L92" i="12" s="1"/>
  <c r="J92" i="12" a="1"/>
  <c r="J92" i="12" s="1"/>
  <c r="B93" i="6"/>
  <c r="L94" i="6"/>
  <c r="H92" i="6" a="1"/>
  <c r="H92" i="6" s="1"/>
  <c r="T92" i="5" s="1"/>
  <c r="G92" i="12" s="1" a="1"/>
  <c r="G92" i="12" s="1"/>
  <c r="J92" i="6" a="1"/>
  <c r="J92" i="6" s="1"/>
  <c r="A92" i="6"/>
  <c r="N92" i="6" s="1"/>
  <c r="B23" i="7"/>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H93" i="6" l="1" a="1"/>
  <c r="H93" i="6" s="1"/>
  <c r="T93" i="5" s="1"/>
  <c r="G93" i="12" s="1" a="1"/>
  <c r="G93" i="12" s="1"/>
  <c r="K92" i="12"/>
  <c r="F94" i="5"/>
  <c r="B94" i="5"/>
  <c r="AF94" i="5" a="1"/>
  <c r="AF94" i="5" s="1"/>
  <c r="W94" i="5" a="1"/>
  <c r="W94" i="5" s="1"/>
  <c r="H94" i="12" s="1" a="1"/>
  <c r="H94" i="12" s="1"/>
  <c r="E94" i="5"/>
  <c r="A94" i="12"/>
  <c r="G94" i="5"/>
  <c r="K89" i="5" s="1"/>
  <c r="AD94" i="5"/>
  <c r="C95" i="5"/>
  <c r="AE94" i="5" a="1"/>
  <c r="AE94" i="5" s="1"/>
  <c r="H94" i="5"/>
  <c r="I94" i="5"/>
  <c r="N94" i="5"/>
  <c r="D94" i="6" s="1"/>
  <c r="J93" i="12" a="1"/>
  <c r="J93" i="12" s="1"/>
  <c r="L93" i="12" a="1"/>
  <c r="L93" i="12" s="1"/>
  <c r="F94" i="6"/>
  <c r="L95" i="6"/>
  <c r="B94" i="6"/>
  <c r="M92" i="6"/>
  <c r="J93" i="6" a="1"/>
  <c r="J93" i="6" s="1"/>
  <c r="A93" i="6"/>
  <c r="M93" i="6" s="1"/>
  <c r="AS93" i="6" s="1"/>
  <c r="AO91" i="6"/>
  <c r="AT91" i="6"/>
  <c r="AP91" i="6"/>
  <c r="AS91" i="6"/>
  <c r="BD91" i="6" a="1"/>
  <c r="BD91" i="6" s="1"/>
  <c r="AF91" i="6"/>
  <c r="BA91" i="6" a="1"/>
  <c r="BA91" i="6" s="1"/>
  <c r="AQ91" i="6"/>
  <c r="AZ91" i="6" a="1"/>
  <c r="AZ91" i="6" s="1"/>
  <c r="AN91" i="6"/>
  <c r="AV91" i="6"/>
  <c r="BB91" i="6" a="1"/>
  <c r="BB91" i="6" s="1"/>
  <c r="AY91" i="6" a="1"/>
  <c r="AY91" i="6" s="1"/>
  <c r="AH91" i="6"/>
  <c r="AU91" i="6"/>
  <c r="AE91" i="6"/>
  <c r="AC91" i="6"/>
  <c r="AM91" i="6"/>
  <c r="BE91" i="6" a="1"/>
  <c r="BE91" i="6" s="1"/>
  <c r="AK91" i="6"/>
  <c r="BC91" i="6" a="1"/>
  <c r="BC91" i="6" s="1"/>
  <c r="BG91" i="6" a="1"/>
  <c r="BG91" i="6" s="1"/>
  <c r="AD91" i="6"/>
  <c r="BF91" i="6" a="1"/>
  <c r="BF91" i="6" s="1"/>
  <c r="AJ91" i="6"/>
  <c r="AB91" i="6"/>
  <c r="AI91" i="6"/>
  <c r="AR91" i="6"/>
  <c r="AG91" i="6"/>
  <c r="AX91" i="6" a="1"/>
  <c r="AX91" i="6" s="1"/>
  <c r="C25" i="7" a="1"/>
  <c r="C25" i="7" s="1"/>
  <c r="B24" i="7"/>
  <c r="B25" i="10"/>
  <c r="B63" i="9"/>
  <c r="H15" i="7"/>
  <c r="E15" i="7"/>
  <c r="K93" i="12" l="1"/>
  <c r="AM93" i="6"/>
  <c r="AY93" i="6" a="1"/>
  <c r="AY93" i="6" s="1"/>
  <c r="BF93" i="6" a="1"/>
  <c r="BF93" i="6" s="1"/>
  <c r="AF93" i="6"/>
  <c r="AU93" i="6"/>
  <c r="AK93" i="6"/>
  <c r="AQ93" i="6"/>
  <c r="AE93" i="6"/>
  <c r="AP93" i="6"/>
  <c r="AV93" i="6"/>
  <c r="BG93" i="6" a="1"/>
  <c r="BG93" i="6" s="1"/>
  <c r="BD93" i="6" a="1"/>
  <c r="BD93" i="6" s="1"/>
  <c r="AX93" i="6" a="1"/>
  <c r="AX93" i="6" s="1"/>
  <c r="BE93" i="6" a="1"/>
  <c r="BE93" i="6" s="1"/>
  <c r="N93" i="6"/>
  <c r="B95" i="6"/>
  <c r="L96" i="6"/>
  <c r="AH93" i="6"/>
  <c r="AE92" i="6"/>
  <c r="AV92" i="6"/>
  <c r="AG92" i="6"/>
  <c r="AO92" i="6"/>
  <c r="AS92" i="6"/>
  <c r="AH92" i="6"/>
  <c r="BA92" i="6" a="1"/>
  <c r="BA92" i="6" s="1"/>
  <c r="AD92" i="6"/>
  <c r="AY92" i="6" a="1"/>
  <c r="AY92" i="6" s="1"/>
  <c r="AR92" i="6"/>
  <c r="BC92" i="6" a="1"/>
  <c r="BC92" i="6" s="1"/>
  <c r="BD92" i="6" a="1"/>
  <c r="BD92" i="6" s="1"/>
  <c r="AU92" i="6"/>
  <c r="AQ92" i="6"/>
  <c r="BF92" i="6" a="1"/>
  <c r="BF92" i="6" s="1"/>
  <c r="AB92" i="6"/>
  <c r="AZ92" i="6" a="1"/>
  <c r="AZ92" i="6" s="1"/>
  <c r="AI92" i="6"/>
  <c r="BE92" i="6" a="1"/>
  <c r="BE92" i="6" s="1"/>
  <c r="AM92" i="6"/>
  <c r="AC92" i="6"/>
  <c r="AX92" i="6" a="1"/>
  <c r="AX92" i="6" s="1"/>
  <c r="BB92" i="6" a="1"/>
  <c r="BB92" i="6" s="1"/>
  <c r="AT92" i="6"/>
  <c r="AN92" i="6"/>
  <c r="AK92" i="6"/>
  <c r="AJ92" i="6"/>
  <c r="BG92" i="6" a="1"/>
  <c r="BG92" i="6" s="1"/>
  <c r="AP92" i="6"/>
  <c r="AF92" i="6"/>
  <c r="N94" i="6"/>
  <c r="H94" i="6" a="1"/>
  <c r="H94" i="6" s="1"/>
  <c r="T94" i="5" s="1"/>
  <c r="G94" i="12" s="1" a="1"/>
  <c r="G94" i="12" s="1"/>
  <c r="M94" i="6"/>
  <c r="BF94" i="6" s="1" a="1"/>
  <c r="BF94" i="6" s="1"/>
  <c r="G94" i="6"/>
  <c r="AD93" i="6"/>
  <c r="AB93" i="6"/>
  <c r="BB93" i="6" a="1"/>
  <c r="BB93" i="6" s="1"/>
  <c r="BC93" i="6" a="1"/>
  <c r="BC93" i="6" s="1"/>
  <c r="AZ93" i="6" a="1"/>
  <c r="AZ93" i="6" s="1"/>
  <c r="AN93" i="6"/>
  <c r="AR93" i="6"/>
  <c r="AT93" i="6"/>
  <c r="AI93" i="6"/>
  <c r="S94" i="5" a="1"/>
  <c r="S94" i="5" s="1"/>
  <c r="F94" i="12" s="1" a="1"/>
  <c r="F94" i="12" s="1"/>
  <c r="AG94" i="5" a="1"/>
  <c r="AG94" i="5" s="1"/>
  <c r="AG93" i="6"/>
  <c r="AC93" i="6"/>
  <c r="AO93" i="6"/>
  <c r="BA93" i="6" a="1"/>
  <c r="BA93" i="6" s="1"/>
  <c r="J94" i="6" a="1"/>
  <c r="J94" i="6" s="1"/>
  <c r="A94" i="6"/>
  <c r="C96" i="5"/>
  <c r="G95" i="5"/>
  <c r="D95" i="5"/>
  <c r="B95" i="12" s="1"/>
  <c r="AE95" i="5" a="1"/>
  <c r="AE95" i="5" s="1"/>
  <c r="H95" i="5"/>
  <c r="A95" i="12"/>
  <c r="K95" i="5"/>
  <c r="AD95" i="5"/>
  <c r="B95" i="5"/>
  <c r="F95" i="5"/>
  <c r="N95" i="5"/>
  <c r="D95" i="6" s="1"/>
  <c r="J95" i="5"/>
  <c r="E95" i="5"/>
  <c r="AJ93" i="6"/>
  <c r="B25" i="7"/>
  <c r="C26" i="7" a="1"/>
  <c r="C26" i="7" s="1"/>
  <c r="B26" i="10"/>
  <c r="B64" i="9"/>
  <c r="D8" i="9"/>
  <c r="F67" i="8" s="1"/>
  <c r="AI94" i="6" l="1"/>
  <c r="AF94" i="6"/>
  <c r="AJ94" i="6"/>
  <c r="AP94" i="6"/>
  <c r="AZ94" i="6" a="1"/>
  <c r="AZ94" i="6" s="1"/>
  <c r="BA94" i="6" a="1"/>
  <c r="BA94" i="6" s="1"/>
  <c r="AV94" i="6"/>
  <c r="AB94" i="6"/>
  <c r="AD94" i="6"/>
  <c r="BB94" i="6" a="1"/>
  <c r="BB94" i="6" s="1"/>
  <c r="BG94" i="6" a="1"/>
  <c r="BG94" i="6" s="1"/>
  <c r="AT94" i="6"/>
  <c r="AR94" i="6"/>
  <c r="BE94" i="6" a="1"/>
  <c r="BE94" i="6" s="1"/>
  <c r="AO94" i="6"/>
  <c r="AS94" i="6"/>
  <c r="AN94" i="6"/>
  <c r="AH94" i="6"/>
  <c r="AG94" i="6"/>
  <c r="AE94" i="6"/>
  <c r="AC94" i="6"/>
  <c r="AM94" i="6"/>
  <c r="AY94" i="6" a="1"/>
  <c r="AY94" i="6" s="1"/>
  <c r="AQ94" i="6"/>
  <c r="BD94" i="6" a="1"/>
  <c r="BD94" i="6" s="1"/>
  <c r="BC94" i="6" a="1"/>
  <c r="BC94" i="6" s="1"/>
  <c r="B96" i="6"/>
  <c r="L97" i="6"/>
  <c r="J95" i="6" a="1"/>
  <c r="J95" i="6" s="1"/>
  <c r="A95" i="6"/>
  <c r="N95" i="6" s="1"/>
  <c r="C97" i="5"/>
  <c r="D96" i="5"/>
  <c r="B96" i="12" s="1"/>
  <c r="AD96" i="5"/>
  <c r="AE96" i="5" a="1"/>
  <c r="AE96" i="5" s="1"/>
  <c r="N96" i="5"/>
  <c r="D96" i="6" s="1"/>
  <c r="K96" i="5"/>
  <c r="J96" i="5"/>
  <c r="H96" i="5"/>
  <c r="G96" i="5"/>
  <c r="E96" i="5"/>
  <c r="A96" i="12"/>
  <c r="B96" i="5"/>
  <c r="F96" i="5"/>
  <c r="H95" i="6" a="1"/>
  <c r="H95" i="6" s="1"/>
  <c r="T95" i="5" s="1"/>
  <c r="G95" i="12" s="1" a="1"/>
  <c r="G95" i="12" s="1"/>
  <c r="AU94" i="6"/>
  <c r="L95" i="12" a="1"/>
  <c r="L95" i="12" s="1"/>
  <c r="J95" i="12" a="1"/>
  <c r="J95" i="12" s="1"/>
  <c r="AX94" i="6" a="1"/>
  <c r="AX94" i="6" s="1"/>
  <c r="AK94" i="6"/>
  <c r="E180" i="12"/>
  <c r="E176" i="12"/>
  <c r="B26" i="7"/>
  <c r="C27" i="7" a="1"/>
  <c r="C27" i="7" s="1"/>
  <c r="B27" i="10"/>
  <c r="A11" i="12"/>
  <c r="K95" i="12" l="1"/>
  <c r="M95" i="6"/>
  <c r="AB95" i="6" s="1"/>
  <c r="A96" i="6"/>
  <c r="M96" i="6" s="1"/>
  <c r="AX96" i="6" s="1" a="1"/>
  <c r="AX96" i="6" s="1"/>
  <c r="J96" i="6" a="1"/>
  <c r="J96" i="6" s="1"/>
  <c r="L96" i="12" a="1"/>
  <c r="L96" i="12" s="1"/>
  <c r="J96" i="12" a="1"/>
  <c r="J96" i="12" s="1"/>
  <c r="B97" i="6"/>
  <c r="L98" i="6"/>
  <c r="AE97" i="5" a="1"/>
  <c r="AE97" i="5" s="1"/>
  <c r="G97" i="5"/>
  <c r="C98" i="5"/>
  <c r="K97" i="5"/>
  <c r="AD97" i="5"/>
  <c r="A97" i="12"/>
  <c r="H97" i="5"/>
  <c r="N97" i="5"/>
  <c r="D97" i="6" s="1"/>
  <c r="E97" i="5"/>
  <c r="B97" i="5"/>
  <c r="F97" i="5"/>
  <c r="D97" i="5"/>
  <c r="B97" i="12" s="1"/>
  <c r="J97" i="5"/>
  <c r="H96" i="6" a="1"/>
  <c r="H96" i="6" s="1"/>
  <c r="T96" i="5" s="1"/>
  <c r="G96" i="12" s="1" a="1"/>
  <c r="G96" i="12" s="1"/>
  <c r="B28" i="10"/>
  <c r="B27" i="7"/>
  <c r="C28" i="7" a="1"/>
  <c r="C28" i="7" s="1"/>
  <c r="AV95" i="6" l="1"/>
  <c r="BE95" i="6" a="1"/>
  <c r="BE95" i="6" s="1"/>
  <c r="AH95" i="6"/>
  <c r="AR95" i="6"/>
  <c r="AI95" i="6"/>
  <c r="AG95" i="6"/>
  <c r="BD95" i="6" a="1"/>
  <c r="BD95" i="6" s="1"/>
  <c r="AT95" i="6"/>
  <c r="AY95" i="6" a="1"/>
  <c r="AY95" i="6" s="1"/>
  <c r="AP95" i="6"/>
  <c r="BG95" i="6" a="1"/>
  <c r="BG95" i="6" s="1"/>
  <c r="AE95" i="6"/>
  <c r="BC95" i="6" a="1"/>
  <c r="BC95" i="6" s="1"/>
  <c r="AQ95" i="6"/>
  <c r="AC95" i="6"/>
  <c r="AO95" i="6"/>
  <c r="AJ95" i="6"/>
  <c r="AD95" i="6"/>
  <c r="N96" i="6"/>
  <c r="BA95" i="6" a="1"/>
  <c r="BA95" i="6" s="1"/>
  <c r="AM95" i="6"/>
  <c r="AN95" i="6"/>
  <c r="BF95" i="6" a="1"/>
  <c r="BF95" i="6" s="1"/>
  <c r="AS95" i="6"/>
  <c r="AF95" i="6"/>
  <c r="AX95" i="6" a="1"/>
  <c r="AX95" i="6" s="1"/>
  <c r="AV96" i="6"/>
  <c r="AP96" i="6"/>
  <c r="AK95" i="6"/>
  <c r="K96" i="12"/>
  <c r="AJ96" i="6"/>
  <c r="AT96" i="6"/>
  <c r="AB96" i="6"/>
  <c r="AU95" i="6"/>
  <c r="BB95" i="6" a="1"/>
  <c r="BB95" i="6" s="1"/>
  <c r="AZ95" i="6" a="1"/>
  <c r="AZ95" i="6" s="1"/>
  <c r="AE96" i="6"/>
  <c r="AI96" i="6"/>
  <c r="AU96" i="6"/>
  <c r="AY96" i="6" a="1"/>
  <c r="AY96" i="6" s="1"/>
  <c r="AD96" i="6"/>
  <c r="AM96" i="6"/>
  <c r="AN96" i="6"/>
  <c r="BA96" i="6" a="1"/>
  <c r="BA96" i="6" s="1"/>
  <c r="BC96" i="6" a="1"/>
  <c r="BC96" i="6" s="1"/>
  <c r="AF96" i="6"/>
  <c r="AK96" i="6"/>
  <c r="B98" i="6"/>
  <c r="AZ96" i="6" a="1"/>
  <c r="AZ96" i="6" s="1"/>
  <c r="AS96" i="6"/>
  <c r="AD98" i="5"/>
  <c r="AE98" i="5" a="1"/>
  <c r="AE98" i="5" s="1"/>
  <c r="D98" i="5"/>
  <c r="B98" i="12" s="1"/>
  <c r="H98" i="5"/>
  <c r="J98" i="5"/>
  <c r="B98" i="5"/>
  <c r="K98" i="5"/>
  <c r="E98" i="5"/>
  <c r="F98" i="5"/>
  <c r="A98" i="12"/>
  <c r="G98" i="5"/>
  <c r="N98" i="5"/>
  <c r="D98" i="6" s="1"/>
  <c r="BB96" i="6" a="1"/>
  <c r="BB96" i="6" s="1"/>
  <c r="BD96" i="6" a="1"/>
  <c r="BD96" i="6" s="1"/>
  <c r="J97" i="6" a="1"/>
  <c r="J97" i="6" s="1"/>
  <c r="A97" i="6"/>
  <c r="N97" i="6" s="1"/>
  <c r="AQ96" i="6"/>
  <c r="BE96" i="6" a="1"/>
  <c r="BE96" i="6" s="1"/>
  <c r="AO96" i="6"/>
  <c r="AG96" i="6"/>
  <c r="AC96" i="6"/>
  <c r="H97" i="6" a="1"/>
  <c r="H97" i="6" s="1"/>
  <c r="T97" i="5" s="1"/>
  <c r="G97" i="12" s="1" a="1"/>
  <c r="G97" i="12" s="1"/>
  <c r="AR96" i="6"/>
  <c r="J97" i="12" a="1"/>
  <c r="J97" i="12" s="1"/>
  <c r="L97" i="12" a="1"/>
  <c r="L97" i="12" s="1"/>
  <c r="BF96" i="6" a="1"/>
  <c r="BF96" i="6" s="1"/>
  <c r="BG96" i="6" a="1"/>
  <c r="BG96" i="6" s="1"/>
  <c r="AH96" i="6"/>
  <c r="E185" i="12"/>
  <c r="B29" i="10"/>
  <c r="C29" i="7" a="1"/>
  <c r="C29" i="7" s="1"/>
  <c r="B28" i="7"/>
  <c r="K97" i="12" l="1"/>
  <c r="C99" i="5"/>
  <c r="L99" i="6"/>
  <c r="H98" i="6" a="1"/>
  <c r="H98" i="6" s="1"/>
  <c r="T98" i="5" s="1"/>
  <c r="G98" i="12" s="1" a="1"/>
  <c r="G98" i="12" s="1"/>
  <c r="J98" i="6" a="1"/>
  <c r="J98" i="6" s="1"/>
  <c r="A98" i="6"/>
  <c r="N98" i="6" s="1"/>
  <c r="M97" i="6"/>
  <c r="AB97" i="6" s="1"/>
  <c r="J98" i="12" a="1"/>
  <c r="J98" i="12" s="1"/>
  <c r="L98" i="12" a="1"/>
  <c r="L98" i="12" s="1"/>
  <c r="B30" i="10"/>
  <c r="C30" i="7" a="1"/>
  <c r="C30" i="7" s="1"/>
  <c r="B29" i="7"/>
  <c r="O15" i="12" a="1"/>
  <c r="O15" i="12" s="1"/>
  <c r="M15" i="12" a="1"/>
  <c r="M15" i="12" s="1"/>
  <c r="J14" i="6" a="1"/>
  <c r="J14" i="6" s="1"/>
  <c r="AC97" i="6" l="1"/>
  <c r="K98" i="12"/>
  <c r="AD97" i="6"/>
  <c r="A99" i="12"/>
  <c r="B99" i="5"/>
  <c r="C100" i="5" s="1"/>
  <c r="F99" i="5"/>
  <c r="D99" i="5"/>
  <c r="B99" i="12" s="1"/>
  <c r="J99" i="5"/>
  <c r="N99" i="5"/>
  <c r="D99" i="6" s="1"/>
  <c r="G99" i="5"/>
  <c r="K99" i="5"/>
  <c r="AD99" i="5"/>
  <c r="AE99" i="5" a="1"/>
  <c r="AE99" i="5" s="1"/>
  <c r="H99" i="5"/>
  <c r="E99" i="5"/>
  <c r="M98" i="6"/>
  <c r="AF97" i="6"/>
  <c r="AQ97" i="6"/>
  <c r="BA97" i="6" a="1"/>
  <c r="BA97" i="6" s="1"/>
  <c r="AN97" i="6"/>
  <c r="BE97" i="6" a="1"/>
  <c r="BE97" i="6" s="1"/>
  <c r="AV97" i="6"/>
  <c r="BG97" i="6" a="1"/>
  <c r="BG97" i="6" s="1"/>
  <c r="AP97" i="6"/>
  <c r="AX97" i="6" a="1"/>
  <c r="AX97" i="6" s="1"/>
  <c r="AJ97" i="6"/>
  <c r="BB97" i="6" a="1"/>
  <c r="BB97" i="6" s="1"/>
  <c r="BC97" i="6" a="1"/>
  <c r="BC97" i="6" s="1"/>
  <c r="AT97" i="6"/>
  <c r="AY97" i="6" a="1"/>
  <c r="AY97" i="6" s="1"/>
  <c r="AS97" i="6"/>
  <c r="AE97" i="6"/>
  <c r="BF97" i="6" a="1"/>
  <c r="BF97" i="6" s="1"/>
  <c r="AG97" i="6"/>
  <c r="AI97" i="6"/>
  <c r="AK97" i="6"/>
  <c r="BD97" i="6" a="1"/>
  <c r="BD97" i="6" s="1"/>
  <c r="AR97" i="6"/>
  <c r="AH97" i="6"/>
  <c r="AO97" i="6"/>
  <c r="AZ97" i="6" a="1"/>
  <c r="AZ97" i="6" s="1"/>
  <c r="AM97" i="6"/>
  <c r="AU97" i="6"/>
  <c r="L100" i="6"/>
  <c r="B99" i="6"/>
  <c r="B31" i="10"/>
  <c r="C31" i="7" a="1"/>
  <c r="C31" i="7" s="1"/>
  <c r="B30" i="7"/>
  <c r="I15" i="12" a="1"/>
  <c r="I15" i="12" s="1"/>
  <c r="P11" i="12" s="1"/>
  <c r="O11" i="12" s="1"/>
  <c r="J15" i="12" a="1"/>
  <c r="J15" i="12" s="1"/>
  <c r="L15" i="12" a="1"/>
  <c r="L15" i="12" s="1"/>
  <c r="AI98" i="6" l="1"/>
  <c r="AU98" i="6"/>
  <c r="AM98" i="6"/>
  <c r="AZ98" i="6" a="1"/>
  <c r="AZ98" i="6" s="1"/>
  <c r="AE98" i="6"/>
  <c r="AX98" i="6" a="1"/>
  <c r="AX98" i="6" s="1"/>
  <c r="AF98" i="6"/>
  <c r="AV98" i="6"/>
  <c r="BB98" i="6" a="1"/>
  <c r="BB98" i="6" s="1"/>
  <c r="BG98" i="6" a="1"/>
  <c r="BG98" i="6" s="1"/>
  <c r="AG98" i="6"/>
  <c r="AS98" i="6"/>
  <c r="BF98" i="6" a="1"/>
  <c r="BF98" i="6" s="1"/>
  <c r="BD98" i="6" a="1"/>
  <c r="BD98" i="6" s="1"/>
  <c r="AP98" i="6"/>
  <c r="BE98" i="6" a="1"/>
  <c r="BE98" i="6" s="1"/>
  <c r="BA98" i="6" a="1"/>
  <c r="BA98" i="6" s="1"/>
  <c r="AO98" i="6"/>
  <c r="AN98" i="6"/>
  <c r="AJ98" i="6"/>
  <c r="AK98" i="6"/>
  <c r="AY98" i="6" a="1"/>
  <c r="AY98" i="6" s="1"/>
  <c r="AC98" i="6"/>
  <c r="AT98" i="6"/>
  <c r="AQ98" i="6"/>
  <c r="AD98" i="6"/>
  <c r="BC98" i="6" a="1"/>
  <c r="BC98" i="6" s="1"/>
  <c r="AH98" i="6"/>
  <c r="AR98" i="6"/>
  <c r="H99" i="6" a="1"/>
  <c r="H99" i="6" s="1"/>
  <c r="T99" i="5" s="1"/>
  <c r="G99" i="12" s="1" a="1"/>
  <c r="G99" i="12" s="1"/>
  <c r="A99" i="6"/>
  <c r="N99" i="6" s="1"/>
  <c r="J99" i="6" a="1"/>
  <c r="J99" i="6" s="1"/>
  <c r="W100" i="5" a="1"/>
  <c r="W100" i="5" s="1"/>
  <c r="H100" i="12" s="1" a="1"/>
  <c r="H100" i="12" s="1"/>
  <c r="I100" i="5"/>
  <c r="AE100" i="5" a="1"/>
  <c r="AE100" i="5" s="1"/>
  <c r="E100" i="5"/>
  <c r="C101" i="5"/>
  <c r="B100" i="5"/>
  <c r="F100" i="5"/>
  <c r="AD100" i="5"/>
  <c r="H100" i="5"/>
  <c r="AF100" i="5" a="1"/>
  <c r="AF100" i="5" s="1"/>
  <c r="A100" i="12"/>
  <c r="G100" i="5"/>
  <c r="N100" i="5"/>
  <c r="D100" i="6" s="1"/>
  <c r="AB98" i="6"/>
  <c r="L101" i="6"/>
  <c r="B100" i="6"/>
  <c r="F100" i="6"/>
  <c r="J99" i="12" a="1"/>
  <c r="J99" i="12" s="1"/>
  <c r="L99" i="12" a="1"/>
  <c r="L99" i="12" s="1"/>
  <c r="C32" i="7" a="1"/>
  <c r="C32" i="7" s="1"/>
  <c r="B31" i="7"/>
  <c r="B32" i="10"/>
  <c r="K15" i="12"/>
  <c r="N15" i="12"/>
  <c r="P10" i="12"/>
  <c r="O10" i="12" s="1"/>
  <c r="K99" i="12" l="1"/>
  <c r="B101" i="6"/>
  <c r="L102" i="6"/>
  <c r="G100" i="6"/>
  <c r="H100" i="6" a="1"/>
  <c r="H100" i="6" s="1"/>
  <c r="T100" i="5" s="1"/>
  <c r="G100" i="12" s="1" a="1"/>
  <c r="G100" i="12" s="1"/>
  <c r="M100" i="6"/>
  <c r="BF100" i="6" s="1" a="1"/>
  <c r="BF100" i="6" s="1"/>
  <c r="N100" i="6"/>
  <c r="K101" i="5"/>
  <c r="G101" i="5"/>
  <c r="B101" i="5"/>
  <c r="H101" i="5"/>
  <c r="AD101" i="5"/>
  <c r="N101" i="5"/>
  <c r="D101" i="6" s="1"/>
  <c r="D101" i="5"/>
  <c r="B101" i="12" s="1"/>
  <c r="A101" i="12"/>
  <c r="J101" i="5"/>
  <c r="AE101" i="5" a="1"/>
  <c r="AE101" i="5" s="1"/>
  <c r="E101" i="5"/>
  <c r="F101" i="5"/>
  <c r="C102" i="5"/>
  <c r="J100" i="6" a="1"/>
  <c r="J100" i="6" s="1"/>
  <c r="A100" i="6"/>
  <c r="S100" i="5" a="1"/>
  <c r="S100" i="5" s="1"/>
  <c r="F100" i="12" s="1" a="1"/>
  <c r="F100" i="12" s="1"/>
  <c r="AG100" i="5" a="1"/>
  <c r="AG100" i="5" s="1"/>
  <c r="M99" i="6"/>
  <c r="B33" i="10"/>
  <c r="C33" i="7" a="1"/>
  <c r="C33" i="7" s="1"/>
  <c r="B32" i="7"/>
  <c r="M14" i="6"/>
  <c r="BE100" i="6" l="1" a="1"/>
  <c r="BE100" i="6" s="1"/>
  <c r="AV100" i="6"/>
  <c r="AU100" i="6"/>
  <c r="BD100" i="6" a="1"/>
  <c r="BD100" i="6" s="1"/>
  <c r="AS100" i="6"/>
  <c r="AD100" i="6"/>
  <c r="AY100" i="6" a="1"/>
  <c r="AY100" i="6" s="1"/>
  <c r="BB100" i="6" a="1"/>
  <c r="BB100" i="6" s="1"/>
  <c r="AQ100" i="6"/>
  <c r="BC100" i="6" a="1"/>
  <c r="BC100" i="6" s="1"/>
  <c r="AJ100" i="6"/>
  <c r="AE100" i="6"/>
  <c r="AX100" i="6" a="1"/>
  <c r="AX100" i="6" s="1"/>
  <c r="AB100" i="6"/>
  <c r="AC100" i="6"/>
  <c r="AT100" i="6"/>
  <c r="AZ100" i="6" a="1"/>
  <c r="AZ100" i="6" s="1"/>
  <c r="AR100" i="6"/>
  <c r="AH100" i="6"/>
  <c r="AN100" i="6"/>
  <c r="B102" i="6"/>
  <c r="L103" i="6"/>
  <c r="AK100" i="6"/>
  <c r="BG100" i="6" a="1"/>
  <c r="BG100" i="6" s="1"/>
  <c r="J101" i="6" a="1"/>
  <c r="J101" i="6" s="1"/>
  <c r="A101" i="6"/>
  <c r="N101" i="6" s="1"/>
  <c r="L101" i="12" a="1"/>
  <c r="L101" i="12" s="1"/>
  <c r="J101" i="12" a="1"/>
  <c r="J101" i="12" s="1"/>
  <c r="AP100" i="6"/>
  <c r="AI100" i="6"/>
  <c r="BE99" i="6" a="1"/>
  <c r="BE99" i="6" s="1"/>
  <c r="AT99" i="6"/>
  <c r="AX99" i="6" a="1"/>
  <c r="AX99" i="6" s="1"/>
  <c r="AC99" i="6"/>
  <c r="AD99" i="6"/>
  <c r="AK99" i="6"/>
  <c r="AG99" i="6"/>
  <c r="AP99" i="6"/>
  <c r="AB99" i="6"/>
  <c r="BC99" i="6" a="1"/>
  <c r="BC99" i="6" s="1"/>
  <c r="AI99" i="6"/>
  <c r="AF99" i="6"/>
  <c r="AR99" i="6"/>
  <c r="AS99" i="6"/>
  <c r="BD99" i="6" a="1"/>
  <c r="BD99" i="6" s="1"/>
  <c r="BF99" i="6" a="1"/>
  <c r="BF99" i="6" s="1"/>
  <c r="AJ99" i="6"/>
  <c r="BG99" i="6" a="1"/>
  <c r="BG99" i="6" s="1"/>
  <c r="AU99" i="6"/>
  <c r="AZ99" i="6" a="1"/>
  <c r="AZ99" i="6" s="1"/>
  <c r="AM99" i="6"/>
  <c r="AV99" i="6"/>
  <c r="AQ99" i="6"/>
  <c r="AO99" i="6"/>
  <c r="BA99" i="6" a="1"/>
  <c r="BA99" i="6" s="1"/>
  <c r="AH99" i="6"/>
  <c r="BB99" i="6" a="1"/>
  <c r="BB99" i="6" s="1"/>
  <c r="AN99" i="6"/>
  <c r="AE99" i="6"/>
  <c r="AY99" i="6" a="1"/>
  <c r="AY99" i="6" s="1"/>
  <c r="AF100" i="6"/>
  <c r="H101" i="6" a="1"/>
  <c r="H101" i="6" s="1"/>
  <c r="T101" i="5" s="1"/>
  <c r="G101" i="12" s="1" a="1"/>
  <c r="G101" i="12" s="1"/>
  <c r="AO100" i="6"/>
  <c r="E102" i="5"/>
  <c r="A102" i="12"/>
  <c r="H102" i="5"/>
  <c r="J102" i="5"/>
  <c r="K102" i="5"/>
  <c r="AD102" i="5"/>
  <c r="B102" i="5"/>
  <c r="C103" i="5" s="1"/>
  <c r="F102" i="5"/>
  <c r="D102" i="5"/>
  <c r="B102" i="12" s="1"/>
  <c r="G102" i="5"/>
  <c r="AE102" i="5" a="1"/>
  <c r="AE102" i="5" s="1"/>
  <c r="N102" i="5"/>
  <c r="D102" i="6" s="1"/>
  <c r="AG100" i="6"/>
  <c r="BA100" i="6" a="1"/>
  <c r="BA100" i="6" s="1"/>
  <c r="AM100" i="6"/>
  <c r="B34" i="10"/>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M101" i="6" l="1"/>
  <c r="AY101" i="6" s="1" a="1"/>
  <c r="AY101" i="6" s="1"/>
  <c r="K101" i="12"/>
  <c r="H102" i="6" a="1"/>
  <c r="H102" i="6" s="1"/>
  <c r="T102" i="5" s="1"/>
  <c r="G102" i="12" s="1" a="1"/>
  <c r="G102" i="12" s="1"/>
  <c r="B103" i="6"/>
  <c r="L104" i="6"/>
  <c r="F103" i="6"/>
  <c r="A102" i="6"/>
  <c r="N102" i="6" s="1"/>
  <c r="J102" i="6" a="1"/>
  <c r="J102" i="6" s="1"/>
  <c r="A103" i="12"/>
  <c r="B103" i="5"/>
  <c r="C104" i="5" s="1"/>
  <c r="AD103" i="5"/>
  <c r="F103" i="5"/>
  <c r="G103" i="5"/>
  <c r="J100" i="5" s="1"/>
  <c r="W103" i="5" a="1"/>
  <c r="W103" i="5" s="1"/>
  <c r="H103" i="12" s="1" a="1"/>
  <c r="H103" i="12" s="1"/>
  <c r="I103" i="5"/>
  <c r="N103" i="5"/>
  <c r="D103" i="6" s="1"/>
  <c r="H103" i="5"/>
  <c r="E103" i="5"/>
  <c r="AE103" i="5" a="1"/>
  <c r="AE103" i="5" s="1"/>
  <c r="AF103" i="5" a="1"/>
  <c r="AF103" i="5" s="1"/>
  <c r="L102" i="12" a="1"/>
  <c r="L102" i="12" s="1"/>
  <c r="J102" i="12" a="1"/>
  <c r="J102" i="12" s="1"/>
  <c r="C35" i="7" a="1"/>
  <c r="C35" i="7" s="1"/>
  <c r="B34" i="7"/>
  <c r="B35" i="10"/>
  <c r="X14" i="5" a="1"/>
  <c r="X14" i="5" s="1"/>
  <c r="AI101" i="6" l="1"/>
  <c r="AH101" i="6"/>
  <c r="BC101" i="6" a="1"/>
  <c r="BC101" i="6" s="1"/>
  <c r="AV101" i="6"/>
  <c r="AO101" i="6"/>
  <c r="AQ101" i="6"/>
  <c r="BA101" i="6" a="1"/>
  <c r="BA101" i="6" s="1"/>
  <c r="AK101" i="6"/>
  <c r="AP101" i="6"/>
  <c r="AU101" i="6"/>
  <c r="AZ101" i="6" a="1"/>
  <c r="AZ101" i="6" s="1"/>
  <c r="AG101" i="6"/>
  <c r="AB101" i="6"/>
  <c r="AF101" i="6"/>
  <c r="BF101" i="6" a="1"/>
  <c r="BF101" i="6" s="1"/>
  <c r="AS101" i="6"/>
  <c r="AE101" i="6"/>
  <c r="AN101" i="6"/>
  <c r="BE101" i="6" a="1"/>
  <c r="BE101" i="6" s="1"/>
  <c r="AD101" i="6"/>
  <c r="AC101" i="6"/>
  <c r="AM101" i="6"/>
  <c r="BD101" i="6" a="1"/>
  <c r="BD101" i="6" s="1"/>
  <c r="BG101" i="6" a="1"/>
  <c r="BG101" i="6" s="1"/>
  <c r="BB101" i="6" a="1"/>
  <c r="BB101" i="6" s="1"/>
  <c r="AR101" i="6"/>
  <c r="AX101" i="6" a="1"/>
  <c r="AX101" i="6" s="1"/>
  <c r="AT101" i="6"/>
  <c r="AJ101" i="6"/>
  <c r="K102" i="12"/>
  <c r="S103" i="5" a="1"/>
  <c r="S103" i="5" s="1"/>
  <c r="F103" i="12" s="1" a="1"/>
  <c r="F103" i="12" s="1"/>
  <c r="AG103" i="5" a="1"/>
  <c r="AG103" i="5" s="1"/>
  <c r="G104" i="5"/>
  <c r="C105" i="5"/>
  <c r="N104" i="5"/>
  <c r="D104" i="6" s="1"/>
  <c r="A104" i="12"/>
  <c r="AD104" i="5"/>
  <c r="I104" i="5"/>
  <c r="H104" i="5"/>
  <c r="B104" i="5"/>
  <c r="AE104" i="5" a="1"/>
  <c r="AE104" i="5" s="1"/>
  <c r="E104" i="5"/>
  <c r="F104" i="5"/>
  <c r="AF104" i="5" a="1"/>
  <c r="AF104" i="5" s="1"/>
  <c r="W104" i="5" a="1"/>
  <c r="W104" i="5" s="1"/>
  <c r="H104" i="12" s="1" a="1"/>
  <c r="H104" i="12" s="1"/>
  <c r="B104" i="6"/>
  <c r="L105" i="6"/>
  <c r="F104" i="6"/>
  <c r="J103" i="6" a="1"/>
  <c r="J103" i="6" s="1"/>
  <c r="A103" i="6"/>
  <c r="M103" i="6"/>
  <c r="AX103" i="6" s="1" a="1"/>
  <c r="AX103" i="6" s="1"/>
  <c r="H103" i="6" a="1"/>
  <c r="H103" i="6" s="1"/>
  <c r="T103" i="5" s="1"/>
  <c r="G103" i="12" s="1" a="1"/>
  <c r="G103" i="12" s="1"/>
  <c r="G103" i="6"/>
  <c r="N103" i="6"/>
  <c r="M102" i="6"/>
  <c r="E190" i="12"/>
  <c r="C36" i="7" a="1"/>
  <c r="C36" i="7" s="1"/>
  <c r="B35" i="7"/>
  <c r="B36" i="10"/>
  <c r="I14" i="5"/>
  <c r="I14" i="12"/>
  <c r="L14" i="5"/>
  <c r="AM14" i="5"/>
  <c r="Z14" i="5"/>
  <c r="AP103" i="6" l="1"/>
  <c r="AH103" i="6"/>
  <c r="AJ103" i="6"/>
  <c r="BA103" i="6" a="1"/>
  <c r="BA103" i="6" s="1"/>
  <c r="AQ103" i="6"/>
  <c r="AD103" i="6"/>
  <c r="AE103" i="6"/>
  <c r="AG103" i="6"/>
  <c r="AI103" i="6"/>
  <c r="G104" i="6"/>
  <c r="N104" i="6"/>
  <c r="H104" i="6" a="1"/>
  <c r="H104" i="6" s="1"/>
  <c r="T104" i="5" s="1"/>
  <c r="G104" i="12" s="1" a="1"/>
  <c r="G104" i="12" s="1"/>
  <c r="AU103" i="6"/>
  <c r="AT103" i="6"/>
  <c r="AS103" i="6"/>
  <c r="AF103" i="6"/>
  <c r="B105" i="6"/>
  <c r="L106" i="6"/>
  <c r="AR103" i="6"/>
  <c r="AM103" i="6"/>
  <c r="BB103" i="6" a="1"/>
  <c r="BB103" i="6" s="1"/>
  <c r="B105" i="5"/>
  <c r="C106" i="5" s="1"/>
  <c r="AD105" i="5"/>
  <c r="AE105" i="5" a="1"/>
  <c r="AE105" i="5" s="1"/>
  <c r="H105" i="5"/>
  <c r="N105" i="5"/>
  <c r="D105" i="6" s="1"/>
  <c r="F105" i="5"/>
  <c r="G105" i="5"/>
  <c r="E105" i="5"/>
  <c r="D105" i="5"/>
  <c r="B105" i="12" s="1"/>
  <c r="J105" i="5"/>
  <c r="K105" i="5"/>
  <c r="A105" i="12"/>
  <c r="A104" i="6"/>
  <c r="M104" i="6" s="1"/>
  <c r="AZ104" i="6" s="1" a="1"/>
  <c r="AZ104" i="6" s="1"/>
  <c r="J104" i="6" a="1"/>
  <c r="J104" i="6" s="1"/>
  <c r="BF103" i="6" a="1"/>
  <c r="BF103" i="6" s="1"/>
  <c r="AO103" i="6"/>
  <c r="AB103" i="6"/>
  <c r="AN103" i="6"/>
  <c r="AC103" i="6"/>
  <c r="BG103" i="6" a="1"/>
  <c r="BG103" i="6" s="1"/>
  <c r="AY103" i="6" a="1"/>
  <c r="AY103" i="6" s="1"/>
  <c r="BD103" i="6" a="1"/>
  <c r="BD103" i="6" s="1"/>
  <c r="BE103" i="6" a="1"/>
  <c r="BE103" i="6" s="1"/>
  <c r="BC103" i="6" a="1"/>
  <c r="BC103" i="6" s="1"/>
  <c r="S104" i="5" a="1"/>
  <c r="S104" i="5" s="1"/>
  <c r="F104" i="12" s="1" a="1"/>
  <c r="F104" i="12" s="1"/>
  <c r="AG104" i="5" a="1"/>
  <c r="AG104" i="5" s="1"/>
  <c r="AB102" i="6"/>
  <c r="AN102" i="6"/>
  <c r="AR102" i="6"/>
  <c r="AU102" i="6"/>
  <c r="AM102" i="6"/>
  <c r="AP102" i="6"/>
  <c r="BF102" i="6" a="1"/>
  <c r="BF102" i="6" s="1"/>
  <c r="AZ102" i="6" a="1"/>
  <c r="AZ102" i="6" s="1"/>
  <c r="AE102" i="6"/>
  <c r="AF102" i="6"/>
  <c r="AX102" i="6" a="1"/>
  <c r="AX102" i="6" s="1"/>
  <c r="BA102" i="6" a="1"/>
  <c r="BA102" i="6" s="1"/>
  <c r="AC102" i="6"/>
  <c r="AY102" i="6" a="1"/>
  <c r="AY102" i="6" s="1"/>
  <c r="AK102" i="6"/>
  <c r="AD102" i="6"/>
  <c r="AG102" i="6"/>
  <c r="AT102" i="6"/>
  <c r="BC102" i="6" a="1"/>
  <c r="BC102" i="6" s="1"/>
  <c r="AS102" i="6"/>
  <c r="AI102" i="6"/>
  <c r="AH102" i="6"/>
  <c r="BG102" i="6" a="1"/>
  <c r="BG102" i="6" s="1"/>
  <c r="AV102" i="6"/>
  <c r="AO102" i="6"/>
  <c r="AQ102" i="6"/>
  <c r="BD102" i="6" a="1"/>
  <c r="BD102" i="6" s="1"/>
  <c r="AJ102" i="6"/>
  <c r="BB102" i="6" a="1"/>
  <c r="BB102" i="6" s="1"/>
  <c r="BE102" i="6" a="1"/>
  <c r="BE102" i="6" s="1"/>
  <c r="AV103" i="6"/>
  <c r="AK103" i="6"/>
  <c r="AZ103" i="6" a="1"/>
  <c r="AZ103" i="6" s="1"/>
  <c r="C37" i="7" a="1"/>
  <c r="C37" i="7" s="1"/>
  <c r="B36" i="7"/>
  <c r="B37" i="10"/>
  <c r="O14" i="5"/>
  <c r="AA14" i="5" a="1"/>
  <c r="AA14" i="5" s="1"/>
  <c r="AB14" i="5" a="1"/>
  <c r="AB14" i="5" s="1"/>
  <c r="AO14" i="12" a="1"/>
  <c r="AO14" i="12" s="1"/>
  <c r="C14" i="12"/>
  <c r="M14" i="12" a="1"/>
  <c r="M14" i="12" s="1"/>
  <c r="O14" i="12" a="1"/>
  <c r="O14" i="12" s="1"/>
  <c r="AM104" i="6" l="1"/>
  <c r="AY104" i="6" a="1"/>
  <c r="AY104" i="6" s="1"/>
  <c r="AN104" i="6"/>
  <c r="AJ104" i="6"/>
  <c r="AC104" i="6"/>
  <c r="AB104" i="6"/>
  <c r="AF104" i="6"/>
  <c r="AT104" i="6"/>
  <c r="BC104" i="6" a="1"/>
  <c r="BC104" i="6" s="1"/>
  <c r="BG104" i="6" a="1"/>
  <c r="BG104" i="6" s="1"/>
  <c r="BE104" i="6" a="1"/>
  <c r="BE104" i="6" s="1"/>
  <c r="AI104" i="6"/>
  <c r="AU104" i="6"/>
  <c r="AH104" i="6"/>
  <c r="AO104" i="6"/>
  <c r="L105" i="12" a="1"/>
  <c r="L105" i="12" s="1"/>
  <c r="J105" i="12" a="1"/>
  <c r="J105" i="12" s="1"/>
  <c r="A105" i="6"/>
  <c r="M105" i="6" s="1"/>
  <c r="AN105" i="6" s="1"/>
  <c r="J105" i="6" a="1"/>
  <c r="J105" i="6" s="1"/>
  <c r="BA104" i="6" a="1"/>
  <c r="BA104" i="6" s="1"/>
  <c r="AV104" i="6"/>
  <c r="AK104" i="6"/>
  <c r="AP104" i="6"/>
  <c r="AD104" i="6"/>
  <c r="AR104" i="6"/>
  <c r="H105" i="6" a="1"/>
  <c r="H105" i="6" s="1"/>
  <c r="T105" i="5" s="1"/>
  <c r="G105" i="12" s="1" a="1"/>
  <c r="G105" i="12" s="1"/>
  <c r="G106" i="5"/>
  <c r="K104" i="5" s="1"/>
  <c r="AD106" i="5"/>
  <c r="B106" i="5"/>
  <c r="C107" i="5"/>
  <c r="AE106" i="5" a="1"/>
  <c r="AE106" i="5" s="1"/>
  <c r="W106" i="5" a="1"/>
  <c r="W106" i="5" s="1"/>
  <c r="H106" i="12" s="1" a="1"/>
  <c r="H106" i="12" s="1"/>
  <c r="A106" i="12"/>
  <c r="I106" i="5"/>
  <c r="N106" i="5"/>
  <c r="D106" i="6" s="1"/>
  <c r="E106" i="5"/>
  <c r="H106" i="5"/>
  <c r="AF106" i="5" a="1"/>
  <c r="AF106" i="5" s="1"/>
  <c r="F106" i="5"/>
  <c r="AX104" i="6" a="1"/>
  <c r="AX104" i="6" s="1"/>
  <c r="BD104" i="6" a="1"/>
  <c r="BD104" i="6" s="1"/>
  <c r="L107" i="6"/>
  <c r="B106" i="6"/>
  <c r="F106" i="6"/>
  <c r="AG104" i="6"/>
  <c r="BB104" i="6" a="1"/>
  <c r="BB104" i="6" s="1"/>
  <c r="AQ104" i="6"/>
  <c r="AE104" i="6"/>
  <c r="AS104" i="6"/>
  <c r="BF104" i="6" a="1"/>
  <c r="BF104" i="6" s="1"/>
  <c r="C38" i="7" a="1"/>
  <c r="C38" i="7" s="1"/>
  <c r="B37" i="7"/>
  <c r="B38" i="10"/>
  <c r="N14" i="12"/>
  <c r="Y14" i="12"/>
  <c r="D14" i="12"/>
  <c r="K105" i="12" l="1"/>
  <c r="BG105" i="6" a="1"/>
  <c r="BG105" i="6" s="1"/>
  <c r="AJ105" i="6"/>
  <c r="B107" i="6"/>
  <c r="L108" i="6"/>
  <c r="AR105" i="6"/>
  <c r="J106" i="6" a="1"/>
  <c r="J106" i="6" s="1"/>
  <c r="A106" i="6"/>
  <c r="N106" i="6" s="1"/>
  <c r="BA105" i="6" a="1"/>
  <c r="BA105" i="6" s="1"/>
  <c r="AT105" i="6"/>
  <c r="AU105" i="6"/>
  <c r="AK105" i="6"/>
  <c r="AF105" i="6"/>
  <c r="AC105" i="6"/>
  <c r="BC105" i="6" a="1"/>
  <c r="BC105" i="6" s="1"/>
  <c r="BE105" i="6" a="1"/>
  <c r="BE105" i="6" s="1"/>
  <c r="AE105" i="6"/>
  <c r="AS105" i="6"/>
  <c r="AQ105" i="6"/>
  <c r="AP105" i="6"/>
  <c r="AZ105" i="6" a="1"/>
  <c r="AZ105" i="6" s="1"/>
  <c r="BF105" i="6" a="1"/>
  <c r="BF105" i="6" s="1"/>
  <c r="AD105" i="6"/>
  <c r="AM105" i="6"/>
  <c r="A107" i="12"/>
  <c r="D107" i="5"/>
  <c r="B107" i="12" s="1"/>
  <c r="E107" i="5"/>
  <c r="B107" i="5"/>
  <c r="C108" i="5" s="1"/>
  <c r="K107" i="5"/>
  <c r="N107" i="5"/>
  <c r="D107" i="6" s="1"/>
  <c r="H107" i="5"/>
  <c r="AE107" i="5" a="1"/>
  <c r="AE107" i="5" s="1"/>
  <c r="AD107" i="5"/>
  <c r="F107" i="5"/>
  <c r="J107" i="5"/>
  <c r="G107" i="5"/>
  <c r="AO105" i="6"/>
  <c r="AG106" i="5" a="1"/>
  <c r="AG106" i="5" s="1"/>
  <c r="S106" i="5" a="1"/>
  <c r="S106" i="5" s="1"/>
  <c r="F106" i="12" s="1" a="1"/>
  <c r="F106" i="12" s="1"/>
  <c r="N105" i="6"/>
  <c r="H106" i="6" a="1"/>
  <c r="H106" i="6" s="1"/>
  <c r="T106" i="5" s="1"/>
  <c r="G106" i="12" s="1" a="1"/>
  <c r="G106" i="12" s="1"/>
  <c r="M106" i="6"/>
  <c r="BD106" i="6" s="1" a="1"/>
  <c r="BD106" i="6" s="1"/>
  <c r="G106" i="6"/>
  <c r="AX105" i="6" a="1"/>
  <c r="AX105" i="6" s="1"/>
  <c r="AV105" i="6"/>
  <c r="AH105" i="6"/>
  <c r="AG105" i="6"/>
  <c r="BB105" i="6" a="1"/>
  <c r="BB105" i="6" s="1"/>
  <c r="AY105" i="6" a="1"/>
  <c r="AY105" i="6" s="1"/>
  <c r="AB105" i="6"/>
  <c r="AI105" i="6"/>
  <c r="BD105" i="6" a="1"/>
  <c r="BD105" i="6" s="1"/>
  <c r="C39" i="7" a="1"/>
  <c r="C39" i="7" s="1"/>
  <c r="B38" i="7"/>
  <c r="B39" i="10"/>
  <c r="W14" i="12" a="1"/>
  <c r="W14" i="12" s="1"/>
  <c r="X14" i="12" a="1"/>
  <c r="X14" i="12" s="1"/>
  <c r="AJ106" i="6" l="1"/>
  <c r="AD106" i="6"/>
  <c r="AK106" i="6"/>
  <c r="AG106" i="6"/>
  <c r="BB106" i="6" a="1"/>
  <c r="BB106" i="6" s="1"/>
  <c r="AY106" i="6" a="1"/>
  <c r="AY106" i="6" s="1"/>
  <c r="AX106" i="6" a="1"/>
  <c r="AX106" i="6" s="1"/>
  <c r="H107" i="6" a="1"/>
  <c r="H107" i="6" s="1"/>
  <c r="T107" i="5" s="1"/>
  <c r="G107" i="12" s="1" a="1"/>
  <c r="G107" i="12" s="1"/>
  <c r="AB106" i="6"/>
  <c r="AE106" i="6"/>
  <c r="L107" i="12" a="1"/>
  <c r="L107" i="12" s="1"/>
  <c r="J107" i="12" a="1"/>
  <c r="J107" i="12" s="1"/>
  <c r="AI106" i="6"/>
  <c r="BE106" i="6" a="1"/>
  <c r="BE106" i="6" s="1"/>
  <c r="AV106" i="6"/>
  <c r="AF106" i="6"/>
  <c r="AP106" i="6"/>
  <c r="H108" i="5"/>
  <c r="B108" i="5"/>
  <c r="W108" i="5" a="1"/>
  <c r="W108" i="5" s="1"/>
  <c r="H108" i="12" s="1" a="1"/>
  <c r="H108" i="12" s="1"/>
  <c r="AF108" i="5" a="1"/>
  <c r="AF108" i="5" s="1"/>
  <c r="C109" i="5"/>
  <c r="AD108" i="5"/>
  <c r="AE108" i="5" a="1"/>
  <c r="AE108" i="5" s="1"/>
  <c r="G108" i="5"/>
  <c r="A108" i="12"/>
  <c r="N108" i="5"/>
  <c r="D108" i="6" s="1"/>
  <c r="E108" i="5"/>
  <c r="F108" i="5"/>
  <c r="AZ106" i="6" a="1"/>
  <c r="AZ106" i="6" s="1"/>
  <c r="AQ106" i="6"/>
  <c r="AC106" i="6"/>
  <c r="AR106" i="6"/>
  <c r="AT106" i="6"/>
  <c r="BF106" i="6" a="1"/>
  <c r="BF106" i="6" s="1"/>
  <c r="F108" i="6"/>
  <c r="B108" i="6"/>
  <c r="L109" i="6"/>
  <c r="AU106" i="6"/>
  <c r="AM106" i="6"/>
  <c r="AO106" i="6"/>
  <c r="AH106" i="6"/>
  <c r="BC106" i="6" a="1"/>
  <c r="BC106" i="6" s="1"/>
  <c r="AN106" i="6"/>
  <c r="J107" i="6" a="1"/>
  <c r="J107" i="6" s="1"/>
  <c r="A107" i="6"/>
  <c r="M107" i="6" s="1"/>
  <c r="AV107" i="6" s="1"/>
  <c r="BA106" i="6" a="1"/>
  <c r="BA106" i="6" s="1"/>
  <c r="AS106" i="6"/>
  <c r="BG106" i="6" a="1"/>
  <c r="BG106" i="6" s="1"/>
  <c r="B40" i="10"/>
  <c r="B39" i="7"/>
  <c r="C40" i="7" a="1"/>
  <c r="C40" i="7" s="1"/>
  <c r="U14" i="12"/>
  <c r="V14" i="12" a="1"/>
  <c r="V14" i="12" s="1"/>
  <c r="T14" i="12"/>
  <c r="N107" i="6" l="1"/>
  <c r="BG107" i="6" a="1"/>
  <c r="BG107" i="6" s="1"/>
  <c r="AQ107" i="6"/>
  <c r="AD107" i="6"/>
  <c r="AC107" i="6"/>
  <c r="AN107" i="6"/>
  <c r="BE107" i="6" a="1"/>
  <c r="BE107" i="6" s="1"/>
  <c r="BD107" i="6" a="1"/>
  <c r="BD107" i="6" s="1"/>
  <c r="AZ107" i="6" a="1"/>
  <c r="AZ107" i="6" s="1"/>
  <c r="AR107" i="6"/>
  <c r="AH107" i="6"/>
  <c r="AY107" i="6" a="1"/>
  <c r="AY107" i="6" s="1"/>
  <c r="AJ107" i="6"/>
  <c r="BA107" i="6" a="1"/>
  <c r="BA107" i="6" s="1"/>
  <c r="BB107" i="6" a="1"/>
  <c r="BB107" i="6" s="1"/>
  <c r="BF107" i="6" a="1"/>
  <c r="BF107" i="6" s="1"/>
  <c r="AS107" i="6"/>
  <c r="AO107" i="6"/>
  <c r="AX107" i="6" a="1"/>
  <c r="AX107" i="6" s="1"/>
  <c r="AT107" i="6"/>
  <c r="BC107" i="6" a="1"/>
  <c r="BC107" i="6" s="1"/>
  <c r="AP107" i="6"/>
  <c r="J108" i="6" a="1"/>
  <c r="J108" i="6" s="1"/>
  <c r="A108" i="6"/>
  <c r="AI107" i="6"/>
  <c r="AM107" i="6"/>
  <c r="AE107" i="6"/>
  <c r="AB107" i="6"/>
  <c r="AF107" i="6"/>
  <c r="K107" i="12"/>
  <c r="J109" i="5"/>
  <c r="B109" i="5"/>
  <c r="AD109" i="5"/>
  <c r="K109" i="5"/>
  <c r="AE109" i="5" a="1"/>
  <c r="AE109" i="5" s="1"/>
  <c r="G109" i="5"/>
  <c r="D109" i="5"/>
  <c r="B109" i="12" s="1"/>
  <c r="F109" i="5"/>
  <c r="H109" i="5"/>
  <c r="A109" i="12"/>
  <c r="E109" i="5"/>
  <c r="N109" i="5"/>
  <c r="D109" i="6" s="1"/>
  <c r="C110" i="5"/>
  <c r="AU107" i="6"/>
  <c r="B109" i="6"/>
  <c r="L110" i="6"/>
  <c r="M108" i="6"/>
  <c r="BD108" i="6" s="1" a="1"/>
  <c r="BD108" i="6" s="1"/>
  <c r="G108" i="6"/>
  <c r="H108" i="6" a="1"/>
  <c r="H108" i="6" s="1"/>
  <c r="T108" i="5" s="1"/>
  <c r="G108" i="12" s="1" a="1"/>
  <c r="G108" i="12" s="1"/>
  <c r="N108" i="6"/>
  <c r="S108" i="5" a="1"/>
  <c r="S108" i="5" s="1"/>
  <c r="F108" i="12" s="1" a="1"/>
  <c r="F108" i="12" s="1"/>
  <c r="AG108" i="5" a="1"/>
  <c r="AG108" i="5" s="1"/>
  <c r="AG107" i="6"/>
  <c r="AK107" i="6"/>
  <c r="E172" i="12"/>
  <c r="B40" i="7"/>
  <c r="C41" i="7" a="1"/>
  <c r="C41" i="7" s="1"/>
  <c r="B41" i="10"/>
  <c r="AG14" i="5" a="1"/>
  <c r="AG14" i="5" s="1"/>
  <c r="S14" i="5" a="1"/>
  <c r="S14" i="5" s="1"/>
  <c r="F14" i="12" s="1" a="1"/>
  <c r="F14" i="12" s="1"/>
  <c r="BE108" i="6" l="1" a="1"/>
  <c r="BE108" i="6" s="1"/>
  <c r="AV108" i="6"/>
  <c r="AE108" i="6"/>
  <c r="AG108" i="6"/>
  <c r="BG108" i="6" a="1"/>
  <c r="BG108" i="6" s="1"/>
  <c r="AM108" i="6"/>
  <c r="AK108" i="6"/>
  <c r="AY108" i="6" a="1"/>
  <c r="AY108" i="6" s="1"/>
  <c r="BF108" i="6" a="1"/>
  <c r="BF108" i="6" s="1"/>
  <c r="AX108" i="6" a="1"/>
  <c r="AX108" i="6" s="1"/>
  <c r="AE110" i="5" a="1"/>
  <c r="AE110" i="5" s="1"/>
  <c r="F110" i="5"/>
  <c r="G110" i="5"/>
  <c r="AD110" i="5"/>
  <c r="N110" i="5"/>
  <c r="D110" i="6" s="1"/>
  <c r="B110" i="5"/>
  <c r="C111" i="5" s="1"/>
  <c r="E110" i="5"/>
  <c r="K110" i="5"/>
  <c r="D110" i="5"/>
  <c r="B110" i="12" s="1"/>
  <c r="H110" i="5"/>
  <c r="J110" i="5"/>
  <c r="A110" i="12"/>
  <c r="AC108" i="6"/>
  <c r="AZ108" i="6" a="1"/>
  <c r="AZ108" i="6" s="1"/>
  <c r="AI108" i="6"/>
  <c r="BC108" i="6" a="1"/>
  <c r="BC108" i="6" s="1"/>
  <c r="H109" i="6" a="1"/>
  <c r="H109" i="6" s="1"/>
  <c r="T109" i="5" s="1"/>
  <c r="G109" i="12" s="1" a="1"/>
  <c r="G109" i="12" s="1"/>
  <c r="L111" i="6"/>
  <c r="B110" i="6"/>
  <c r="J109" i="6" a="1"/>
  <c r="J109" i="6" s="1"/>
  <c r="A109" i="6"/>
  <c r="N109" i="6" s="1"/>
  <c r="AD108" i="6"/>
  <c r="AP108" i="6"/>
  <c r="BB108" i="6" a="1"/>
  <c r="BB108" i="6" s="1"/>
  <c r="AS108" i="6"/>
  <c r="BA108" i="6" a="1"/>
  <c r="BA108" i="6" s="1"/>
  <c r="AN108" i="6"/>
  <c r="AQ108" i="6"/>
  <c r="L109" i="12" a="1"/>
  <c r="L109" i="12" s="1"/>
  <c r="J109" i="12" a="1"/>
  <c r="J109" i="12" s="1"/>
  <c r="AO108" i="6"/>
  <c r="AF108" i="6"/>
  <c r="AU108" i="6"/>
  <c r="AT108" i="6"/>
  <c r="AH108" i="6"/>
  <c r="AR108" i="6"/>
  <c r="AB108" i="6"/>
  <c r="AJ108" i="6"/>
  <c r="C42" i="7" a="1"/>
  <c r="C42" i="7" s="1"/>
  <c r="B41" i="7"/>
  <c r="B42" i="10"/>
  <c r="E14" i="12"/>
  <c r="AC14" i="5" a="1"/>
  <c r="AC14" i="5" s="1"/>
  <c r="M109" i="6" l="1"/>
  <c r="AZ109" i="6" s="1" a="1"/>
  <c r="AZ109" i="6" s="1"/>
  <c r="J110" i="12" a="1"/>
  <c r="J110" i="12" s="1"/>
  <c r="L110" i="12" a="1"/>
  <c r="L110" i="12" s="1"/>
  <c r="J110" i="6" a="1"/>
  <c r="J110" i="6" s="1"/>
  <c r="A110" i="6"/>
  <c r="M110" i="6" s="1"/>
  <c r="AT110" i="6" s="1"/>
  <c r="B111" i="6"/>
  <c r="F111" i="6"/>
  <c r="L112" i="6"/>
  <c r="F111" i="5"/>
  <c r="B111" i="5"/>
  <c r="C112" i="5" s="1"/>
  <c r="AE111" i="5" a="1"/>
  <c r="AE111" i="5" s="1"/>
  <c r="I111" i="5"/>
  <c r="G111" i="5"/>
  <c r="AF111" i="5" a="1"/>
  <c r="AF111" i="5" s="1"/>
  <c r="W111" i="5" a="1"/>
  <c r="W111" i="5" s="1"/>
  <c r="H111" i="12" s="1" a="1"/>
  <c r="H111" i="12" s="1"/>
  <c r="E111" i="5"/>
  <c r="A111" i="12"/>
  <c r="H111" i="5"/>
  <c r="AD111" i="5"/>
  <c r="N111" i="5"/>
  <c r="D111" i="6" s="1"/>
  <c r="K109" i="12"/>
  <c r="H110" i="6" a="1"/>
  <c r="H110" i="6" s="1"/>
  <c r="T110" i="5" s="1"/>
  <c r="G110" i="12" s="1" a="1"/>
  <c r="G110" i="12" s="1"/>
  <c r="C43" i="7" a="1"/>
  <c r="C43" i="7" s="1"/>
  <c r="B42" i="7"/>
  <c r="B43" i="10"/>
  <c r="I1" i="7" a="1"/>
  <c r="I1" i="7" s="1"/>
  <c r="AM109" i="6" l="1"/>
  <c r="AJ109" i="6"/>
  <c r="AN109" i="6"/>
  <c r="AS109" i="6"/>
  <c r="AE109" i="6"/>
  <c r="AP109" i="6"/>
  <c r="BB109" i="6" a="1"/>
  <c r="BB109" i="6" s="1"/>
  <c r="BD109" i="6" a="1"/>
  <c r="BD109" i="6" s="1"/>
  <c r="AC109" i="6"/>
  <c r="AU109" i="6"/>
  <c r="BF109" i="6" a="1"/>
  <c r="BF109" i="6" s="1"/>
  <c r="AH109" i="6"/>
  <c r="AF109" i="6"/>
  <c r="BC109" i="6" a="1"/>
  <c r="BC109" i="6" s="1"/>
  <c r="AI109" i="6"/>
  <c r="AG109" i="6"/>
  <c r="AX109" i="6" a="1"/>
  <c r="AX109" i="6" s="1"/>
  <c r="AO109" i="6"/>
  <c r="AD109" i="6"/>
  <c r="BA109" i="6" a="1"/>
  <c r="BA109" i="6" s="1"/>
  <c r="AT109" i="6"/>
  <c r="AK109" i="6"/>
  <c r="AR109" i="6"/>
  <c r="AV109" i="6"/>
  <c r="BG109" i="6" a="1"/>
  <c r="BG109" i="6" s="1"/>
  <c r="AY109" i="6" a="1"/>
  <c r="AY109" i="6" s="1"/>
  <c r="BE109" i="6" a="1"/>
  <c r="BE109" i="6" s="1"/>
  <c r="AQ109" i="6"/>
  <c r="AB109" i="6"/>
  <c r="AB110" i="6"/>
  <c r="K110" i="12"/>
  <c r="AR110" i="6"/>
  <c r="A111" i="6"/>
  <c r="J111" i="6" a="1"/>
  <c r="J111" i="6" s="1"/>
  <c r="AF110" i="6"/>
  <c r="BF110" i="6" a="1"/>
  <c r="BF110" i="6" s="1"/>
  <c r="AS110" i="6"/>
  <c r="BG110" i="6" a="1"/>
  <c r="BG110" i="6" s="1"/>
  <c r="AU110" i="6"/>
  <c r="AG111" i="5" a="1"/>
  <c r="AG111" i="5" s="1"/>
  <c r="S111" i="5" a="1"/>
  <c r="S111" i="5" s="1"/>
  <c r="F111" i="12" s="1" a="1"/>
  <c r="F111" i="12" s="1"/>
  <c r="AP110" i="6"/>
  <c r="AE110" i="6"/>
  <c r="M111" i="6"/>
  <c r="AP111" i="6" s="1"/>
  <c r="N111" i="6"/>
  <c r="G111" i="6"/>
  <c r="H111" i="6" a="1"/>
  <c r="H111" i="6" s="1"/>
  <c r="T111" i="5" s="1"/>
  <c r="G111" i="12" s="1" a="1"/>
  <c r="G111" i="12" s="1"/>
  <c r="BA110" i="6" a="1"/>
  <c r="BA110" i="6" s="1"/>
  <c r="BE110" i="6" a="1"/>
  <c r="BE110" i="6" s="1"/>
  <c r="AK110" i="6"/>
  <c r="AO110" i="6"/>
  <c r="BC110" i="6" a="1"/>
  <c r="BC110" i="6" s="1"/>
  <c r="AX110" i="6" a="1"/>
  <c r="AX110" i="6" s="1"/>
  <c r="BB110" i="6" a="1"/>
  <c r="BB110" i="6" s="1"/>
  <c r="BD110" i="6" a="1"/>
  <c r="BD110" i="6" s="1"/>
  <c r="AG110" i="6"/>
  <c r="AV110" i="6"/>
  <c r="N110" i="6"/>
  <c r="AE112" i="5" a="1"/>
  <c r="AE112" i="5" s="1"/>
  <c r="G112" i="5"/>
  <c r="F112" i="5"/>
  <c r="I112" i="5"/>
  <c r="AD112" i="5"/>
  <c r="C113" i="5"/>
  <c r="E112" i="5"/>
  <c r="AF112" i="5" a="1"/>
  <c r="AF112" i="5" s="1"/>
  <c r="H112" i="5"/>
  <c r="N112" i="5"/>
  <c r="D112" i="6" s="1"/>
  <c r="A112" i="12"/>
  <c r="W112" i="5" a="1"/>
  <c r="W112" i="5" s="1"/>
  <c r="H112" i="12" s="1" a="1"/>
  <c r="H112" i="12" s="1"/>
  <c r="B112" i="5"/>
  <c r="AI110" i="6"/>
  <c r="AH110" i="6"/>
  <c r="AJ110" i="6"/>
  <c r="AN110" i="6"/>
  <c r="AM110" i="6"/>
  <c r="AZ110" i="6" a="1"/>
  <c r="AZ110" i="6" s="1"/>
  <c r="AD110" i="6"/>
  <c r="B112" i="6"/>
  <c r="F112" i="6"/>
  <c r="L113" i="6"/>
  <c r="AQ110" i="6"/>
  <c r="AC110" i="6"/>
  <c r="AY110" i="6" a="1"/>
  <c r="AY110" i="6" s="1"/>
  <c r="B43" i="7"/>
  <c r="C44" i="7" a="1"/>
  <c r="C44" i="7" s="1"/>
  <c r="B44" i="10"/>
  <c r="F1" i="7"/>
  <c r="E1" i="7" a="1"/>
  <c r="E1" i="7" s="1"/>
  <c r="H1" i="7" a="1"/>
  <c r="H1" i="7" s="1"/>
  <c r="I14" i="7"/>
  <c r="AX111" i="6" l="1" a="1"/>
  <c r="AX111" i="6" s="1"/>
  <c r="AQ111" i="6"/>
  <c r="AD111" i="6"/>
  <c r="BG111" i="6" a="1"/>
  <c r="BG111" i="6" s="1"/>
  <c r="BE111" i="6" a="1"/>
  <c r="BE111" i="6" s="1"/>
  <c r="AJ111" i="6"/>
  <c r="AF111" i="6"/>
  <c r="L114" i="6"/>
  <c r="B113" i="6"/>
  <c r="AU111" i="6"/>
  <c r="S112" i="5" a="1"/>
  <c r="S112" i="5" s="1"/>
  <c r="F112" i="12" s="1" a="1"/>
  <c r="F112" i="12" s="1"/>
  <c r="AG112" i="5" a="1"/>
  <c r="AG112" i="5" s="1"/>
  <c r="AZ111" i="6" a="1"/>
  <c r="AZ111" i="6" s="1"/>
  <c r="BD111" i="6" a="1"/>
  <c r="BD111" i="6" s="1"/>
  <c r="AI111" i="6"/>
  <c r="AV111" i="6"/>
  <c r="H112" i="6" a="1"/>
  <c r="H112" i="6" s="1"/>
  <c r="T112" i="5" s="1"/>
  <c r="G112" i="12" s="1" a="1"/>
  <c r="G112" i="12" s="1"/>
  <c r="M112" i="6"/>
  <c r="BD112" i="6" s="1" a="1"/>
  <c r="BD112" i="6" s="1"/>
  <c r="G112" i="6"/>
  <c r="C114" i="5"/>
  <c r="AE113" i="5" a="1"/>
  <c r="AE113" i="5" s="1"/>
  <c r="D113" i="5"/>
  <c r="B113" i="12" s="1"/>
  <c r="K113" i="5"/>
  <c r="A113" i="12"/>
  <c r="J113" i="5"/>
  <c r="AD113" i="5"/>
  <c r="E113" i="5"/>
  <c r="N113" i="5"/>
  <c r="D113" i="6" s="1"/>
  <c r="G113" i="5"/>
  <c r="B113" i="5"/>
  <c r="H113" i="5"/>
  <c r="F113" i="5"/>
  <c r="AM111" i="6"/>
  <c r="BA111" i="6" a="1"/>
  <c r="BA111" i="6" s="1"/>
  <c r="BC111" i="6" a="1"/>
  <c r="BC111" i="6" s="1"/>
  <c r="BB111" i="6" a="1"/>
  <c r="BB111" i="6" s="1"/>
  <c r="AE111" i="6"/>
  <c r="BF111" i="6" a="1"/>
  <c r="BF111" i="6" s="1"/>
  <c r="J112" i="6" a="1"/>
  <c r="J112" i="6" s="1"/>
  <c r="A112" i="6"/>
  <c r="N112" i="6" s="1"/>
  <c r="AG111" i="6"/>
  <c r="AH111" i="6"/>
  <c r="AN111" i="6"/>
  <c r="AK111" i="6"/>
  <c r="AB111" i="6"/>
  <c r="AY111" i="6" a="1"/>
  <c r="AY111" i="6" s="1"/>
  <c r="AT111" i="6"/>
  <c r="AO111" i="6"/>
  <c r="AS111" i="6"/>
  <c r="AC111" i="6"/>
  <c r="AR111" i="6"/>
  <c r="B44" i="7"/>
  <c r="C45" i="7" a="1"/>
  <c r="C45" i="7" s="1"/>
  <c r="B45" i="10"/>
  <c r="I74" i="10"/>
  <c r="F14" i="7"/>
  <c r="AF67" i="8"/>
  <c r="Y67" i="8"/>
  <c r="H14" i="7"/>
  <c r="W67" i="8"/>
  <c r="AE67" i="8"/>
  <c r="X67" i="8"/>
  <c r="AD67" i="8"/>
  <c r="AC67" i="8"/>
  <c r="U67" i="8"/>
  <c r="V67" i="8"/>
  <c r="Z67" i="8"/>
  <c r="AB67" i="8"/>
  <c r="AA67" i="8"/>
  <c r="E14" i="7"/>
  <c r="BA112" i="6" l="1" a="1"/>
  <c r="BA112" i="6" s="1"/>
  <c r="AB112" i="6"/>
  <c r="BF112" i="6" a="1"/>
  <c r="BF112" i="6" s="1"/>
  <c r="BE112" i="6" a="1"/>
  <c r="BE112" i="6" s="1"/>
  <c r="AG112" i="6"/>
  <c r="AJ112" i="6"/>
  <c r="AR112" i="6"/>
  <c r="BG112" i="6" a="1"/>
  <c r="BG112" i="6" s="1"/>
  <c r="AI112" i="6"/>
  <c r="AO112" i="6"/>
  <c r="AE112" i="6"/>
  <c r="AX112" i="6" a="1"/>
  <c r="AX112" i="6" s="1"/>
  <c r="AZ112" i="6" a="1"/>
  <c r="AZ112" i="6" s="1"/>
  <c r="AU112" i="6"/>
  <c r="AC112" i="6"/>
  <c r="AS112" i="6"/>
  <c r="AM112" i="6"/>
  <c r="AK112" i="6"/>
  <c r="AF112" i="6"/>
  <c r="AN112" i="6"/>
  <c r="AT112" i="6"/>
  <c r="AH112" i="6"/>
  <c r="AY112" i="6" a="1"/>
  <c r="AY112" i="6" s="1"/>
  <c r="BC112" i="6" a="1"/>
  <c r="BC112" i="6" s="1"/>
  <c r="H113" i="6" a="1"/>
  <c r="H113" i="6" s="1"/>
  <c r="T113" i="5" s="1"/>
  <c r="G113" i="12" s="1" a="1"/>
  <c r="G113" i="12" s="1"/>
  <c r="J114" i="5"/>
  <c r="G114" i="5"/>
  <c r="H114" i="5"/>
  <c r="C115" i="5"/>
  <c r="N114" i="5"/>
  <c r="D114" i="6" s="1"/>
  <c r="AD114" i="5"/>
  <c r="A114" i="12"/>
  <c r="B114" i="5"/>
  <c r="E114" i="5"/>
  <c r="D114" i="5"/>
  <c r="B114" i="12" s="1"/>
  <c r="K114" i="5"/>
  <c r="AE114" i="5" a="1"/>
  <c r="AE114" i="5" s="1"/>
  <c r="F114" i="5"/>
  <c r="AV112" i="6"/>
  <c r="B114" i="6"/>
  <c r="L115" i="6"/>
  <c r="A113" i="6"/>
  <c r="M113" i="6" s="1"/>
  <c r="AT113" i="6" s="1"/>
  <c r="J113" i="6" a="1"/>
  <c r="J113" i="6" s="1"/>
  <c r="AD112" i="6"/>
  <c r="J113" i="12" a="1"/>
  <c r="J113" i="12" s="1"/>
  <c r="L113" i="12" a="1"/>
  <c r="L113" i="12" s="1"/>
  <c r="AQ112" i="6"/>
  <c r="BB112" i="6" a="1"/>
  <c r="BB112" i="6" s="1"/>
  <c r="AP112" i="6"/>
  <c r="B46" i="10"/>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AU113" i="6" l="1"/>
  <c r="AK113" i="6"/>
  <c r="K113" i="12"/>
  <c r="N115" i="5"/>
  <c r="D115" i="6" s="1"/>
  <c r="D115" i="5"/>
  <c r="B115" i="12" s="1"/>
  <c r="G115" i="5"/>
  <c r="F115" i="5"/>
  <c r="J115" i="5"/>
  <c r="H115" i="5"/>
  <c r="AE115" i="5" a="1"/>
  <c r="AE115" i="5" s="1"/>
  <c r="A115" i="12"/>
  <c r="K115" i="5"/>
  <c r="B115" i="5"/>
  <c r="C116" i="5" s="1"/>
  <c r="AD115" i="5"/>
  <c r="E115" i="5"/>
  <c r="AC113" i="6"/>
  <c r="AG113" i="6"/>
  <c r="AQ113" i="6"/>
  <c r="AI113" i="6"/>
  <c r="AM113" i="6"/>
  <c r="AX113" i="6" a="1"/>
  <c r="AX113" i="6" s="1"/>
  <c r="AB113" i="6"/>
  <c r="BG113" i="6" a="1"/>
  <c r="BG113" i="6" s="1"/>
  <c r="BF113" i="6" a="1"/>
  <c r="BF113" i="6" s="1"/>
  <c r="AS113" i="6"/>
  <c r="AO113" i="6"/>
  <c r="AZ113" i="6" a="1"/>
  <c r="AZ113" i="6" s="1"/>
  <c r="H114" i="6" a="1"/>
  <c r="H114" i="6" s="1"/>
  <c r="T114" i="5" s="1"/>
  <c r="G114" i="12" s="1" a="1"/>
  <c r="G114" i="12" s="1"/>
  <c r="BC113" i="6" a="1"/>
  <c r="BC113" i="6" s="1"/>
  <c r="BD113" i="6" a="1"/>
  <c r="BD113" i="6" s="1"/>
  <c r="AH113" i="6"/>
  <c r="J114" i="6" a="1"/>
  <c r="J114" i="6" s="1"/>
  <c r="A114" i="6"/>
  <c r="M114" i="6" s="1"/>
  <c r="AO114" i="6" s="1"/>
  <c r="AJ113" i="6"/>
  <c r="AE113" i="6"/>
  <c r="AD113" i="6"/>
  <c r="BA113" i="6" a="1"/>
  <c r="BA113" i="6" s="1"/>
  <c r="AR113" i="6"/>
  <c r="BB113" i="6" a="1"/>
  <c r="BB113" i="6" s="1"/>
  <c r="BE113" i="6" a="1"/>
  <c r="BE113" i="6" s="1"/>
  <c r="N113" i="6"/>
  <c r="AN113" i="6"/>
  <c r="AY113" i="6" a="1"/>
  <c r="AY113" i="6" s="1"/>
  <c r="AF113" i="6"/>
  <c r="B115" i="6"/>
  <c r="L116" i="6"/>
  <c r="AP113" i="6"/>
  <c r="L114" i="12" a="1"/>
  <c r="L114" i="12" s="1"/>
  <c r="J114" i="12" a="1"/>
  <c r="J114" i="12" s="1"/>
  <c r="AV113" i="6"/>
  <c r="B46" i="7"/>
  <c r="C47" i="7" a="1"/>
  <c r="C47" i="7" s="1"/>
  <c r="B47" i="10"/>
  <c r="F6" i="7"/>
  <c r="D1" i="2"/>
  <c r="AB114" i="6" l="1"/>
  <c r="AH114" i="6"/>
  <c r="BB114" i="6" a="1"/>
  <c r="BB114" i="6" s="1"/>
  <c r="AX114" i="6" a="1"/>
  <c r="AX114" i="6" s="1"/>
  <c r="AE114" i="6"/>
  <c r="AS114" i="6"/>
  <c r="AT114" i="6"/>
  <c r="AJ114" i="6"/>
  <c r="AU114" i="6"/>
  <c r="AV114" i="6"/>
  <c r="AP114" i="6"/>
  <c r="AC114" i="6"/>
  <c r="G116" i="5"/>
  <c r="F116" i="5"/>
  <c r="H116" i="5"/>
  <c r="E116" i="5"/>
  <c r="AE116" i="5" a="1"/>
  <c r="AE116" i="5" s="1"/>
  <c r="C117" i="5"/>
  <c r="I116" i="5"/>
  <c r="N116" i="5"/>
  <c r="D116" i="6" s="1"/>
  <c r="A116" i="12"/>
  <c r="B116" i="5"/>
  <c r="AF116" i="5" a="1"/>
  <c r="AF116" i="5" s="1"/>
  <c r="W116" i="5" a="1"/>
  <c r="W116" i="5" s="1"/>
  <c r="H116" i="12" s="1" a="1"/>
  <c r="H116" i="12" s="1"/>
  <c r="AD116" i="5"/>
  <c r="AK114" i="6"/>
  <c r="AQ114" i="6"/>
  <c r="AI114" i="6"/>
  <c r="L117" i="6"/>
  <c r="B116" i="6"/>
  <c r="F116" i="6"/>
  <c r="AZ114" i="6" a="1"/>
  <c r="AZ114" i="6" s="1"/>
  <c r="J115" i="6" a="1"/>
  <c r="J115" i="6" s="1"/>
  <c r="A115" i="6"/>
  <c r="N115" i="6" s="1"/>
  <c r="BE114" i="6" a="1"/>
  <c r="BE114" i="6" s="1"/>
  <c r="BD114" i="6" a="1"/>
  <c r="BD114" i="6" s="1"/>
  <c r="AF114" i="6"/>
  <c r="BA114" i="6" a="1"/>
  <c r="BA114" i="6" s="1"/>
  <c r="BC114" i="6" a="1"/>
  <c r="BC114" i="6" s="1"/>
  <c r="AD114" i="6"/>
  <c r="AN114" i="6"/>
  <c r="AR114" i="6"/>
  <c r="AY114" i="6" a="1"/>
  <c r="AY114" i="6" s="1"/>
  <c r="BF114" i="6" a="1"/>
  <c r="BF114" i="6" s="1"/>
  <c r="J115" i="12" a="1"/>
  <c r="J115" i="12" s="1"/>
  <c r="L115" i="12" a="1"/>
  <c r="L115" i="12" s="1"/>
  <c r="BG114" i="6" a="1"/>
  <c r="BG114" i="6" s="1"/>
  <c r="AM114" i="6"/>
  <c r="K114" i="12"/>
  <c r="N114" i="6"/>
  <c r="AG114" i="6"/>
  <c r="H115" i="6" a="1"/>
  <c r="H115" i="6" s="1"/>
  <c r="T115" i="5" s="1"/>
  <c r="G115" i="12" s="1" a="1"/>
  <c r="G115" i="12" s="1"/>
  <c r="B48" i="10"/>
  <c r="C48" i="7" a="1"/>
  <c r="C48" i="7" s="1"/>
  <c r="B47" i="7"/>
  <c r="M115" i="6" l="1"/>
  <c r="AB115" i="6" s="1"/>
  <c r="K115" i="12"/>
  <c r="K117" i="5"/>
  <c r="A117" i="12"/>
  <c r="E117" i="5"/>
  <c r="F117" i="5"/>
  <c r="D117" i="5"/>
  <c r="B117" i="12" s="1"/>
  <c r="H117" i="5"/>
  <c r="G117" i="5"/>
  <c r="B117" i="5"/>
  <c r="N117" i="5"/>
  <c r="D117" i="6" s="1"/>
  <c r="C118" i="5"/>
  <c r="J117" i="5"/>
  <c r="AE117" i="5" a="1"/>
  <c r="AE117" i="5" s="1"/>
  <c r="AD117" i="5"/>
  <c r="A116" i="6"/>
  <c r="J116" i="6" a="1"/>
  <c r="J116" i="6" s="1"/>
  <c r="N116" i="6"/>
  <c r="G116" i="6"/>
  <c r="H116" i="6" a="1"/>
  <c r="H116" i="6" s="1"/>
  <c r="T116" i="5" s="1"/>
  <c r="G116" i="12" s="1" a="1"/>
  <c r="G116" i="12" s="1"/>
  <c r="M116" i="6"/>
  <c r="AZ116" i="6" s="1" a="1"/>
  <c r="AZ116" i="6" s="1"/>
  <c r="L118" i="6"/>
  <c r="B117" i="6"/>
  <c r="AG116" i="5" a="1"/>
  <c r="AG116" i="5" s="1"/>
  <c r="S116" i="5" a="1"/>
  <c r="S116" i="5" s="1"/>
  <c r="F116" i="12" s="1" a="1"/>
  <c r="F116" i="12" s="1"/>
  <c r="B49" i="10"/>
  <c r="C49" i="7" a="1"/>
  <c r="C49" i="7" s="1"/>
  <c r="B48" i="7"/>
  <c r="J10" i="13"/>
  <c r="U68" i="8"/>
  <c r="V68" i="8"/>
  <c r="BD115" i="6" l="1" a="1"/>
  <c r="BD115" i="6" s="1"/>
  <c r="BA115" i="6" a="1"/>
  <c r="BA115" i="6" s="1"/>
  <c r="AU115" i="6"/>
  <c r="BB115" i="6" a="1"/>
  <c r="BB115" i="6" s="1"/>
  <c r="AV115" i="6"/>
  <c r="AJ115" i="6"/>
  <c r="BF115" i="6" a="1"/>
  <c r="BF115" i="6" s="1"/>
  <c r="AF115" i="6"/>
  <c r="AZ115" i="6" a="1"/>
  <c r="AZ115" i="6" s="1"/>
  <c r="AH115" i="6"/>
  <c r="AS115" i="6"/>
  <c r="AP115" i="6"/>
  <c r="AM115" i="6"/>
  <c r="AG115" i="6"/>
  <c r="AR115" i="6"/>
  <c r="AQ115" i="6"/>
  <c r="AI115" i="6"/>
  <c r="AE115" i="6"/>
  <c r="AD115" i="6"/>
  <c r="AU116" i="6"/>
  <c r="BE116" i="6" a="1"/>
  <c r="BE116" i="6" s="1"/>
  <c r="AN115" i="6"/>
  <c r="BC115" i="6" a="1"/>
  <c r="BC115" i="6" s="1"/>
  <c r="AX115" i="6" a="1"/>
  <c r="AX115" i="6" s="1"/>
  <c r="AY115" i="6" a="1"/>
  <c r="AY115" i="6" s="1"/>
  <c r="AT115" i="6"/>
  <c r="BD116" i="6" a="1"/>
  <c r="BD116" i="6" s="1"/>
  <c r="AX116" i="6" a="1"/>
  <c r="AX116" i="6" s="1"/>
  <c r="BF116" i="6" a="1"/>
  <c r="BF116" i="6" s="1"/>
  <c r="AO115" i="6"/>
  <c r="BG115" i="6" a="1"/>
  <c r="BG115" i="6" s="1"/>
  <c r="BE115" i="6" a="1"/>
  <c r="BE115" i="6" s="1"/>
  <c r="BG116" i="6" a="1"/>
  <c r="BG116" i="6" s="1"/>
  <c r="AC115" i="6"/>
  <c r="AR116" i="6"/>
  <c r="AK115" i="6"/>
  <c r="AC116" i="6"/>
  <c r="AK116" i="6"/>
  <c r="AJ116" i="6"/>
  <c r="AV116" i="6"/>
  <c r="BA116" i="6" a="1"/>
  <c r="BA116" i="6" s="1"/>
  <c r="AE116" i="6"/>
  <c r="AF116" i="6"/>
  <c r="BC116" i="6" a="1"/>
  <c r="BC116" i="6" s="1"/>
  <c r="BB116" i="6" a="1"/>
  <c r="BB116" i="6" s="1"/>
  <c r="AP116" i="6"/>
  <c r="AQ116" i="6"/>
  <c r="AO116" i="6"/>
  <c r="AS116" i="6"/>
  <c r="AB116" i="6"/>
  <c r="AN116" i="6"/>
  <c r="AG116" i="6"/>
  <c r="AI116" i="6"/>
  <c r="AH116" i="6"/>
  <c r="AM116" i="6"/>
  <c r="AT116" i="6"/>
  <c r="AD116" i="6"/>
  <c r="AY116" i="6" a="1"/>
  <c r="AY116" i="6" s="1"/>
  <c r="H117" i="6" a="1"/>
  <c r="H117" i="6" s="1"/>
  <c r="T117" i="5" s="1"/>
  <c r="G117" i="12" s="1" a="1"/>
  <c r="G117" i="12" s="1"/>
  <c r="L117" i="12" a="1"/>
  <c r="L117" i="12" s="1"/>
  <c r="J117" i="12" a="1"/>
  <c r="J117" i="12" s="1"/>
  <c r="C119" i="5"/>
  <c r="E118" i="5"/>
  <c r="AE118" i="5" a="1"/>
  <c r="AE118" i="5" s="1"/>
  <c r="F118" i="5"/>
  <c r="G118" i="5"/>
  <c r="AD118" i="5"/>
  <c r="D118" i="5"/>
  <c r="B118" i="12" s="1"/>
  <c r="H118" i="5"/>
  <c r="A118" i="12"/>
  <c r="N118" i="5"/>
  <c r="D118" i="6" s="1"/>
  <c r="B118" i="5"/>
  <c r="J118" i="5"/>
  <c r="K118" i="5"/>
  <c r="J117" i="6" a="1"/>
  <c r="J117" i="6" s="1"/>
  <c r="A117" i="6"/>
  <c r="N117" i="6" s="1"/>
  <c r="B118" i="6"/>
  <c r="L119" i="6"/>
  <c r="E196" i="12"/>
  <c r="B50" i="10"/>
  <c r="C50" i="7" a="1"/>
  <c r="C50" i="7" s="1"/>
  <c r="B49" i="7"/>
  <c r="X68" i="8"/>
  <c r="W68" i="8"/>
  <c r="K117" i="12" l="1"/>
  <c r="L120" i="6"/>
  <c r="B119" i="6"/>
  <c r="H118" i="6" a="1"/>
  <c r="H118" i="6" s="1"/>
  <c r="T118" i="5" s="1"/>
  <c r="G118" i="12" s="1" a="1"/>
  <c r="G118" i="12" s="1"/>
  <c r="A118" i="6"/>
  <c r="N118" i="6" s="1"/>
  <c r="J118" i="6" a="1"/>
  <c r="J118" i="6" s="1"/>
  <c r="J118" i="12" a="1"/>
  <c r="J118" i="12" s="1"/>
  <c r="L118" i="12" a="1"/>
  <c r="L118" i="12" s="1"/>
  <c r="M117" i="6"/>
  <c r="A119" i="12"/>
  <c r="F119" i="5"/>
  <c r="B119" i="5"/>
  <c r="J119" i="5"/>
  <c r="N119" i="5"/>
  <c r="D119" i="6" s="1"/>
  <c r="AD119" i="5"/>
  <c r="E119" i="5"/>
  <c r="D119" i="5"/>
  <c r="B119" i="12" s="1"/>
  <c r="G119" i="5"/>
  <c r="H119" i="5"/>
  <c r="C120" i="5"/>
  <c r="K119" i="5"/>
  <c r="AE119" i="5" a="1"/>
  <c r="AE119" i="5" s="1"/>
  <c r="E203" i="12"/>
  <c r="E197" i="12"/>
  <c r="B51" i="10"/>
  <c r="C51" i="7" a="1"/>
  <c r="C51" i="7" s="1"/>
  <c r="B50" i="7"/>
  <c r="Y68" i="8"/>
  <c r="K118" i="12" l="1"/>
  <c r="L119" i="12" a="1"/>
  <c r="L119" i="12" s="1"/>
  <c r="J119" i="12" a="1"/>
  <c r="J119" i="12" s="1"/>
  <c r="AO117" i="6"/>
  <c r="AP117" i="6"/>
  <c r="BC117" i="6" a="1"/>
  <c r="BC117" i="6" s="1"/>
  <c r="AC117" i="6"/>
  <c r="BD117" i="6" a="1"/>
  <c r="BD117" i="6" s="1"/>
  <c r="BE117" i="6" a="1"/>
  <c r="BE117" i="6" s="1"/>
  <c r="AH117" i="6"/>
  <c r="AR117" i="6"/>
  <c r="AQ117" i="6"/>
  <c r="AS117" i="6"/>
  <c r="AY117" i="6" a="1"/>
  <c r="AY117" i="6" s="1"/>
  <c r="AV117" i="6"/>
  <c r="AN117" i="6"/>
  <c r="AG117" i="6"/>
  <c r="AF117" i="6"/>
  <c r="BA117" i="6" a="1"/>
  <c r="BA117" i="6" s="1"/>
  <c r="AT117" i="6"/>
  <c r="AX117" i="6" a="1"/>
  <c r="AX117" i="6" s="1"/>
  <c r="AM117" i="6"/>
  <c r="BF117" i="6" a="1"/>
  <c r="BF117" i="6" s="1"/>
  <c r="AB117" i="6"/>
  <c r="AZ117" i="6" a="1"/>
  <c r="AZ117" i="6" s="1"/>
  <c r="AD117" i="6"/>
  <c r="AK117" i="6"/>
  <c r="BB117" i="6" a="1"/>
  <c r="BB117" i="6" s="1"/>
  <c r="AE117" i="6"/>
  <c r="AI117" i="6"/>
  <c r="AU117" i="6"/>
  <c r="AJ117" i="6"/>
  <c r="BG117" i="6" a="1"/>
  <c r="BG117" i="6" s="1"/>
  <c r="J119" i="6" a="1"/>
  <c r="J119" i="6" s="1"/>
  <c r="A119" i="6"/>
  <c r="M119" i="6" s="1"/>
  <c r="BD119" i="6" s="1" a="1"/>
  <c r="BD119" i="6" s="1"/>
  <c r="H119" i="6" a="1"/>
  <c r="H119" i="6" s="1"/>
  <c r="T119" i="5" s="1"/>
  <c r="G119" i="12" s="1" a="1"/>
  <c r="G119" i="12" s="1"/>
  <c r="B120" i="6"/>
  <c r="L121" i="6"/>
  <c r="M118" i="6"/>
  <c r="AJ118" i="6" s="1"/>
  <c r="AE120" i="5" a="1"/>
  <c r="AE120" i="5" s="1"/>
  <c r="F120" i="5"/>
  <c r="N120" i="5"/>
  <c r="D120" i="6" s="1"/>
  <c r="A120" i="12"/>
  <c r="G120" i="5"/>
  <c r="J120" i="5"/>
  <c r="B120" i="5"/>
  <c r="C121" i="5" s="1"/>
  <c r="K120" i="5"/>
  <c r="H120" i="5"/>
  <c r="E120" i="5"/>
  <c r="D120" i="5"/>
  <c r="B120" i="12" s="1"/>
  <c r="AD120" i="5"/>
  <c r="E200" i="12"/>
  <c r="B52" i="10"/>
  <c r="C52" i="7" a="1"/>
  <c r="C52" i="7" s="1"/>
  <c r="B51" i="7"/>
  <c r="Z68" i="8"/>
  <c r="AQ119" i="6" l="1"/>
  <c r="BG119" i="6" a="1"/>
  <c r="BG119" i="6" s="1"/>
  <c r="AP119" i="6"/>
  <c r="AV119" i="6"/>
  <c r="AG119" i="6"/>
  <c r="AZ119" i="6" a="1"/>
  <c r="AZ119" i="6" s="1"/>
  <c r="BE119" i="6" a="1"/>
  <c r="BE119" i="6" s="1"/>
  <c r="N119" i="6"/>
  <c r="BF119" i="6" a="1"/>
  <c r="BF119" i="6" s="1"/>
  <c r="AN119" i="6"/>
  <c r="AO119" i="6"/>
  <c r="AY119" i="6" a="1"/>
  <c r="AY119" i="6" s="1"/>
  <c r="AC119" i="6"/>
  <c r="AJ119" i="6"/>
  <c r="AH119" i="6"/>
  <c r="AK118" i="6"/>
  <c r="AK119" i="6"/>
  <c r="AE119" i="6"/>
  <c r="AS119" i="6"/>
  <c r="AC118" i="6"/>
  <c r="AR119" i="6"/>
  <c r="BB119" i="6" a="1"/>
  <c r="BB119" i="6" s="1"/>
  <c r="AU119" i="6"/>
  <c r="AX119" i="6" a="1"/>
  <c r="AX119" i="6" s="1"/>
  <c r="J120" i="12" a="1"/>
  <c r="J120" i="12" s="1"/>
  <c r="L120" i="12" a="1"/>
  <c r="L120" i="12" s="1"/>
  <c r="H120" i="6" a="1"/>
  <c r="H120" i="6" s="1"/>
  <c r="T120" i="5" s="1"/>
  <c r="G120" i="12" s="1" a="1"/>
  <c r="G120" i="12" s="1"/>
  <c r="BA119" i="6" a="1"/>
  <c r="BA119" i="6" s="1"/>
  <c r="K119" i="12"/>
  <c r="AD119" i="6"/>
  <c r="AM119" i="6"/>
  <c r="AT119" i="6"/>
  <c r="F121" i="6"/>
  <c r="L122" i="6"/>
  <c r="B121" i="6"/>
  <c r="AB119" i="6"/>
  <c r="A121" i="12"/>
  <c r="AF121" i="5" a="1"/>
  <c r="AF121" i="5" s="1"/>
  <c r="N121" i="5"/>
  <c r="D121" i="6" s="1"/>
  <c r="AE121" i="5" a="1"/>
  <c r="AE121" i="5" s="1"/>
  <c r="H121" i="5"/>
  <c r="E121" i="5"/>
  <c r="W121" i="5" a="1"/>
  <c r="W121" i="5" s="1"/>
  <c r="H121" i="12" s="1" a="1"/>
  <c r="H121" i="12" s="1"/>
  <c r="AD121" i="5"/>
  <c r="F121" i="5"/>
  <c r="B121" i="5"/>
  <c r="C122" i="5" s="1"/>
  <c r="G121" i="5"/>
  <c r="BC119" i="6" a="1"/>
  <c r="BC119" i="6" s="1"/>
  <c r="J120" i="6" a="1"/>
  <c r="J120" i="6" s="1"/>
  <c r="A120" i="6"/>
  <c r="N120" i="6" s="1"/>
  <c r="AI119" i="6"/>
  <c r="AN118" i="6"/>
  <c r="AY118" i="6" a="1"/>
  <c r="AY118" i="6" s="1"/>
  <c r="AS118" i="6"/>
  <c r="BC118" i="6" a="1"/>
  <c r="BC118" i="6" s="1"/>
  <c r="BF118" i="6" a="1"/>
  <c r="BF118" i="6" s="1"/>
  <c r="AV118" i="6"/>
  <c r="AM118" i="6"/>
  <c r="AQ118" i="6"/>
  <c r="AI118" i="6"/>
  <c r="AO118" i="6"/>
  <c r="AP118" i="6"/>
  <c r="BE118" i="6" a="1"/>
  <c r="BE118" i="6" s="1"/>
  <c r="AU118" i="6"/>
  <c r="BG118" i="6" a="1"/>
  <c r="BG118" i="6" s="1"/>
  <c r="BA118" i="6" a="1"/>
  <c r="BA118" i="6" s="1"/>
  <c r="BD118" i="6" a="1"/>
  <c r="BD118" i="6" s="1"/>
  <c r="AE118" i="6"/>
  <c r="AT118" i="6"/>
  <c r="AZ118" i="6" a="1"/>
  <c r="AZ118" i="6" s="1"/>
  <c r="BB118" i="6" a="1"/>
  <c r="BB118" i="6" s="1"/>
  <c r="AB118" i="6"/>
  <c r="AG118" i="6"/>
  <c r="AD118" i="6"/>
  <c r="AX118" i="6" a="1"/>
  <c r="AX118" i="6" s="1"/>
  <c r="AR118" i="6"/>
  <c r="AH118" i="6"/>
  <c r="AF118" i="6"/>
  <c r="AF119" i="6"/>
  <c r="B52" i="7"/>
  <c r="C53" i="7" a="1"/>
  <c r="C53" i="7" s="1"/>
  <c r="B53" i="10"/>
  <c r="AB68" i="8"/>
  <c r="K120" i="12" l="1"/>
  <c r="M120" i="6"/>
  <c r="AI120" i="6" s="1"/>
  <c r="A121" i="6"/>
  <c r="J121" i="6" a="1"/>
  <c r="J121" i="6" s="1"/>
  <c r="AG121" i="5" a="1"/>
  <c r="AG121" i="5" s="1"/>
  <c r="S121" i="5" a="1"/>
  <c r="S121" i="5" s="1"/>
  <c r="F121" i="12" s="1" a="1"/>
  <c r="F121" i="12" s="1"/>
  <c r="F122" i="6"/>
  <c r="L123" i="6"/>
  <c r="B122" i="6"/>
  <c r="W122" i="5" a="1"/>
  <c r="W122" i="5" s="1"/>
  <c r="H122" i="12" s="1" a="1"/>
  <c r="H122" i="12" s="1"/>
  <c r="C123" i="5"/>
  <c r="H122" i="5"/>
  <c r="AE122" i="5" a="1"/>
  <c r="AE122" i="5" s="1"/>
  <c r="B122" i="5"/>
  <c r="AF122" i="5" a="1"/>
  <c r="AF122" i="5" s="1"/>
  <c r="E122" i="5"/>
  <c r="AD122" i="5"/>
  <c r="A122" i="12"/>
  <c r="G122" i="5"/>
  <c r="N122" i="5"/>
  <c r="D122" i="6" s="1"/>
  <c r="F122" i="5"/>
  <c r="M121" i="6"/>
  <c r="AO121" i="6" s="1"/>
  <c r="H121" i="6" a="1"/>
  <c r="H121" i="6" s="1"/>
  <c r="T121" i="5" s="1"/>
  <c r="G121" i="12" s="1" a="1"/>
  <c r="G121" i="12" s="1"/>
  <c r="N121" i="6"/>
  <c r="G121" i="6"/>
  <c r="B54" i="10"/>
  <c r="C54" i="7" a="1"/>
  <c r="C54" i="7" s="1"/>
  <c r="B53" i="7"/>
  <c r="AC68" i="8"/>
  <c r="AF120" i="6" l="1"/>
  <c r="AQ120" i="6"/>
  <c r="BD120" i="6" a="1"/>
  <c r="BD120" i="6" s="1"/>
  <c r="AO120" i="6"/>
  <c r="AD120" i="6"/>
  <c r="AR120" i="6"/>
  <c r="AG120" i="6"/>
  <c r="AB120" i="6"/>
  <c r="AH120" i="6"/>
  <c r="BG120" i="6" a="1"/>
  <c r="BG120" i="6" s="1"/>
  <c r="AR121" i="6"/>
  <c r="AE121" i="6"/>
  <c r="AF121" i="6"/>
  <c r="AH121" i="6"/>
  <c r="BE121" i="6" a="1"/>
  <c r="BE121" i="6" s="1"/>
  <c r="AD121" i="6"/>
  <c r="AK121" i="6"/>
  <c r="AM121" i="6"/>
  <c r="AN121" i="6"/>
  <c r="BC121" i="6" a="1"/>
  <c r="BC121" i="6" s="1"/>
  <c r="AJ121" i="6"/>
  <c r="BF121" i="6" a="1"/>
  <c r="BF121" i="6" s="1"/>
  <c r="AS121" i="6"/>
  <c r="AU121" i="6"/>
  <c r="AX121" i="6" a="1"/>
  <c r="AX121" i="6" s="1"/>
  <c r="AJ120" i="6"/>
  <c r="AC121" i="6"/>
  <c r="AP121" i="6"/>
  <c r="AS120" i="6"/>
  <c r="BA121" i="6" a="1"/>
  <c r="BA121" i="6" s="1"/>
  <c r="AG121" i="6"/>
  <c r="BC120" i="6" a="1"/>
  <c r="BC120" i="6" s="1"/>
  <c r="AE120" i="6"/>
  <c r="AQ121" i="6"/>
  <c r="AC120" i="6"/>
  <c r="AI121" i="6"/>
  <c r="AV121" i="6"/>
  <c r="BG121" i="6" a="1"/>
  <c r="BG121" i="6" s="1"/>
  <c r="AY120" i="6" a="1"/>
  <c r="AY120" i="6" s="1"/>
  <c r="AK120" i="6"/>
  <c r="AZ121" i="6" a="1"/>
  <c r="AZ121" i="6" s="1"/>
  <c r="AM120" i="6"/>
  <c r="AY121" i="6" a="1"/>
  <c r="AY121" i="6" s="1"/>
  <c r="BB121" i="6" a="1"/>
  <c r="BB121" i="6" s="1"/>
  <c r="BD121" i="6" a="1"/>
  <c r="BD121" i="6" s="1"/>
  <c r="AU120" i="6"/>
  <c r="BB120" i="6" a="1"/>
  <c r="BB120" i="6" s="1"/>
  <c r="AT120" i="6"/>
  <c r="AZ120" i="6" a="1"/>
  <c r="AZ120" i="6" s="1"/>
  <c r="BF120" i="6" a="1"/>
  <c r="BF120" i="6" s="1"/>
  <c r="AP120" i="6"/>
  <c r="AN120" i="6"/>
  <c r="AV120" i="6"/>
  <c r="BA120" i="6" a="1"/>
  <c r="BA120" i="6" s="1"/>
  <c r="BE120" i="6" a="1"/>
  <c r="BE120" i="6" s="1"/>
  <c r="AX120" i="6" a="1"/>
  <c r="AX120" i="6" s="1"/>
  <c r="L124" i="6"/>
  <c r="B123" i="6"/>
  <c r="G122" i="6"/>
  <c r="M122" i="6"/>
  <c r="BA122" i="6" s="1" a="1"/>
  <c r="BA122" i="6" s="1"/>
  <c r="H122" i="6" a="1"/>
  <c r="H122" i="6" s="1"/>
  <c r="T122" i="5" s="1"/>
  <c r="G122" i="12" s="1" a="1"/>
  <c r="G122" i="12" s="1"/>
  <c r="A122" i="6"/>
  <c r="N122" i="6" s="1"/>
  <c r="J122" i="6" a="1"/>
  <c r="J122" i="6" s="1"/>
  <c r="AG122" i="5" a="1"/>
  <c r="AG122" i="5" s="1"/>
  <c r="S122" i="5" a="1"/>
  <c r="S122" i="5" s="1"/>
  <c r="F122" i="12" s="1" a="1"/>
  <c r="F122" i="12" s="1"/>
  <c r="AT121" i="6"/>
  <c r="AB121" i="6"/>
  <c r="N123" i="5"/>
  <c r="D123" i="6" s="1"/>
  <c r="B123" i="5"/>
  <c r="H123" i="5"/>
  <c r="E123" i="5"/>
  <c r="AD123" i="5"/>
  <c r="D123" i="5"/>
  <c r="B123" i="12" s="1"/>
  <c r="C124" i="5"/>
  <c r="J123" i="5"/>
  <c r="F123" i="5"/>
  <c r="A123" i="12"/>
  <c r="AE123" i="5" a="1"/>
  <c r="AE123" i="5" s="1"/>
  <c r="K123" i="5"/>
  <c r="G123" i="5"/>
  <c r="B54" i="7"/>
  <c r="C55" i="7" a="1"/>
  <c r="C55" i="7" s="1"/>
  <c r="B55" i="10"/>
  <c r="AD68" i="8"/>
  <c r="AE68" i="8"/>
  <c r="AX122" i="6" l="1" a="1"/>
  <c r="AX122" i="6" s="1"/>
  <c r="BG122" i="6" a="1"/>
  <c r="BG122" i="6" s="1"/>
  <c r="BE122" i="6" a="1"/>
  <c r="BE122" i="6" s="1"/>
  <c r="BD122" i="6" a="1"/>
  <c r="BD122" i="6" s="1"/>
  <c r="BC122" i="6" a="1"/>
  <c r="BC122" i="6" s="1"/>
  <c r="AB122" i="6"/>
  <c r="AN122" i="6"/>
  <c r="AF122" i="6"/>
  <c r="AR122" i="6"/>
  <c r="AT122" i="6"/>
  <c r="J123" i="12" a="1"/>
  <c r="J123" i="12" s="1"/>
  <c r="L123" i="12" a="1"/>
  <c r="L123" i="12" s="1"/>
  <c r="AE122" i="6"/>
  <c r="A123" i="6"/>
  <c r="N123" i="6" s="1"/>
  <c r="J123" i="6" a="1"/>
  <c r="J123" i="6" s="1"/>
  <c r="AS122" i="6"/>
  <c r="L125" i="6"/>
  <c r="B124" i="6"/>
  <c r="AP122" i="6"/>
  <c r="AC122" i="6"/>
  <c r="AH122" i="6"/>
  <c r="AI122" i="6"/>
  <c r="AY122" i="6" a="1"/>
  <c r="AY122" i="6" s="1"/>
  <c r="AO122" i="6"/>
  <c r="AV122" i="6"/>
  <c r="AG122" i="6"/>
  <c r="AZ122" i="6" a="1"/>
  <c r="AZ122" i="6" s="1"/>
  <c r="AM122" i="6"/>
  <c r="AJ122" i="6"/>
  <c r="C125" i="5"/>
  <c r="H124" i="5"/>
  <c r="A124" i="12"/>
  <c r="K124" i="5"/>
  <c r="F124" i="5"/>
  <c r="AE124" i="5" a="1"/>
  <c r="AE124" i="5" s="1"/>
  <c r="D124" i="5"/>
  <c r="B124" i="12" s="1"/>
  <c r="E124" i="5"/>
  <c r="J124" i="5"/>
  <c r="B124" i="5"/>
  <c r="AD124" i="5"/>
  <c r="N124" i="5"/>
  <c r="D124" i="6" s="1"/>
  <c r="G124" i="5"/>
  <c r="AK122" i="6"/>
  <c r="BF122" i="6" a="1"/>
  <c r="BF122" i="6" s="1"/>
  <c r="AD122" i="6"/>
  <c r="AQ122" i="6"/>
  <c r="H123" i="6" a="1"/>
  <c r="H123" i="6" s="1"/>
  <c r="T123" i="5" s="1"/>
  <c r="G123" i="12" s="1" a="1"/>
  <c r="G123" i="12" s="1"/>
  <c r="AU122" i="6"/>
  <c r="BB122" i="6" a="1"/>
  <c r="BB122" i="6" s="1"/>
  <c r="B55" i="7"/>
  <c r="C56" i="7" a="1"/>
  <c r="C56" i="7" s="1"/>
  <c r="B56" i="10"/>
  <c r="K123" i="12" l="1"/>
  <c r="M123" i="6"/>
  <c r="AZ123" i="6" s="1" a="1"/>
  <c r="AZ123" i="6" s="1"/>
  <c r="L126" i="6"/>
  <c r="B125" i="6"/>
  <c r="H124" i="6" a="1"/>
  <c r="H124" i="6" s="1"/>
  <c r="T124" i="5" s="1"/>
  <c r="G124" i="12" s="1" a="1"/>
  <c r="G124" i="12" s="1"/>
  <c r="H125" i="5"/>
  <c r="K125" i="5"/>
  <c r="J125" i="5"/>
  <c r="C126" i="5"/>
  <c r="AD125" i="5"/>
  <c r="E125" i="5"/>
  <c r="A125" i="12"/>
  <c r="AE125" i="5" a="1"/>
  <c r="AE125" i="5" s="1"/>
  <c r="G125" i="5"/>
  <c r="F125" i="5"/>
  <c r="D125" i="5"/>
  <c r="B125" i="12" s="1"/>
  <c r="N125" i="5"/>
  <c r="D125" i="6" s="1"/>
  <c r="B125" i="5"/>
  <c r="A124" i="6"/>
  <c r="N124" i="6" s="1"/>
  <c r="J124" i="6" a="1"/>
  <c r="J124" i="6" s="1"/>
  <c r="L124" i="12" a="1"/>
  <c r="L124" i="12" s="1"/>
  <c r="J124" i="12" a="1"/>
  <c r="J124" i="12" s="1"/>
  <c r="B56" i="7"/>
  <c r="C57" i="7" a="1"/>
  <c r="C57" i="7" s="1"/>
  <c r="B57" i="10"/>
  <c r="AK123" i="6" l="1"/>
  <c r="AI123" i="6"/>
  <c r="AY123" i="6" a="1"/>
  <c r="AY123" i="6" s="1"/>
  <c r="AF123" i="6"/>
  <c r="AM123" i="6"/>
  <c r="AN123" i="6"/>
  <c r="AJ123" i="6"/>
  <c r="AH123" i="6"/>
  <c r="BD123" i="6" a="1"/>
  <c r="BD123" i="6" s="1"/>
  <c r="AV123" i="6"/>
  <c r="AG123" i="6"/>
  <c r="BA123" i="6" a="1"/>
  <c r="BA123" i="6" s="1"/>
  <c r="AT123" i="6"/>
  <c r="AB123" i="6"/>
  <c r="AO123" i="6"/>
  <c r="AU123" i="6"/>
  <c r="AD123" i="6"/>
  <c r="BB123" i="6" a="1"/>
  <c r="BB123" i="6" s="1"/>
  <c r="BG123" i="6" a="1"/>
  <c r="BG123" i="6" s="1"/>
  <c r="AQ123" i="6"/>
  <c r="AX123" i="6" a="1"/>
  <c r="AX123" i="6" s="1"/>
  <c r="AS123" i="6"/>
  <c r="AR123" i="6"/>
  <c r="BF123" i="6" a="1"/>
  <c r="BF123" i="6" s="1"/>
  <c r="AP123" i="6"/>
  <c r="AE123" i="6"/>
  <c r="AC123" i="6"/>
  <c r="BC123" i="6" a="1"/>
  <c r="BC123" i="6" s="1"/>
  <c r="BE123" i="6" a="1"/>
  <c r="BE123" i="6" s="1"/>
  <c r="J125" i="6" a="1"/>
  <c r="J125" i="6" s="1"/>
  <c r="A125" i="6"/>
  <c r="M125" i="6" s="1"/>
  <c r="BD125" i="6" s="1" a="1"/>
  <c r="BD125" i="6" s="1"/>
  <c r="M124" i="6"/>
  <c r="AC124" i="6" s="1"/>
  <c r="L127" i="6"/>
  <c r="B126" i="6"/>
  <c r="K124" i="12"/>
  <c r="H125" i="6" a="1"/>
  <c r="H125" i="6" s="1"/>
  <c r="T125" i="5" s="1"/>
  <c r="G125" i="12" s="1" a="1"/>
  <c r="G125" i="12" s="1"/>
  <c r="J125" i="12" a="1"/>
  <c r="J125" i="12" s="1"/>
  <c r="L125" i="12" a="1"/>
  <c r="L125" i="12" s="1"/>
  <c r="D126" i="5"/>
  <c r="B126" i="12" s="1"/>
  <c r="N126" i="5"/>
  <c r="D126" i="6" s="1"/>
  <c r="A126" i="12"/>
  <c r="G126" i="5"/>
  <c r="K126" i="5"/>
  <c r="J126" i="5"/>
  <c r="F126" i="5"/>
  <c r="H126" i="5"/>
  <c r="AD126" i="5"/>
  <c r="E126" i="5"/>
  <c r="B126" i="5"/>
  <c r="C127" i="5" s="1"/>
  <c r="AE126" i="5" a="1"/>
  <c r="AE126" i="5" s="1"/>
  <c r="E206" i="12"/>
  <c r="B58" i="10"/>
  <c r="C58" i="7" a="1"/>
  <c r="C58" i="7" s="1"/>
  <c r="B57" i="7"/>
  <c r="K125" i="12" l="1"/>
  <c r="AE124" i="6"/>
  <c r="BF125" i="6" a="1"/>
  <c r="BF125" i="6" s="1"/>
  <c r="BG125" i="6" a="1"/>
  <c r="BG125" i="6" s="1"/>
  <c r="AK125" i="6"/>
  <c r="AO125" i="6"/>
  <c r="AC125" i="6"/>
  <c r="AY125" i="6" a="1"/>
  <c r="AY125" i="6" s="1"/>
  <c r="BA125" i="6" a="1"/>
  <c r="BA125" i="6" s="1"/>
  <c r="BB125" i="6" a="1"/>
  <c r="BB125" i="6" s="1"/>
  <c r="AJ125" i="6"/>
  <c r="BC125" i="6" a="1"/>
  <c r="BC125" i="6" s="1"/>
  <c r="AM125" i="6"/>
  <c r="AP125" i="6"/>
  <c r="AI124" i="6"/>
  <c r="AD124" i="6"/>
  <c r="AU125" i="6"/>
  <c r="AX125" i="6" a="1"/>
  <c r="AX125" i="6" s="1"/>
  <c r="AQ125" i="6"/>
  <c r="AI125" i="6"/>
  <c r="AT125" i="6"/>
  <c r="AF124" i="6"/>
  <c r="BE125" i="6" a="1"/>
  <c r="BE125" i="6" s="1"/>
  <c r="AE125" i="6"/>
  <c r="AN125" i="6"/>
  <c r="G127" i="5"/>
  <c r="H127" i="5"/>
  <c r="B127" i="5"/>
  <c r="F127" i="5"/>
  <c r="W127" i="5" a="1"/>
  <c r="W127" i="5" s="1"/>
  <c r="H127" i="12" s="1" a="1"/>
  <c r="H127" i="12" s="1"/>
  <c r="N127" i="5"/>
  <c r="D127" i="6" s="1"/>
  <c r="AF127" i="5" a="1"/>
  <c r="AF127" i="5" s="1"/>
  <c r="A127" i="12"/>
  <c r="E127" i="5"/>
  <c r="I127" i="5"/>
  <c r="AD127" i="5"/>
  <c r="C128" i="5"/>
  <c r="AE127" i="5" a="1"/>
  <c r="AE127" i="5" s="1"/>
  <c r="L128" i="6"/>
  <c r="B127" i="6"/>
  <c r="F127" i="6"/>
  <c r="AG124" i="6"/>
  <c r="BF124" i="6" a="1"/>
  <c r="BF124" i="6" s="1"/>
  <c r="AV124" i="6"/>
  <c r="BC124" i="6" a="1"/>
  <c r="BC124" i="6" s="1"/>
  <c r="AN124" i="6"/>
  <c r="AP124" i="6"/>
  <c r="AQ124" i="6"/>
  <c r="BG124" i="6" a="1"/>
  <c r="BG124" i="6" s="1"/>
  <c r="AS124" i="6"/>
  <c r="BE124" i="6" a="1"/>
  <c r="BE124" i="6" s="1"/>
  <c r="AY124" i="6" a="1"/>
  <c r="AY124" i="6" s="1"/>
  <c r="BA124" i="6" a="1"/>
  <c r="BA124" i="6" s="1"/>
  <c r="AU124" i="6"/>
  <c r="AM124" i="6"/>
  <c r="AT124" i="6"/>
  <c r="AH124" i="6"/>
  <c r="BB124" i="6" a="1"/>
  <c r="BB124" i="6" s="1"/>
  <c r="AB124" i="6"/>
  <c r="AX124" i="6" a="1"/>
  <c r="AX124" i="6" s="1"/>
  <c r="AZ124" i="6" a="1"/>
  <c r="AZ124" i="6" s="1"/>
  <c r="BD124" i="6" a="1"/>
  <c r="BD124" i="6" s="1"/>
  <c r="AO124" i="6"/>
  <c r="AR124" i="6"/>
  <c r="AF125" i="6"/>
  <c r="AJ124" i="6"/>
  <c r="AR125" i="6"/>
  <c r="AH125" i="6"/>
  <c r="J126" i="12" a="1"/>
  <c r="J126" i="12" s="1"/>
  <c r="L126" i="12" a="1"/>
  <c r="L126" i="12" s="1"/>
  <c r="AV125" i="6"/>
  <c r="AS125" i="6"/>
  <c r="AD125" i="6"/>
  <c r="N125" i="6"/>
  <c r="AB125" i="6"/>
  <c r="J126" i="6" a="1"/>
  <c r="J126" i="6" s="1"/>
  <c r="A126" i="6"/>
  <c r="N126" i="6" s="1"/>
  <c r="AK124" i="6"/>
  <c r="H126" i="6" a="1"/>
  <c r="H126" i="6" s="1"/>
  <c r="T126" i="5" s="1"/>
  <c r="G126" i="12" s="1" a="1"/>
  <c r="G126" i="12" s="1"/>
  <c r="AG125" i="6"/>
  <c r="AZ125" i="6" a="1"/>
  <c r="AZ125" i="6" s="1"/>
  <c r="E211" i="12"/>
  <c r="E204" i="12"/>
  <c r="B59" i="10"/>
  <c r="B58" i="7"/>
  <c r="C59" i="7" a="1"/>
  <c r="C59" i="7" s="1"/>
  <c r="M126" i="6" l="1"/>
  <c r="AG126" i="6" s="1"/>
  <c r="K126" i="12"/>
  <c r="L129" i="6"/>
  <c r="B128" i="6"/>
  <c r="S127" i="5" a="1"/>
  <c r="S127" i="5" s="1"/>
  <c r="F127" i="12" s="1" a="1"/>
  <c r="F127" i="12" s="1"/>
  <c r="AG127" i="5" a="1"/>
  <c r="AG127" i="5" s="1"/>
  <c r="M127" i="6"/>
  <c r="AU127" i="6" s="1"/>
  <c r="N127" i="6"/>
  <c r="G127" i="6"/>
  <c r="H127" i="6" a="1"/>
  <c r="H127" i="6" s="1"/>
  <c r="T127" i="5" s="1"/>
  <c r="G127" i="12" s="1" a="1"/>
  <c r="G127" i="12" s="1"/>
  <c r="J127" i="6" a="1"/>
  <c r="J127" i="6" s="1"/>
  <c r="A127" i="6"/>
  <c r="G128" i="5"/>
  <c r="E128" i="5"/>
  <c r="B128" i="5"/>
  <c r="F128" i="5"/>
  <c r="D128" i="5"/>
  <c r="B128" i="12" s="1"/>
  <c r="AD128" i="5"/>
  <c r="N128" i="5"/>
  <c r="D128" i="6" s="1"/>
  <c r="H128" i="5"/>
  <c r="J128" i="5"/>
  <c r="A128" i="12"/>
  <c r="K128" i="5"/>
  <c r="AE128" i="5" a="1"/>
  <c r="AE128" i="5" s="1"/>
  <c r="C129" i="5"/>
  <c r="C60" i="7" a="1"/>
  <c r="C60" i="7" s="1"/>
  <c r="B59" i="7"/>
  <c r="B60" i="10"/>
  <c r="AB126" i="6" l="1"/>
  <c r="AN126" i="6"/>
  <c r="AJ126" i="6"/>
  <c r="BE126" i="6" a="1"/>
  <c r="BE126" i="6" s="1"/>
  <c r="AV126" i="6"/>
  <c r="AS126" i="6"/>
  <c r="AU126" i="6"/>
  <c r="AQ126" i="6"/>
  <c r="AK126" i="6"/>
  <c r="AO126" i="6"/>
  <c r="AH126" i="6"/>
  <c r="BB126" i="6" a="1"/>
  <c r="BB126" i="6" s="1"/>
  <c r="AF126" i="6"/>
  <c r="AT126" i="6"/>
  <c r="BC126" i="6" a="1"/>
  <c r="BC126" i="6" s="1"/>
  <c r="BD126" i="6" a="1"/>
  <c r="BD126" i="6" s="1"/>
  <c r="AC126" i="6"/>
  <c r="AR126" i="6"/>
  <c r="AD126" i="6"/>
  <c r="AP126" i="6"/>
  <c r="BG126" i="6" a="1"/>
  <c r="BG126" i="6" s="1"/>
  <c r="AX126" i="6" a="1"/>
  <c r="AX126" i="6" s="1"/>
  <c r="AQ127" i="6"/>
  <c r="AM127" i="6"/>
  <c r="AR127" i="6"/>
  <c r="BB127" i="6" a="1"/>
  <c r="BB127" i="6" s="1"/>
  <c r="BE127" i="6" a="1"/>
  <c r="BE127" i="6" s="1"/>
  <c r="AV127" i="6"/>
  <c r="AY126" i="6" a="1"/>
  <c r="AY126" i="6" s="1"/>
  <c r="AM126" i="6"/>
  <c r="AE126" i="6"/>
  <c r="AZ126" i="6" a="1"/>
  <c r="AZ126" i="6" s="1"/>
  <c r="BA126" i="6" a="1"/>
  <c r="BA126" i="6" s="1"/>
  <c r="BF126" i="6" a="1"/>
  <c r="BF126" i="6" s="1"/>
  <c r="AI126" i="6"/>
  <c r="AB127" i="6"/>
  <c r="AD127" i="6"/>
  <c r="AJ127" i="6"/>
  <c r="AS127" i="6"/>
  <c r="AG127" i="6"/>
  <c r="BC127" i="6" a="1"/>
  <c r="BC127" i="6" s="1"/>
  <c r="AT127" i="6"/>
  <c r="AI127" i="6"/>
  <c r="BG127" i="6" a="1"/>
  <c r="BG127" i="6" s="1"/>
  <c r="BD127" i="6" a="1"/>
  <c r="BD127" i="6" s="1"/>
  <c r="AH127" i="6"/>
  <c r="AX127" i="6" a="1"/>
  <c r="AX127" i="6" s="1"/>
  <c r="BA127" i="6" a="1"/>
  <c r="BA127" i="6" s="1"/>
  <c r="AF127" i="6"/>
  <c r="AZ127" i="6" a="1"/>
  <c r="AZ127" i="6" s="1"/>
  <c r="AP127" i="6"/>
  <c r="AC127" i="6"/>
  <c r="AN127" i="6"/>
  <c r="AK127" i="6"/>
  <c r="BF127" i="6" a="1"/>
  <c r="BF127" i="6" s="1"/>
  <c r="A128" i="6"/>
  <c r="N128" i="6" s="1"/>
  <c r="J128" i="6" a="1"/>
  <c r="J128" i="6" s="1"/>
  <c r="L128" i="12" a="1"/>
  <c r="L128" i="12" s="1"/>
  <c r="J128" i="12" a="1"/>
  <c r="J128" i="12" s="1"/>
  <c r="H128" i="6" a="1"/>
  <c r="H128" i="6" s="1"/>
  <c r="T128" i="5" s="1"/>
  <c r="G128" i="12" s="1" a="1"/>
  <c r="G128" i="12" s="1"/>
  <c r="AO127" i="6"/>
  <c r="G129" i="5"/>
  <c r="C130" i="5"/>
  <c r="E129" i="5"/>
  <c r="J129" i="5"/>
  <c r="F129" i="5"/>
  <c r="B129" i="5"/>
  <c r="D129" i="5"/>
  <c r="B129" i="12" s="1"/>
  <c r="AD129" i="5"/>
  <c r="N129" i="5"/>
  <c r="D129" i="6" s="1"/>
  <c r="AE129" i="5" a="1"/>
  <c r="AE129" i="5" s="1"/>
  <c r="A129" i="12"/>
  <c r="H129" i="5"/>
  <c r="K129" i="5"/>
  <c r="AE127" i="6"/>
  <c r="AY127" i="6" a="1"/>
  <c r="AY127" i="6" s="1"/>
  <c r="B129" i="6"/>
  <c r="L130" i="6"/>
  <c r="E214" i="12"/>
  <c r="B61" i="10"/>
  <c r="C61" i="7" a="1"/>
  <c r="C61" i="7" s="1"/>
  <c r="B60" i="7"/>
  <c r="M128" i="6" l="1"/>
  <c r="AM128" i="6" s="1"/>
  <c r="J129" i="12" a="1"/>
  <c r="J129" i="12" s="1"/>
  <c r="L129" i="12" a="1"/>
  <c r="L129" i="12" s="1"/>
  <c r="L131" i="6"/>
  <c r="B130" i="6"/>
  <c r="J129" i="6" a="1"/>
  <c r="J129" i="6" s="1"/>
  <c r="A129" i="6"/>
  <c r="M129" i="6" s="1"/>
  <c r="BD129" i="6" s="1" a="1"/>
  <c r="BD129" i="6" s="1"/>
  <c r="D130" i="5"/>
  <c r="B130" i="12" s="1"/>
  <c r="H130" i="5"/>
  <c r="K130" i="5"/>
  <c r="B130" i="5"/>
  <c r="N130" i="5"/>
  <c r="D130" i="6" s="1"/>
  <c r="F130" i="5"/>
  <c r="AD130" i="5"/>
  <c r="C131" i="5"/>
  <c r="A130" i="12"/>
  <c r="J130" i="5"/>
  <c r="AE130" i="5" a="1"/>
  <c r="AE130" i="5" s="1"/>
  <c r="E130" i="5"/>
  <c r="G130" i="5"/>
  <c r="H129" i="6" a="1"/>
  <c r="H129" i="6" s="1"/>
  <c r="T129" i="5" s="1"/>
  <c r="G129" i="12" s="1" a="1"/>
  <c r="G129" i="12" s="1"/>
  <c r="K128" i="12"/>
  <c r="B61" i="7"/>
  <c r="C62" i="7" a="1"/>
  <c r="C62" i="7" s="1"/>
  <c r="B62" i="10"/>
  <c r="AI128" i="6" l="1"/>
  <c r="AV128" i="6"/>
  <c r="AR128" i="6"/>
  <c r="BE128" i="6" a="1"/>
  <c r="BE128" i="6" s="1"/>
  <c r="BA128" i="6" a="1"/>
  <c r="BA128" i="6" s="1"/>
  <c r="AD128" i="6"/>
  <c r="AX128" i="6" a="1"/>
  <c r="AX128" i="6" s="1"/>
  <c r="AY128" i="6" a="1"/>
  <c r="AY128" i="6" s="1"/>
  <c r="BD128" i="6" a="1"/>
  <c r="BD128" i="6" s="1"/>
  <c r="BF128" i="6" a="1"/>
  <c r="BF128" i="6" s="1"/>
  <c r="AO128" i="6"/>
  <c r="AS128" i="6"/>
  <c r="BB128" i="6" a="1"/>
  <c r="BB128" i="6" s="1"/>
  <c r="AG128" i="6"/>
  <c r="AC128" i="6"/>
  <c r="AJ128" i="6"/>
  <c r="AE128" i="6"/>
  <c r="BC128" i="6" a="1"/>
  <c r="BC128" i="6" s="1"/>
  <c r="AQ128" i="6"/>
  <c r="AH128" i="6"/>
  <c r="AK128" i="6"/>
  <c r="AU128" i="6"/>
  <c r="AB128" i="6"/>
  <c r="AN128" i="6"/>
  <c r="AP128" i="6"/>
  <c r="BG128" i="6" a="1"/>
  <c r="BG128" i="6" s="1"/>
  <c r="AT128" i="6"/>
  <c r="AZ128" i="6" a="1"/>
  <c r="AZ128" i="6" s="1"/>
  <c r="AF128" i="6"/>
  <c r="K129" i="12"/>
  <c r="N129" i="6"/>
  <c r="AS129" i="6"/>
  <c r="AV129" i="6"/>
  <c r="AP129" i="6"/>
  <c r="BE129" i="6" a="1"/>
  <c r="BE129" i="6" s="1"/>
  <c r="AY129" i="6" a="1"/>
  <c r="AY129" i="6" s="1"/>
  <c r="J130" i="6" a="1"/>
  <c r="J130" i="6" s="1"/>
  <c r="A130" i="6"/>
  <c r="M130" i="6" s="1"/>
  <c r="AV130" i="6" s="1"/>
  <c r="BF129" i="6" a="1"/>
  <c r="BF129" i="6" s="1"/>
  <c r="AO129" i="6"/>
  <c r="AH129" i="6"/>
  <c r="AI129" i="6"/>
  <c r="AF129" i="6"/>
  <c r="AX129" i="6" a="1"/>
  <c r="AX129" i="6" s="1"/>
  <c r="AE129" i="6"/>
  <c r="AR129" i="6"/>
  <c r="N131" i="5"/>
  <c r="D131" i="6" s="1"/>
  <c r="AD131" i="5"/>
  <c r="J131" i="5"/>
  <c r="F131" i="5"/>
  <c r="AE131" i="5" a="1"/>
  <c r="AE131" i="5" s="1"/>
  <c r="B131" i="5"/>
  <c r="C132" i="5" s="1"/>
  <c r="G131" i="5"/>
  <c r="K131" i="5"/>
  <c r="H131" i="5"/>
  <c r="A131" i="12"/>
  <c r="E131" i="5"/>
  <c r="D131" i="5"/>
  <c r="B131" i="12" s="1"/>
  <c r="BG129" i="6" a="1"/>
  <c r="BG129" i="6" s="1"/>
  <c r="AG129" i="6"/>
  <c r="BA129" i="6" a="1"/>
  <c r="BA129" i="6" s="1"/>
  <c r="J130" i="12" a="1"/>
  <c r="J130" i="12" s="1"/>
  <c r="L130" i="12" a="1"/>
  <c r="L130" i="12" s="1"/>
  <c r="AC129" i="6"/>
  <c r="AT129" i="6"/>
  <c r="AM129" i="6"/>
  <c r="AJ129" i="6"/>
  <c r="AZ129" i="6" a="1"/>
  <c r="AZ129" i="6" s="1"/>
  <c r="AB129" i="6"/>
  <c r="AN129" i="6"/>
  <c r="AD129" i="6"/>
  <c r="AU129" i="6"/>
  <c r="AQ129" i="6"/>
  <c r="B131" i="6"/>
  <c r="L132" i="6"/>
  <c r="AK129" i="6"/>
  <c r="BB129" i="6" a="1"/>
  <c r="BB129" i="6" s="1"/>
  <c r="BC129" i="6" a="1"/>
  <c r="BC129" i="6" s="1"/>
  <c r="H130" i="6" a="1"/>
  <c r="H130" i="6" s="1"/>
  <c r="T130" i="5" s="1"/>
  <c r="G130" i="12" s="1" a="1"/>
  <c r="G130" i="12" s="1"/>
  <c r="B62" i="7"/>
  <c r="C63" i="7" a="1"/>
  <c r="C63" i="7" s="1"/>
  <c r="B63" i="10"/>
  <c r="K130" i="12" l="1"/>
  <c r="BA130" i="6" a="1"/>
  <c r="BA130" i="6" s="1"/>
  <c r="AP130" i="6"/>
  <c r="AE130" i="6"/>
  <c r="BF130" i="6" a="1"/>
  <c r="BF130" i="6" s="1"/>
  <c r="BB130" i="6" a="1"/>
  <c r="BB130" i="6" s="1"/>
  <c r="AB130" i="6"/>
  <c r="AG130" i="6"/>
  <c r="BD130" i="6" a="1"/>
  <c r="BD130" i="6" s="1"/>
  <c r="AH130" i="6"/>
  <c r="L131" i="12" a="1"/>
  <c r="L131" i="12" s="1"/>
  <c r="J131" i="12" a="1"/>
  <c r="J131" i="12" s="1"/>
  <c r="F132" i="6"/>
  <c r="L133" i="6"/>
  <c r="B132" i="6"/>
  <c r="BE130" i="6" a="1"/>
  <c r="BE130" i="6" s="1"/>
  <c r="AU130" i="6"/>
  <c r="AM130" i="6"/>
  <c r="AO130" i="6"/>
  <c r="AN130" i="6"/>
  <c r="AY130" i="6" a="1"/>
  <c r="AY130" i="6" s="1"/>
  <c r="H131" i="6" a="1"/>
  <c r="H131" i="6" s="1"/>
  <c r="T131" i="5" s="1"/>
  <c r="G131" i="12" s="1" a="1"/>
  <c r="G131" i="12" s="1"/>
  <c r="AJ130" i="6"/>
  <c r="AE132" i="5" a="1"/>
  <c r="AE132" i="5" s="1"/>
  <c r="W132" i="5" a="1"/>
  <c r="W132" i="5" s="1"/>
  <c r="H132" i="12" s="1" a="1"/>
  <c r="H132" i="12" s="1"/>
  <c r="AD132" i="5"/>
  <c r="G132" i="5"/>
  <c r="B132" i="5"/>
  <c r="C133" i="5" s="1"/>
  <c r="E132" i="5"/>
  <c r="A132" i="12"/>
  <c r="H132" i="5"/>
  <c r="AF132" i="5" a="1"/>
  <c r="AF132" i="5" s="1"/>
  <c r="I132" i="5"/>
  <c r="F132" i="5"/>
  <c r="N132" i="5"/>
  <c r="D132" i="6" s="1"/>
  <c r="BC130" i="6" a="1"/>
  <c r="BC130" i="6" s="1"/>
  <c r="AZ130" i="6" a="1"/>
  <c r="AZ130" i="6" s="1"/>
  <c r="AC130" i="6"/>
  <c r="AQ130" i="6"/>
  <c r="AD130" i="6"/>
  <c r="BG130" i="6" a="1"/>
  <c r="BG130" i="6" s="1"/>
  <c r="A131" i="6"/>
  <c r="M131" i="6" s="1"/>
  <c r="AO131" i="6" s="1"/>
  <c r="J131" i="6" a="1"/>
  <c r="J131" i="6" s="1"/>
  <c r="AS130" i="6"/>
  <c r="N130" i="6"/>
  <c r="AI130" i="6"/>
  <c r="AT130" i="6"/>
  <c r="AR130" i="6"/>
  <c r="AF130" i="6"/>
  <c r="AK130" i="6"/>
  <c r="AX130" i="6" a="1"/>
  <c r="AX130" i="6" s="1"/>
  <c r="B64" i="10"/>
  <c r="C64" i="7" a="1"/>
  <c r="C64" i="7" s="1"/>
  <c r="B63" i="7"/>
  <c r="AV131" i="6" l="1"/>
  <c r="AZ131" i="6" a="1"/>
  <c r="AZ131" i="6" s="1"/>
  <c r="AJ131" i="6"/>
  <c r="AY131" i="6" a="1"/>
  <c r="AY131" i="6" s="1"/>
  <c r="AU131" i="6"/>
  <c r="J132" i="6" a="1"/>
  <c r="J132" i="6" s="1"/>
  <c r="A132" i="6"/>
  <c r="AK131" i="6"/>
  <c r="AI131" i="6"/>
  <c r="AP131" i="6"/>
  <c r="BE131" i="6" a="1"/>
  <c r="BE131" i="6" s="1"/>
  <c r="AC131" i="6"/>
  <c r="AF131" i="6"/>
  <c r="AG131" i="6"/>
  <c r="AQ131" i="6"/>
  <c r="AN131" i="6"/>
  <c r="BA131" i="6" a="1"/>
  <c r="BA131" i="6" s="1"/>
  <c r="AT131" i="6"/>
  <c r="BF131" i="6" a="1"/>
  <c r="BF131" i="6" s="1"/>
  <c r="BG131" i="6" a="1"/>
  <c r="BG131" i="6" s="1"/>
  <c r="AM131" i="6"/>
  <c r="AB131" i="6"/>
  <c r="AG132" i="5" a="1"/>
  <c r="AG132" i="5" s="1"/>
  <c r="S132" i="5" a="1"/>
  <c r="S132" i="5" s="1"/>
  <c r="F132" i="12" s="1" a="1"/>
  <c r="F132" i="12" s="1"/>
  <c r="BB131" i="6" a="1"/>
  <c r="BB131" i="6" s="1"/>
  <c r="E133" i="5"/>
  <c r="AF133" i="5" a="1"/>
  <c r="AF133" i="5" s="1"/>
  <c r="AE133" i="5" a="1"/>
  <c r="AE133" i="5" s="1"/>
  <c r="G133" i="5"/>
  <c r="W133" i="5" a="1"/>
  <c r="W133" i="5" s="1"/>
  <c r="H133" i="12" s="1" a="1"/>
  <c r="H133" i="12" s="1"/>
  <c r="C134" i="5"/>
  <c r="F133" i="5"/>
  <c r="I133" i="5"/>
  <c r="AD133" i="5"/>
  <c r="A133" i="12"/>
  <c r="H133" i="5"/>
  <c r="B133" i="5"/>
  <c r="N133" i="5"/>
  <c r="D133" i="6" s="1"/>
  <c r="BC131" i="6" a="1"/>
  <c r="BC131" i="6" s="1"/>
  <c r="AS131" i="6"/>
  <c r="K131" i="12"/>
  <c r="AE131" i="6"/>
  <c r="AD131" i="6"/>
  <c r="L134" i="6"/>
  <c r="B133" i="6"/>
  <c r="F133" i="6"/>
  <c r="BD131" i="6" a="1"/>
  <c r="BD131" i="6" s="1"/>
  <c r="N131" i="6"/>
  <c r="N132" i="6"/>
  <c r="M132" i="6"/>
  <c r="BD132" i="6" s="1" a="1"/>
  <c r="BD132" i="6" s="1"/>
  <c r="H132" i="6" a="1"/>
  <c r="H132" i="6" s="1"/>
  <c r="T132" i="5" s="1"/>
  <c r="G132" i="12" s="1" a="1"/>
  <c r="G132" i="12" s="1"/>
  <c r="G132" i="6"/>
  <c r="AX131" i="6" a="1"/>
  <c r="AX131" i="6" s="1"/>
  <c r="AH131" i="6"/>
  <c r="AR131" i="6"/>
  <c r="B64" i="7"/>
  <c r="C10" i="7"/>
  <c r="AN132" i="6" l="1"/>
  <c r="BE132" i="6" a="1"/>
  <c r="BE132" i="6" s="1"/>
  <c r="BC132" i="6" a="1"/>
  <c r="BC132" i="6" s="1"/>
  <c r="AY132" i="6" a="1"/>
  <c r="AY132" i="6" s="1"/>
  <c r="AZ132" i="6" a="1"/>
  <c r="AZ132" i="6" s="1"/>
  <c r="AU132" i="6"/>
  <c r="AE132" i="6"/>
  <c r="AO132" i="6"/>
  <c r="AC132" i="6"/>
  <c r="BG132" i="6" a="1"/>
  <c r="BG132" i="6" s="1"/>
  <c r="BA132" i="6" a="1"/>
  <c r="BA132" i="6" s="1"/>
  <c r="AR132" i="6"/>
  <c r="AI132" i="6"/>
  <c r="AH132" i="6"/>
  <c r="AD132" i="6"/>
  <c r="AX132" i="6" a="1"/>
  <c r="AX132" i="6" s="1"/>
  <c r="BB132" i="6" a="1"/>
  <c r="BB132" i="6" s="1"/>
  <c r="BF132" i="6" a="1"/>
  <c r="BF132" i="6" s="1"/>
  <c r="AF132" i="6"/>
  <c r="AG132" i="6"/>
  <c r="AB132" i="6"/>
  <c r="AT132" i="6"/>
  <c r="AM132" i="6"/>
  <c r="AS132" i="6"/>
  <c r="C135" i="5"/>
  <c r="B134" i="5"/>
  <c r="AD134" i="5"/>
  <c r="F134" i="5"/>
  <c r="D134" i="5"/>
  <c r="B134" i="12" s="1"/>
  <c r="H134" i="5"/>
  <c r="J134" i="5"/>
  <c r="A134" i="12"/>
  <c r="K134" i="5"/>
  <c r="AE134" i="5" a="1"/>
  <c r="AE134" i="5" s="1"/>
  <c r="G134" i="5"/>
  <c r="N134" i="5"/>
  <c r="D134" i="6" s="1"/>
  <c r="E134" i="5"/>
  <c r="J133" i="6" a="1"/>
  <c r="J133" i="6" s="1"/>
  <c r="A133" i="6"/>
  <c r="N133" i="6" s="1"/>
  <c r="L135" i="6"/>
  <c r="B134" i="6"/>
  <c r="AG133" i="5" a="1"/>
  <c r="AG133" i="5" s="1"/>
  <c r="S133" i="5" a="1"/>
  <c r="S133" i="5" s="1"/>
  <c r="F133" i="12" s="1" a="1"/>
  <c r="F133" i="12" s="1"/>
  <c r="AP132" i="6"/>
  <c r="AJ132" i="6"/>
  <c r="AV132" i="6"/>
  <c r="AK132" i="6"/>
  <c r="H133" i="6" a="1"/>
  <c r="H133" i="6" s="1"/>
  <c r="T133" i="5" s="1"/>
  <c r="G133" i="12" s="1" a="1"/>
  <c r="G133" i="12" s="1"/>
  <c r="M133" i="6"/>
  <c r="BD133" i="6" s="1" a="1"/>
  <c r="BD133" i="6" s="1"/>
  <c r="G133" i="6"/>
  <c r="AQ132" i="6"/>
  <c r="AR133" i="6" l="1"/>
  <c r="AV133" i="6"/>
  <c r="AS133" i="6"/>
  <c r="BE133" i="6" a="1"/>
  <c r="BE133" i="6" s="1"/>
  <c r="AN133" i="6"/>
  <c r="AM133" i="6"/>
  <c r="AX133" i="6" a="1"/>
  <c r="AX133" i="6" s="1"/>
  <c r="AE133" i="6"/>
  <c r="BB133" i="6" a="1"/>
  <c r="BB133" i="6" s="1"/>
  <c r="BA133" i="6" a="1"/>
  <c r="BA133" i="6" s="1"/>
  <c r="AF133" i="6"/>
  <c r="AG133" i="6"/>
  <c r="AI133" i="6"/>
  <c r="AQ133" i="6"/>
  <c r="AO133" i="6"/>
  <c r="AY133" i="6" a="1"/>
  <c r="AY133" i="6" s="1"/>
  <c r="AB133" i="6"/>
  <c r="AH133" i="6"/>
  <c r="AC133" i="6"/>
  <c r="AD133" i="6"/>
  <c r="AT133" i="6"/>
  <c r="H134" i="6" a="1"/>
  <c r="H134" i="6" s="1"/>
  <c r="T134" i="5" s="1"/>
  <c r="G134" i="12" s="1" a="1"/>
  <c r="G134" i="12" s="1"/>
  <c r="BF133" i="6" a="1"/>
  <c r="BF133" i="6" s="1"/>
  <c r="AZ133" i="6" a="1"/>
  <c r="AZ133" i="6" s="1"/>
  <c r="J134" i="6" a="1"/>
  <c r="J134" i="6" s="1"/>
  <c r="A134" i="6"/>
  <c r="M134" i="6" s="1"/>
  <c r="BG134" i="6" s="1" a="1"/>
  <c r="BG134" i="6" s="1"/>
  <c r="L136" i="6"/>
  <c r="B135" i="6"/>
  <c r="A135" i="12"/>
  <c r="D135" i="5"/>
  <c r="B135" i="12" s="1"/>
  <c r="AD135" i="5"/>
  <c r="B135" i="5"/>
  <c r="AE135" i="5" a="1"/>
  <c r="AE135" i="5" s="1"/>
  <c r="E135" i="5"/>
  <c r="G135" i="5"/>
  <c r="F135" i="5"/>
  <c r="H135" i="5"/>
  <c r="C136" i="5"/>
  <c r="J135" i="5"/>
  <c r="N135" i="5"/>
  <c r="D135" i="6" s="1"/>
  <c r="K135" i="5"/>
  <c r="AJ133" i="6"/>
  <c r="AU133" i="6"/>
  <c r="BG133" i="6" a="1"/>
  <c r="BG133" i="6" s="1"/>
  <c r="AP133" i="6"/>
  <c r="J134" i="12" a="1"/>
  <c r="J134" i="12" s="1"/>
  <c r="L134" i="12" a="1"/>
  <c r="L134" i="12" s="1"/>
  <c r="BC133" i="6" a="1"/>
  <c r="BC133" i="6" s="1"/>
  <c r="AK133" i="6"/>
  <c r="K134" i="12" l="1"/>
  <c r="AJ134" i="6"/>
  <c r="N134" i="6"/>
  <c r="AO134" i="6"/>
  <c r="J135" i="6" a="1"/>
  <c r="J135" i="6" s="1"/>
  <c r="A135" i="6"/>
  <c r="N135" i="6" s="1"/>
  <c r="AU134" i="6"/>
  <c r="J136" i="5"/>
  <c r="B136" i="5"/>
  <c r="K136" i="5"/>
  <c r="H136" i="5"/>
  <c r="AD136" i="5"/>
  <c r="C137" i="5"/>
  <c r="A136" i="12"/>
  <c r="D136" i="5"/>
  <c r="B136" i="12" s="1"/>
  <c r="N136" i="5"/>
  <c r="D136" i="6" s="1"/>
  <c r="F136" i="5"/>
  <c r="AE136" i="5" a="1"/>
  <c r="AE136" i="5" s="1"/>
  <c r="E136" i="5"/>
  <c r="G136" i="5"/>
  <c r="AC134" i="6"/>
  <c r="BD134" i="6" a="1"/>
  <c r="BD134" i="6" s="1"/>
  <c r="AN134" i="6"/>
  <c r="AE134" i="6"/>
  <c r="AI134" i="6"/>
  <c r="BC134" i="6" a="1"/>
  <c r="BC134" i="6" s="1"/>
  <c r="BB134" i="6" a="1"/>
  <c r="BB134" i="6" s="1"/>
  <c r="BA134" i="6" a="1"/>
  <c r="BA134" i="6" s="1"/>
  <c r="AD134" i="6"/>
  <c r="L135" i="12" a="1"/>
  <c r="L135" i="12" s="1"/>
  <c r="J135" i="12" a="1"/>
  <c r="J135" i="12" s="1"/>
  <c r="BF134" i="6" a="1"/>
  <c r="BF134" i="6" s="1"/>
  <c r="AT134" i="6"/>
  <c r="AF134" i="6"/>
  <c r="AR134" i="6"/>
  <c r="L137" i="6"/>
  <c r="B136" i="6"/>
  <c r="AV134" i="6"/>
  <c r="AK134" i="6"/>
  <c r="BE134" i="6" a="1"/>
  <c r="BE134" i="6" s="1"/>
  <c r="H135" i="6" a="1"/>
  <c r="H135" i="6" s="1"/>
  <c r="T135" i="5" s="1"/>
  <c r="G135" i="12" s="1" a="1"/>
  <c r="G135" i="12" s="1"/>
  <c r="AB134" i="6"/>
  <c r="AM134" i="6"/>
  <c r="AZ134" i="6" a="1"/>
  <c r="AZ134" i="6" s="1"/>
  <c r="AQ134" i="6"/>
  <c r="AP134" i="6"/>
  <c r="AY134" i="6" a="1"/>
  <c r="AY134" i="6" s="1"/>
  <c r="AG134" i="6"/>
  <c r="AH134" i="6"/>
  <c r="AS134" i="6"/>
  <c r="AX134" i="6" a="1"/>
  <c r="AX134" i="6" s="1"/>
  <c r="M135" i="6" l="1"/>
  <c r="AT135" i="6" s="1"/>
  <c r="AE137" i="5" a="1"/>
  <c r="AE137" i="5" s="1"/>
  <c r="AD137" i="5"/>
  <c r="B137" i="5"/>
  <c r="G137" i="5"/>
  <c r="F137" i="5"/>
  <c r="E137" i="5"/>
  <c r="J137" i="5"/>
  <c r="D137" i="5"/>
  <c r="B137" i="12" s="1"/>
  <c r="H137" i="5"/>
  <c r="A137" i="12"/>
  <c r="K137" i="5"/>
  <c r="C138" i="5"/>
  <c r="N137" i="5"/>
  <c r="D137" i="6" s="1"/>
  <c r="K135" i="12"/>
  <c r="H136" i="6" a="1"/>
  <c r="H136" i="6" s="1"/>
  <c r="T136" i="5" s="1"/>
  <c r="G136" i="12" s="1" a="1"/>
  <c r="G136" i="12" s="1"/>
  <c r="L136" i="12" a="1"/>
  <c r="L136" i="12" s="1"/>
  <c r="J136" i="12" a="1"/>
  <c r="J136" i="12" s="1"/>
  <c r="A136" i="6"/>
  <c r="N136" i="6" s="1"/>
  <c r="J136" i="6" a="1"/>
  <c r="J136" i="6" s="1"/>
  <c r="L138" i="6"/>
  <c r="B137" i="6"/>
  <c r="AP135" i="6" l="1"/>
  <c r="AC135" i="6"/>
  <c r="AF135" i="6"/>
  <c r="AH135" i="6"/>
  <c r="AX135" i="6" a="1"/>
  <c r="AX135" i="6" s="1"/>
  <c r="AV135" i="6"/>
  <c r="AJ135" i="6"/>
  <c r="AN135" i="6"/>
  <c r="K136" i="12"/>
  <c r="BE135" i="6" a="1"/>
  <c r="BE135" i="6" s="1"/>
  <c r="AB135" i="6"/>
  <c r="BA135" i="6" a="1"/>
  <c r="BA135" i="6" s="1"/>
  <c r="AQ135" i="6"/>
  <c r="M136" i="6"/>
  <c r="AI136" i="6" s="1"/>
  <c r="AE135" i="6"/>
  <c r="BG135" i="6" a="1"/>
  <c r="BG135" i="6" s="1"/>
  <c r="AK135" i="6"/>
  <c r="AG135" i="6"/>
  <c r="AD135" i="6"/>
  <c r="AU135" i="6"/>
  <c r="AM135" i="6"/>
  <c r="BB135" i="6" a="1"/>
  <c r="BB135" i="6" s="1"/>
  <c r="AZ135" i="6" a="1"/>
  <c r="AZ135" i="6" s="1"/>
  <c r="AY135" i="6" a="1"/>
  <c r="AY135" i="6" s="1"/>
  <c r="AS135" i="6"/>
  <c r="AR135" i="6"/>
  <c r="BC135" i="6" a="1"/>
  <c r="BC135" i="6" s="1"/>
  <c r="BD135" i="6" a="1"/>
  <c r="BD135" i="6" s="1"/>
  <c r="AI135" i="6"/>
  <c r="BF135" i="6" a="1"/>
  <c r="BF135" i="6" s="1"/>
  <c r="AO135" i="6"/>
  <c r="H137" i="6" a="1"/>
  <c r="H137" i="6" s="1"/>
  <c r="T137" i="5" s="1"/>
  <c r="G137" i="12" s="1" a="1"/>
  <c r="G137" i="12" s="1"/>
  <c r="B138" i="5"/>
  <c r="A138" i="12"/>
  <c r="H138" i="5"/>
  <c r="E138" i="5"/>
  <c r="N138" i="5"/>
  <c r="D138" i="6" s="1"/>
  <c r="D138" i="5"/>
  <c r="B138" i="12" s="1"/>
  <c r="J138" i="5"/>
  <c r="AE138" i="5" a="1"/>
  <c r="AE138" i="5" s="1"/>
  <c r="K138" i="5"/>
  <c r="G138" i="5"/>
  <c r="C139" i="5"/>
  <c r="AD138" i="5"/>
  <c r="F138" i="5"/>
  <c r="L139" i="6"/>
  <c r="B138" i="6"/>
  <c r="L137" i="12" a="1"/>
  <c r="L137" i="12" s="1"/>
  <c r="J137" i="12" a="1"/>
  <c r="J137" i="12" s="1"/>
  <c r="A137" i="6"/>
  <c r="N137" i="6" s="1"/>
  <c r="J137" i="6" a="1"/>
  <c r="J137" i="6" s="1"/>
  <c r="BC136" i="6" l="1" a="1"/>
  <c r="BC136" i="6" s="1"/>
  <c r="AQ136" i="6"/>
  <c r="AV136" i="6"/>
  <c r="BE136" i="6" a="1"/>
  <c r="BE136" i="6" s="1"/>
  <c r="BB136" i="6" a="1"/>
  <c r="BB136" i="6" s="1"/>
  <c r="BF136" i="6" a="1"/>
  <c r="BF136" i="6" s="1"/>
  <c r="BA136" i="6" a="1"/>
  <c r="BA136" i="6" s="1"/>
  <c r="AF136" i="6"/>
  <c r="AP136" i="6"/>
  <c r="AJ136" i="6"/>
  <c r="AB136" i="6"/>
  <c r="AX136" i="6" a="1"/>
  <c r="AX136" i="6" s="1"/>
  <c r="AY136" i="6" a="1"/>
  <c r="AY136" i="6" s="1"/>
  <c r="AH136" i="6"/>
  <c r="AZ136" i="6" a="1"/>
  <c r="AZ136" i="6" s="1"/>
  <c r="BG136" i="6" a="1"/>
  <c r="BG136" i="6" s="1"/>
  <c r="AD136" i="6"/>
  <c r="AN136" i="6"/>
  <c r="AR136" i="6"/>
  <c r="AT136" i="6"/>
  <c r="AU136" i="6"/>
  <c r="AG136" i="6"/>
  <c r="BD136" i="6" a="1"/>
  <c r="BD136" i="6" s="1"/>
  <c r="AC136" i="6"/>
  <c r="K137" i="12"/>
  <c r="AE136" i="6"/>
  <c r="AM136" i="6"/>
  <c r="AO136" i="6"/>
  <c r="AK136" i="6"/>
  <c r="AS136" i="6"/>
  <c r="H138" i="6" a="1"/>
  <c r="H138" i="6" s="1"/>
  <c r="T138" i="5" s="1"/>
  <c r="G138" i="12" s="1" a="1"/>
  <c r="G138" i="12" s="1"/>
  <c r="AE139" i="5" a="1"/>
  <c r="AE139" i="5" s="1"/>
  <c r="K139" i="5"/>
  <c r="N139" i="5"/>
  <c r="D139" i="6" s="1"/>
  <c r="G139" i="5"/>
  <c r="B139" i="5"/>
  <c r="C140" i="5" s="1"/>
  <c r="H139" i="5"/>
  <c r="A139" i="12"/>
  <c r="D139" i="5"/>
  <c r="B139" i="12" s="1"/>
  <c r="J139" i="5"/>
  <c r="AD139" i="5"/>
  <c r="F139" i="5"/>
  <c r="E139" i="5"/>
  <c r="J138" i="12" a="1"/>
  <c r="J138" i="12" s="1"/>
  <c r="L138" i="12" a="1"/>
  <c r="L138" i="12" s="1"/>
  <c r="B139" i="6"/>
  <c r="L140" i="6"/>
  <c r="M137" i="6"/>
  <c r="A138" i="6"/>
  <c r="N138" i="6" s="1"/>
  <c r="J138" i="6" a="1"/>
  <c r="J138" i="6" s="1"/>
  <c r="E216" i="12"/>
  <c r="K138" i="12" l="1"/>
  <c r="AO137" i="6"/>
  <c r="AF137" i="6"/>
  <c r="AH137" i="6"/>
  <c r="AM137" i="6"/>
  <c r="BD137" i="6" a="1"/>
  <c r="BD137" i="6" s="1"/>
  <c r="AI137" i="6"/>
  <c r="AK137" i="6"/>
  <c r="AN137" i="6"/>
  <c r="AU137" i="6"/>
  <c r="AQ137" i="6"/>
  <c r="BG137" i="6" a="1"/>
  <c r="BG137" i="6" s="1"/>
  <c r="AG137" i="6"/>
  <c r="AC137" i="6"/>
  <c r="AR137" i="6"/>
  <c r="AE137" i="6"/>
  <c r="AY137" i="6" a="1"/>
  <c r="AY137" i="6" s="1"/>
  <c r="AV137" i="6"/>
  <c r="AZ137" i="6" a="1"/>
  <c r="AZ137" i="6" s="1"/>
  <c r="BE137" i="6" a="1"/>
  <c r="BE137" i="6" s="1"/>
  <c r="AS137" i="6"/>
  <c r="BC137" i="6" a="1"/>
  <c r="BC137" i="6" s="1"/>
  <c r="AX137" i="6" a="1"/>
  <c r="AX137" i="6" s="1"/>
  <c r="AJ137" i="6"/>
  <c r="AB137" i="6"/>
  <c r="AT137" i="6"/>
  <c r="AD137" i="6"/>
  <c r="BF137" i="6" a="1"/>
  <c r="BF137" i="6" s="1"/>
  <c r="BA137" i="6" a="1"/>
  <c r="BA137" i="6" s="1"/>
  <c r="AP137" i="6"/>
  <c r="BB137" i="6" a="1"/>
  <c r="BB137" i="6" s="1"/>
  <c r="H139" i="6" a="1"/>
  <c r="H139" i="6" s="1"/>
  <c r="T139" i="5" s="1"/>
  <c r="G139" i="12" s="1" a="1"/>
  <c r="G139" i="12" s="1"/>
  <c r="L141" i="6"/>
  <c r="B140" i="6"/>
  <c r="F140" i="6"/>
  <c r="J139" i="6" a="1"/>
  <c r="J139" i="6" s="1"/>
  <c r="A139" i="6"/>
  <c r="M139" i="6" s="1"/>
  <c r="AN139" i="6" s="1"/>
  <c r="G140" i="5"/>
  <c r="A140" i="12"/>
  <c r="C141" i="5"/>
  <c r="I140" i="5"/>
  <c r="N140" i="5"/>
  <c r="D140" i="6" s="1"/>
  <c r="F140" i="5"/>
  <c r="B140" i="5"/>
  <c r="AF140" i="5" a="1"/>
  <c r="AF140" i="5" s="1"/>
  <c r="H140" i="5"/>
  <c r="AD140" i="5"/>
  <c r="E140" i="5"/>
  <c r="W140" i="5" a="1"/>
  <c r="W140" i="5" s="1"/>
  <c r="H140" i="12" s="1" a="1"/>
  <c r="H140" i="12" s="1"/>
  <c r="AE140" i="5" a="1"/>
  <c r="AE140" i="5" s="1"/>
  <c r="M138" i="6"/>
  <c r="J139" i="12" a="1"/>
  <c r="J139" i="12" s="1"/>
  <c r="L139" i="12" a="1"/>
  <c r="L139" i="12" s="1"/>
  <c r="E223" i="12"/>
  <c r="K139" i="12" l="1"/>
  <c r="AQ139" i="6"/>
  <c r="AH139" i="6"/>
  <c r="AZ139" i="6" a="1"/>
  <c r="AZ139" i="6" s="1"/>
  <c r="AB138" i="6"/>
  <c r="AD138" i="6"/>
  <c r="AM138" i="6"/>
  <c r="AS138" i="6"/>
  <c r="AC138" i="6"/>
  <c r="BB138" i="6" a="1"/>
  <c r="BB138" i="6" s="1"/>
  <c r="AJ138" i="6"/>
  <c r="AK138" i="6"/>
  <c r="AO138" i="6"/>
  <c r="AP138" i="6"/>
  <c r="AU138" i="6"/>
  <c r="AE138" i="6"/>
  <c r="AV138" i="6"/>
  <c r="AQ138" i="6"/>
  <c r="AG138" i="6"/>
  <c r="AH138" i="6"/>
  <c r="BG138" i="6" a="1"/>
  <c r="BG138" i="6" s="1"/>
  <c r="AF138" i="6"/>
  <c r="AI138" i="6"/>
  <c r="AX138" i="6" a="1"/>
  <c r="AX138" i="6" s="1"/>
  <c r="BA138" i="6" a="1"/>
  <c r="BA138" i="6" s="1"/>
  <c r="AN138" i="6"/>
  <c r="BE138" i="6" a="1"/>
  <c r="BE138" i="6" s="1"/>
  <c r="AY138" i="6" a="1"/>
  <c r="AY138" i="6" s="1"/>
  <c r="BC138" i="6" a="1"/>
  <c r="BC138" i="6" s="1"/>
  <c r="AZ138" i="6" a="1"/>
  <c r="AZ138" i="6" s="1"/>
  <c r="AR138" i="6"/>
  <c r="BD138" i="6" a="1"/>
  <c r="BD138" i="6" s="1"/>
  <c r="AT138" i="6"/>
  <c r="BF138" i="6" a="1"/>
  <c r="BF138" i="6" s="1"/>
  <c r="AC139" i="6"/>
  <c r="AV139" i="6"/>
  <c r="M140" i="6"/>
  <c r="AM140" i="6" s="1"/>
  <c r="G140" i="6"/>
  <c r="N140" i="6"/>
  <c r="H140" i="6" a="1"/>
  <c r="H140" i="6" s="1"/>
  <c r="T140" i="5" s="1"/>
  <c r="G140" i="12" s="1" a="1"/>
  <c r="G140" i="12" s="1"/>
  <c r="AT139" i="6"/>
  <c r="J140" i="6" a="1"/>
  <c r="J140" i="6" s="1"/>
  <c r="A140" i="6"/>
  <c r="L142" i="6"/>
  <c r="B141" i="6"/>
  <c r="AU139" i="6"/>
  <c r="AE139" i="6"/>
  <c r="N139" i="6"/>
  <c r="AI139" i="6"/>
  <c r="BE139" i="6" a="1"/>
  <c r="BE139" i="6" s="1"/>
  <c r="BA139" i="6" a="1"/>
  <c r="BA139" i="6" s="1"/>
  <c r="BD139" i="6" a="1"/>
  <c r="BD139" i="6" s="1"/>
  <c r="AM139" i="6"/>
  <c r="BB139" i="6" a="1"/>
  <c r="BB139" i="6" s="1"/>
  <c r="AS139" i="6"/>
  <c r="AO139" i="6"/>
  <c r="A141" i="12"/>
  <c r="J141" i="5"/>
  <c r="C142" i="5"/>
  <c r="F141" i="5"/>
  <c r="AD141" i="5"/>
  <c r="N141" i="5"/>
  <c r="D141" i="6" s="1"/>
  <c r="E141" i="5"/>
  <c r="AE141" i="5" a="1"/>
  <c r="AE141" i="5" s="1"/>
  <c r="K141" i="5"/>
  <c r="G141" i="5"/>
  <c r="B141" i="5"/>
  <c r="D141" i="5"/>
  <c r="B141" i="12" s="1"/>
  <c r="H141" i="5"/>
  <c r="AG139" i="6"/>
  <c r="AX139" i="6" a="1"/>
  <c r="AX139" i="6" s="1"/>
  <c r="AP139" i="6"/>
  <c r="AK139" i="6"/>
  <c r="AY139" i="6" a="1"/>
  <c r="AY139" i="6" s="1"/>
  <c r="BG139" i="6" a="1"/>
  <c r="BG139" i="6" s="1"/>
  <c r="BF139" i="6" a="1"/>
  <c r="BF139" i="6" s="1"/>
  <c r="AB139" i="6"/>
  <c r="AD139" i="6"/>
  <c r="S140" i="5" a="1"/>
  <c r="S140" i="5" s="1"/>
  <c r="F140" i="12" s="1" a="1"/>
  <c r="F140" i="12" s="1"/>
  <c r="AG140" i="5" a="1"/>
  <c r="AG140" i="5" s="1"/>
  <c r="BC139" i="6" a="1"/>
  <c r="BC139" i="6" s="1"/>
  <c r="AR139" i="6"/>
  <c r="AJ139" i="6"/>
  <c r="AF139" i="6"/>
  <c r="BG140" i="6" l="1" a="1"/>
  <c r="BG140" i="6" s="1"/>
  <c r="AU140" i="6"/>
  <c r="BC140" i="6" a="1"/>
  <c r="BC140" i="6" s="1"/>
  <c r="AY140" i="6" a="1"/>
  <c r="AY140" i="6" s="1"/>
  <c r="AJ140" i="6"/>
  <c r="AP140" i="6"/>
  <c r="AI140" i="6"/>
  <c r="AR140" i="6"/>
  <c r="AE140" i="6"/>
  <c r="AC140" i="6"/>
  <c r="AF140" i="6"/>
  <c r="AO140" i="6"/>
  <c r="AZ140" i="6" a="1"/>
  <c r="AZ140" i="6" s="1"/>
  <c r="BE140" i="6" a="1"/>
  <c r="BE140" i="6" s="1"/>
  <c r="AS140" i="6"/>
  <c r="AH140" i="6"/>
  <c r="BB140" i="6" a="1"/>
  <c r="BB140" i="6" s="1"/>
  <c r="BD140" i="6" a="1"/>
  <c r="BD140" i="6" s="1"/>
  <c r="AX140" i="6" a="1"/>
  <c r="AX140" i="6" s="1"/>
  <c r="AG140" i="6"/>
  <c r="H141" i="6" a="1"/>
  <c r="H141" i="6" s="1"/>
  <c r="T141" i="5" s="1"/>
  <c r="G141" i="12" s="1" a="1"/>
  <c r="G141" i="12" s="1"/>
  <c r="BF140" i="6" a="1"/>
  <c r="BF140" i="6" s="1"/>
  <c r="AV140" i="6"/>
  <c r="G142" i="5"/>
  <c r="J142" i="5"/>
  <c r="E142" i="5"/>
  <c r="AD142" i="5"/>
  <c r="F142" i="5"/>
  <c r="K142" i="5"/>
  <c r="H142" i="5"/>
  <c r="C143" i="5"/>
  <c r="D142" i="5"/>
  <c r="B142" i="12" s="1"/>
  <c r="A142" i="12"/>
  <c r="AE142" i="5" a="1"/>
  <c r="AE142" i="5" s="1"/>
  <c r="B142" i="5"/>
  <c r="N142" i="5"/>
  <c r="D142" i="6" s="1"/>
  <c r="BA140" i="6" a="1"/>
  <c r="BA140" i="6" s="1"/>
  <c r="B142" i="6"/>
  <c r="L143" i="6"/>
  <c r="AN140" i="6"/>
  <c r="AT140" i="6"/>
  <c r="L141" i="12" a="1"/>
  <c r="L141" i="12" s="1"/>
  <c r="J141" i="12" a="1"/>
  <c r="J141" i="12" s="1"/>
  <c r="AB140" i="6"/>
  <c r="A141" i="6"/>
  <c r="N141" i="6" s="1"/>
  <c r="J141" i="6" a="1"/>
  <c r="J141" i="6" s="1"/>
  <c r="AQ140" i="6"/>
  <c r="AK140" i="6"/>
  <c r="AD140" i="6"/>
  <c r="M141" i="6" l="1"/>
  <c r="AI141" i="6" s="1"/>
  <c r="G143" i="5"/>
  <c r="C144" i="5"/>
  <c r="E143" i="5"/>
  <c r="F143" i="5"/>
  <c r="AE143" i="5" a="1"/>
  <c r="AE143" i="5" s="1"/>
  <c r="A143" i="12"/>
  <c r="J143" i="5"/>
  <c r="AD143" i="5"/>
  <c r="N143" i="5"/>
  <c r="D143" i="6" s="1"/>
  <c r="B143" i="5"/>
  <c r="D143" i="5"/>
  <c r="B143" i="12" s="1"/>
  <c r="K143" i="5"/>
  <c r="H143" i="5"/>
  <c r="B143" i="6"/>
  <c r="L144" i="6"/>
  <c r="A142" i="6"/>
  <c r="N142" i="6" s="1"/>
  <c r="J142" i="6" a="1"/>
  <c r="J142" i="6" s="1"/>
  <c r="L142" i="12" a="1"/>
  <c r="L142" i="12" s="1"/>
  <c r="J142" i="12" a="1"/>
  <c r="J142" i="12" s="1"/>
  <c r="H142" i="6" a="1"/>
  <c r="H142" i="6" s="1"/>
  <c r="T142" i="5" s="1"/>
  <c r="G142" i="12" s="1" a="1"/>
  <c r="G142" i="12" s="1"/>
  <c r="K141" i="12"/>
  <c r="AQ141" i="6" l="1"/>
  <c r="AR141" i="6"/>
  <c r="AZ141" i="6" a="1"/>
  <c r="AZ141" i="6" s="1"/>
  <c r="BB141" i="6" a="1"/>
  <c r="BB141" i="6" s="1"/>
  <c r="BE141" i="6" a="1"/>
  <c r="BE141" i="6" s="1"/>
  <c r="AX141" i="6" a="1"/>
  <c r="AX141" i="6" s="1"/>
  <c r="AY141" i="6" a="1"/>
  <c r="AY141" i="6" s="1"/>
  <c r="AT141" i="6"/>
  <c r="AK141" i="6"/>
  <c r="AE141" i="6"/>
  <c r="M142" i="6"/>
  <c r="AF142" i="6" s="1"/>
  <c r="AN141" i="6"/>
  <c r="AC141" i="6"/>
  <c r="AH141" i="6"/>
  <c r="AS141" i="6"/>
  <c r="AU141" i="6"/>
  <c r="BF141" i="6" a="1"/>
  <c r="BF141" i="6" s="1"/>
  <c r="AP141" i="6"/>
  <c r="AM141" i="6"/>
  <c r="BA141" i="6" a="1"/>
  <c r="BA141" i="6" s="1"/>
  <c r="AD141" i="6"/>
  <c r="BG141" i="6" a="1"/>
  <c r="BG141" i="6" s="1"/>
  <c r="AV141" i="6"/>
  <c r="BD141" i="6" a="1"/>
  <c r="BD141" i="6" s="1"/>
  <c r="BC141" i="6" a="1"/>
  <c r="BC141" i="6" s="1"/>
  <c r="AJ141" i="6"/>
  <c r="AG141" i="6"/>
  <c r="AB141" i="6"/>
  <c r="AO141" i="6"/>
  <c r="AF141" i="6"/>
  <c r="A143" i="6"/>
  <c r="M143" i="6" s="1"/>
  <c r="AR143" i="6" s="1"/>
  <c r="J143" i="6" a="1"/>
  <c r="J143" i="6" s="1"/>
  <c r="H143" i="6" a="1"/>
  <c r="H143" i="6" s="1"/>
  <c r="T143" i="5" s="1"/>
  <c r="G143" i="12" s="1" a="1"/>
  <c r="G143" i="12" s="1"/>
  <c r="L143" i="12" a="1"/>
  <c r="L143" i="12" s="1"/>
  <c r="J143" i="12" a="1"/>
  <c r="J143" i="12" s="1"/>
  <c r="K142" i="12"/>
  <c r="AD144" i="5"/>
  <c r="B144" i="5"/>
  <c r="D144" i="5"/>
  <c r="B144" i="12" s="1"/>
  <c r="H144" i="5"/>
  <c r="G144" i="5"/>
  <c r="AE144" i="5" a="1"/>
  <c r="AE144" i="5" s="1"/>
  <c r="E144" i="5"/>
  <c r="F144" i="5"/>
  <c r="A144" i="12"/>
  <c r="C145" i="5"/>
  <c r="K144" i="5"/>
  <c r="J144" i="5"/>
  <c r="N144" i="5"/>
  <c r="D144" i="6" s="1"/>
  <c r="L145" i="6"/>
  <c r="B144" i="6"/>
  <c r="BG142" i="6" l="1" a="1"/>
  <c r="BG142" i="6" s="1"/>
  <c r="AX142" i="6" a="1"/>
  <c r="AX142" i="6" s="1"/>
  <c r="BF142" i="6" a="1"/>
  <c r="BF142" i="6" s="1"/>
  <c r="BC142" i="6" a="1"/>
  <c r="BC142" i="6" s="1"/>
  <c r="AP142" i="6"/>
  <c r="AQ142" i="6"/>
  <c r="AI142" i="6"/>
  <c r="AM142" i="6"/>
  <c r="AE142" i="6"/>
  <c r="AY142" i="6" a="1"/>
  <c r="AY142" i="6" s="1"/>
  <c r="AO142" i="6"/>
  <c r="AC142" i="6"/>
  <c r="BD142" i="6" a="1"/>
  <c r="BD142" i="6" s="1"/>
  <c r="BA142" i="6" a="1"/>
  <c r="BA142" i="6" s="1"/>
  <c r="AT142" i="6"/>
  <c r="AZ142" i="6" a="1"/>
  <c r="AZ142" i="6" s="1"/>
  <c r="AK142" i="6"/>
  <c r="AU142" i="6"/>
  <c r="AJ142" i="6"/>
  <c r="AN142" i="6"/>
  <c r="AB142" i="6"/>
  <c r="AR142" i="6"/>
  <c r="AG142" i="6"/>
  <c r="AS142" i="6"/>
  <c r="AH142" i="6"/>
  <c r="BE142" i="6" a="1"/>
  <c r="BE142" i="6" s="1"/>
  <c r="AD142" i="6"/>
  <c r="BB142" i="6" a="1"/>
  <c r="BB142" i="6" s="1"/>
  <c r="AV142" i="6"/>
  <c r="AQ143" i="6"/>
  <c r="AX143" i="6" a="1"/>
  <c r="AX143" i="6" s="1"/>
  <c r="BF143" i="6" a="1"/>
  <c r="BF143" i="6" s="1"/>
  <c r="K143" i="12"/>
  <c r="BC143" i="6" a="1"/>
  <c r="BC143" i="6" s="1"/>
  <c r="AN143" i="6"/>
  <c r="AP143" i="6"/>
  <c r="BE143" i="6" a="1"/>
  <c r="BE143" i="6" s="1"/>
  <c r="AD143" i="6"/>
  <c r="AH143" i="6"/>
  <c r="H144" i="6" a="1"/>
  <c r="H144" i="6" s="1"/>
  <c r="T144" i="5" s="1"/>
  <c r="G144" i="12" s="1" a="1"/>
  <c r="G144" i="12" s="1"/>
  <c r="AM143" i="6"/>
  <c r="AS143" i="6"/>
  <c r="AG143" i="6"/>
  <c r="BD143" i="6" a="1"/>
  <c r="BD143" i="6" s="1"/>
  <c r="E145" i="5"/>
  <c r="AD145" i="5"/>
  <c r="D145" i="5"/>
  <c r="B145" i="12" s="1"/>
  <c r="K145" i="5"/>
  <c r="H145" i="5"/>
  <c r="C146" i="5"/>
  <c r="B145" i="5"/>
  <c r="F145" i="5"/>
  <c r="J145" i="5"/>
  <c r="G145" i="5"/>
  <c r="AE145" i="5" a="1"/>
  <c r="AE145" i="5" s="1"/>
  <c r="A145" i="12"/>
  <c r="N145" i="5"/>
  <c r="D145" i="6" s="1"/>
  <c r="BA143" i="6" a="1"/>
  <c r="BA143" i="6" s="1"/>
  <c r="J144" i="6" a="1"/>
  <c r="J144" i="6" s="1"/>
  <c r="A144" i="6"/>
  <c r="M144" i="6" s="1"/>
  <c r="BA144" i="6" s="1" a="1"/>
  <c r="BA144" i="6" s="1"/>
  <c r="L146" i="6"/>
  <c r="B145" i="6"/>
  <c r="AE143" i="6"/>
  <c r="AO143" i="6"/>
  <c r="AB143" i="6"/>
  <c r="AY143" i="6" a="1"/>
  <c r="AY143" i="6" s="1"/>
  <c r="N143" i="6"/>
  <c r="AK143" i="6"/>
  <c r="J144" i="12" a="1"/>
  <c r="J144" i="12" s="1"/>
  <c r="L144" i="12" a="1"/>
  <c r="L144" i="12" s="1"/>
  <c r="AC143" i="6"/>
  <c r="AT143" i="6"/>
  <c r="AU143" i="6"/>
  <c r="AF143" i="6"/>
  <c r="AZ143" i="6" a="1"/>
  <c r="AZ143" i="6" s="1"/>
  <c r="AI143" i="6"/>
  <c r="BG143" i="6" a="1"/>
  <c r="BG143" i="6" s="1"/>
  <c r="AV143" i="6"/>
  <c r="BB143" i="6" a="1"/>
  <c r="BB143" i="6" s="1"/>
  <c r="AJ143" i="6"/>
  <c r="BD144" i="6" l="1" a="1"/>
  <c r="BD144" i="6" s="1"/>
  <c r="AX144" i="6" a="1"/>
  <c r="AX144" i="6" s="1"/>
  <c r="AY144" i="6" a="1"/>
  <c r="AY144" i="6" s="1"/>
  <c r="AJ144" i="6"/>
  <c r="BG144" i="6" a="1"/>
  <c r="BG144" i="6" s="1"/>
  <c r="K144" i="12"/>
  <c r="BF144" i="6" a="1"/>
  <c r="BF144" i="6" s="1"/>
  <c r="AT144" i="6"/>
  <c r="AC144" i="6"/>
  <c r="AD144" i="6"/>
  <c r="AM144" i="6"/>
  <c r="AO144" i="6"/>
  <c r="BE144" i="6" a="1"/>
  <c r="BE144" i="6" s="1"/>
  <c r="AS144" i="6"/>
  <c r="AI144" i="6"/>
  <c r="BB144" i="6" a="1"/>
  <c r="BB144" i="6" s="1"/>
  <c r="BC144" i="6" a="1"/>
  <c r="BC144" i="6" s="1"/>
  <c r="AN144" i="6"/>
  <c r="AG144" i="6"/>
  <c r="N144" i="6"/>
  <c r="AF144" i="6"/>
  <c r="H145" i="6" a="1"/>
  <c r="H145" i="6" s="1"/>
  <c r="T145" i="5" s="1"/>
  <c r="G145" i="12" s="1" a="1"/>
  <c r="G145" i="12" s="1"/>
  <c r="J145" i="12" a="1"/>
  <c r="J145" i="12" s="1"/>
  <c r="L145" i="12" a="1"/>
  <c r="L145" i="12" s="1"/>
  <c r="A145" i="6"/>
  <c r="N145" i="6" s="1"/>
  <c r="J145" i="6" a="1"/>
  <c r="J145" i="6" s="1"/>
  <c r="AU144" i="6"/>
  <c r="AB144" i="6"/>
  <c r="F146" i="5"/>
  <c r="G146" i="5"/>
  <c r="H146" i="5"/>
  <c r="D146" i="5"/>
  <c r="B146" i="12" s="1"/>
  <c r="AD146" i="5"/>
  <c r="C147" i="5"/>
  <c r="N146" i="5"/>
  <c r="D146" i="6" s="1"/>
  <c r="J146" i="5"/>
  <c r="E146" i="5"/>
  <c r="B146" i="5"/>
  <c r="A146" i="12"/>
  <c r="K146" i="5"/>
  <c r="AE146" i="5" a="1"/>
  <c r="AE146" i="5" s="1"/>
  <c r="L147" i="6"/>
  <c r="B146" i="6"/>
  <c r="AV144" i="6"/>
  <c r="AE144" i="6"/>
  <c r="AQ144" i="6"/>
  <c r="AR144" i="6"/>
  <c r="AH144" i="6"/>
  <c r="AZ144" i="6" a="1"/>
  <c r="AZ144" i="6" s="1"/>
  <c r="AP144" i="6"/>
  <c r="AK144" i="6"/>
  <c r="K145" i="12" l="1"/>
  <c r="M145" i="6"/>
  <c r="AG145" i="6" s="1"/>
  <c r="A146" i="6"/>
  <c r="M146" i="6" s="1"/>
  <c r="AS146" i="6" s="1"/>
  <c r="J146" i="6" a="1"/>
  <c r="J146" i="6" s="1"/>
  <c r="H146" i="6" a="1"/>
  <c r="H146" i="6" s="1"/>
  <c r="T146" i="5" s="1"/>
  <c r="G146" i="12" s="1" a="1"/>
  <c r="G146" i="12" s="1"/>
  <c r="B147" i="6"/>
  <c r="L148" i="6"/>
  <c r="L146" i="12" a="1"/>
  <c r="L146" i="12" s="1"/>
  <c r="J146" i="12" a="1"/>
  <c r="J146" i="12" s="1"/>
  <c r="C148" i="5"/>
  <c r="K147" i="5"/>
  <c r="F147" i="5"/>
  <c r="N147" i="5"/>
  <c r="D147" i="6" s="1"/>
  <c r="E147" i="5"/>
  <c r="H147" i="5"/>
  <c r="A147" i="12"/>
  <c r="AD147" i="5"/>
  <c r="AE147" i="5" a="1"/>
  <c r="AE147" i="5" s="1"/>
  <c r="J147" i="5"/>
  <c r="B147" i="5"/>
  <c r="D147" i="5"/>
  <c r="B147" i="12" s="1"/>
  <c r="G147" i="5"/>
  <c r="E226" i="12"/>
  <c r="AP145" i="6" l="1"/>
  <c r="AT145" i="6"/>
  <c r="AH145" i="6"/>
  <c r="AK145" i="6"/>
  <c r="AS145" i="6"/>
  <c r="AM145" i="6"/>
  <c r="AJ145" i="6"/>
  <c r="AQ145" i="6"/>
  <c r="AF145" i="6"/>
  <c r="AC145" i="6"/>
  <c r="BB145" i="6" a="1"/>
  <c r="BB145" i="6" s="1"/>
  <c r="AY145" i="6" a="1"/>
  <c r="AY145" i="6" s="1"/>
  <c r="BE145" i="6" a="1"/>
  <c r="BE145" i="6" s="1"/>
  <c r="AB145" i="6"/>
  <c r="BA146" i="6" a="1"/>
  <c r="BA146" i="6" s="1"/>
  <c r="AK146" i="6"/>
  <c r="AV146" i="6"/>
  <c r="AU146" i="6"/>
  <c r="N146" i="6"/>
  <c r="AR146" i="6"/>
  <c r="AD146" i="6"/>
  <c r="AI146" i="6"/>
  <c r="AP146" i="6"/>
  <c r="AJ146" i="6"/>
  <c r="BA145" i="6" a="1"/>
  <c r="BA145" i="6" s="1"/>
  <c r="AR145" i="6"/>
  <c r="AU145" i="6"/>
  <c r="AO145" i="6"/>
  <c r="BD145" i="6" a="1"/>
  <c r="BD145" i="6" s="1"/>
  <c r="BF145" i="6" a="1"/>
  <c r="BF145" i="6" s="1"/>
  <c r="BC145" i="6" a="1"/>
  <c r="BC145" i="6" s="1"/>
  <c r="AN145" i="6"/>
  <c r="AD145" i="6"/>
  <c r="AI145" i="6"/>
  <c r="AE145" i="6"/>
  <c r="AV145" i="6"/>
  <c r="BG145" i="6" a="1"/>
  <c r="BG145" i="6" s="1"/>
  <c r="AX145" i="6" a="1"/>
  <c r="AX145" i="6" s="1"/>
  <c r="AZ145" i="6" a="1"/>
  <c r="AZ145" i="6" s="1"/>
  <c r="AQ146" i="6"/>
  <c r="AY146" i="6" a="1"/>
  <c r="AY146" i="6" s="1"/>
  <c r="J147" i="12" a="1"/>
  <c r="J147" i="12" s="1"/>
  <c r="L147" i="12" a="1"/>
  <c r="L147" i="12" s="1"/>
  <c r="AM146" i="6"/>
  <c r="AB146" i="6"/>
  <c r="AG146" i="6"/>
  <c r="AX146" i="6" a="1"/>
  <c r="AX146" i="6" s="1"/>
  <c r="A147" i="6"/>
  <c r="N147" i="6" s="1"/>
  <c r="J147" i="6" a="1"/>
  <c r="J147" i="6" s="1"/>
  <c r="AH146" i="6"/>
  <c r="K146" i="12"/>
  <c r="N148" i="5"/>
  <c r="D148" i="6" s="1"/>
  <c r="A148" i="12"/>
  <c r="K148" i="5"/>
  <c r="J148" i="5"/>
  <c r="AE148" i="5" a="1"/>
  <c r="AE148" i="5" s="1"/>
  <c r="F148" i="5"/>
  <c r="C149" i="5"/>
  <c r="H148" i="5"/>
  <c r="D148" i="5"/>
  <c r="B148" i="12" s="1"/>
  <c r="B148" i="5"/>
  <c r="AD148" i="5"/>
  <c r="G148" i="5"/>
  <c r="E148" i="5"/>
  <c r="AZ146" i="6" a="1"/>
  <c r="AZ146" i="6" s="1"/>
  <c r="L149" i="6"/>
  <c r="B148" i="6"/>
  <c r="AT146" i="6"/>
  <c r="AE146" i="6"/>
  <c r="BE146" i="6" a="1"/>
  <c r="BE146" i="6" s="1"/>
  <c r="BC146" i="6" a="1"/>
  <c r="BC146" i="6" s="1"/>
  <c r="BG146" i="6" a="1"/>
  <c r="BG146" i="6" s="1"/>
  <c r="BD146" i="6" a="1"/>
  <c r="BD146" i="6" s="1"/>
  <c r="AN146" i="6"/>
  <c r="BF146" i="6" a="1"/>
  <c r="BF146" i="6" s="1"/>
  <c r="AC146" i="6"/>
  <c r="H147" i="6" a="1"/>
  <c r="H147" i="6" s="1"/>
  <c r="T147" i="5" s="1"/>
  <c r="G147" i="12" s="1" a="1"/>
  <c r="G147" i="12" s="1"/>
  <c r="AF146" i="6"/>
  <c r="BB146" i="6" a="1"/>
  <c r="BB146" i="6" s="1"/>
  <c r="AO146" i="6"/>
  <c r="E227" i="12"/>
  <c r="K147" i="12" l="1"/>
  <c r="J148" i="6" a="1"/>
  <c r="J148" i="6" s="1"/>
  <c r="A148" i="6"/>
  <c r="M148" i="6" s="1"/>
  <c r="BD148" i="6" s="1" a="1"/>
  <c r="BD148" i="6" s="1"/>
  <c r="M147" i="6"/>
  <c r="B149" i="6"/>
  <c r="L150" i="6"/>
  <c r="J148" i="12" a="1"/>
  <c r="J148" i="12" s="1"/>
  <c r="L148" i="12" a="1"/>
  <c r="L148" i="12" s="1"/>
  <c r="H148" i="6" a="1"/>
  <c r="H148" i="6" s="1"/>
  <c r="T148" i="5" s="1"/>
  <c r="G148" i="12" s="1" a="1"/>
  <c r="G148" i="12" s="1"/>
  <c r="A149" i="12"/>
  <c r="N149" i="5"/>
  <c r="D149" i="6" s="1"/>
  <c r="B149" i="5"/>
  <c r="F149" i="5"/>
  <c r="AD149" i="5"/>
  <c r="AE149" i="5" a="1"/>
  <c r="AE149" i="5" s="1"/>
  <c r="G149" i="5"/>
  <c r="J149" i="5"/>
  <c r="E149" i="5"/>
  <c r="K149" i="5"/>
  <c r="C150" i="5"/>
  <c r="D149" i="5"/>
  <c r="B149" i="12" s="1"/>
  <c r="H149" i="5"/>
  <c r="N148" i="6" l="1"/>
  <c r="AF148" i="6"/>
  <c r="AU148" i="6"/>
  <c r="BE148" i="6" a="1"/>
  <c r="BE148" i="6" s="1"/>
  <c r="B150" i="6"/>
  <c r="L151" i="6"/>
  <c r="AC148" i="6"/>
  <c r="AT148" i="6"/>
  <c r="BB148" i="6" a="1"/>
  <c r="BB148" i="6" s="1"/>
  <c r="AR148" i="6"/>
  <c r="AX148" i="6" a="1"/>
  <c r="AX148" i="6" s="1"/>
  <c r="AE148" i="6"/>
  <c r="AY148" i="6" a="1"/>
  <c r="AY148" i="6" s="1"/>
  <c r="AS148" i="6"/>
  <c r="AZ148" i="6" a="1"/>
  <c r="AZ148" i="6" s="1"/>
  <c r="AJ148" i="6"/>
  <c r="AB147" i="6"/>
  <c r="BB147" i="6" a="1"/>
  <c r="BB147" i="6" s="1"/>
  <c r="AK147" i="6"/>
  <c r="AC147" i="6"/>
  <c r="AO147" i="6"/>
  <c r="AQ147" i="6"/>
  <c r="AG147" i="6"/>
  <c r="AP147" i="6"/>
  <c r="AR147" i="6"/>
  <c r="BC147" i="6" a="1"/>
  <c r="BC147" i="6" s="1"/>
  <c r="AE147" i="6"/>
  <c r="BA147" i="6" a="1"/>
  <c r="BA147" i="6" s="1"/>
  <c r="AH147" i="6"/>
  <c r="AJ147" i="6"/>
  <c r="BG147" i="6" a="1"/>
  <c r="BG147" i="6" s="1"/>
  <c r="BD147" i="6" a="1"/>
  <c r="BD147" i="6" s="1"/>
  <c r="AT147" i="6"/>
  <c r="AZ147" i="6" a="1"/>
  <c r="AZ147" i="6" s="1"/>
  <c r="AX147" i="6" a="1"/>
  <c r="AX147" i="6" s="1"/>
  <c r="AN147" i="6"/>
  <c r="AU147" i="6"/>
  <c r="AF147" i="6"/>
  <c r="AY147" i="6" a="1"/>
  <c r="AY147" i="6" s="1"/>
  <c r="AI147" i="6"/>
  <c r="AD147" i="6"/>
  <c r="AS147" i="6"/>
  <c r="BE147" i="6" a="1"/>
  <c r="BE147" i="6" s="1"/>
  <c r="AV147" i="6"/>
  <c r="AM147" i="6"/>
  <c r="BF147" i="6" a="1"/>
  <c r="BF147" i="6" s="1"/>
  <c r="D150" i="5"/>
  <c r="B150" i="12" s="1"/>
  <c r="AE150" i="5" a="1"/>
  <c r="AE150" i="5" s="1"/>
  <c r="G150" i="5"/>
  <c r="K150" i="5"/>
  <c r="H150" i="5"/>
  <c r="AD150" i="5"/>
  <c r="E150" i="5"/>
  <c r="B150" i="5"/>
  <c r="J150" i="5"/>
  <c r="A150" i="12"/>
  <c r="F150" i="5"/>
  <c r="N150" i="5"/>
  <c r="D150" i="6" s="1"/>
  <c r="C151" i="5"/>
  <c r="AG148" i="6"/>
  <c r="AV148" i="6"/>
  <c r="AH148" i="6"/>
  <c r="AP148" i="6"/>
  <c r="BC148" i="6" a="1"/>
  <c r="BC148" i="6" s="1"/>
  <c r="AI148" i="6"/>
  <c r="BF148" i="6" a="1"/>
  <c r="BF148" i="6" s="1"/>
  <c r="AO148" i="6"/>
  <c r="AB148" i="6"/>
  <c r="H149" i="6" a="1"/>
  <c r="H149" i="6" s="1"/>
  <c r="T149" i="5" s="1"/>
  <c r="G149" i="12" s="1" a="1"/>
  <c r="G149" i="12" s="1"/>
  <c r="AM148" i="6"/>
  <c r="J149" i="12" a="1"/>
  <c r="J149" i="12" s="1"/>
  <c r="L149" i="12" a="1"/>
  <c r="L149" i="12" s="1"/>
  <c r="BG148" i="6" a="1"/>
  <c r="BG148" i="6" s="1"/>
  <c r="BA148" i="6" a="1"/>
  <c r="BA148" i="6" s="1"/>
  <c r="AD148" i="6"/>
  <c r="A149" i="6"/>
  <c r="M149" i="6" s="1"/>
  <c r="AT149" i="6" s="1"/>
  <c r="J149" i="6" a="1"/>
  <c r="J149" i="6" s="1"/>
  <c r="AK148" i="6"/>
  <c r="AQ148" i="6"/>
  <c r="AN148" i="6"/>
  <c r="K148" i="12"/>
  <c r="E230" i="12"/>
  <c r="AA68" i="8"/>
  <c r="K149" i="12" l="1"/>
  <c r="BA149" i="6" a="1"/>
  <c r="BA149" i="6" s="1"/>
  <c r="N149" i="6"/>
  <c r="AC149" i="6"/>
  <c r="BB149" i="6" a="1"/>
  <c r="BB149" i="6" s="1"/>
  <c r="AD151" i="5"/>
  <c r="K151" i="5"/>
  <c r="N151" i="5"/>
  <c r="D151" i="6" s="1"/>
  <c r="G151" i="5"/>
  <c r="F151" i="5"/>
  <c r="D151" i="5"/>
  <c r="B151" i="12" s="1"/>
  <c r="J151" i="5"/>
  <c r="H151" i="5"/>
  <c r="B151" i="5"/>
  <c r="E151" i="5"/>
  <c r="A151" i="12"/>
  <c r="C152" i="5"/>
  <c r="AE151" i="5" a="1"/>
  <c r="AE151" i="5" s="1"/>
  <c r="J150" i="12" a="1"/>
  <c r="J150" i="12" s="1"/>
  <c r="L150" i="12" a="1"/>
  <c r="L150" i="12" s="1"/>
  <c r="AS149" i="6"/>
  <c r="BC149" i="6" a="1"/>
  <c r="BC149" i="6" s="1"/>
  <c r="AQ149" i="6"/>
  <c r="AJ149" i="6"/>
  <c r="AD149" i="6"/>
  <c r="BD149" i="6" a="1"/>
  <c r="BD149" i="6" s="1"/>
  <c r="AH149" i="6"/>
  <c r="BE149" i="6" a="1"/>
  <c r="BE149" i="6" s="1"/>
  <c r="AV149" i="6"/>
  <c r="AZ149" i="6" a="1"/>
  <c r="AZ149" i="6" s="1"/>
  <c r="AX149" i="6" a="1"/>
  <c r="AX149" i="6" s="1"/>
  <c r="AB149" i="6"/>
  <c r="AK149" i="6"/>
  <c r="B151" i="6"/>
  <c r="L152" i="6"/>
  <c r="BG149" i="6" a="1"/>
  <c r="BG149" i="6" s="1"/>
  <c r="AO149" i="6"/>
  <c r="BF149" i="6" a="1"/>
  <c r="BF149" i="6" s="1"/>
  <c r="H150" i="6" a="1"/>
  <c r="H150" i="6" s="1"/>
  <c r="T150" i="5" s="1"/>
  <c r="G150" i="12" s="1" a="1"/>
  <c r="G150" i="12" s="1"/>
  <c r="AF149" i="6"/>
  <c r="A150" i="6"/>
  <c r="N150" i="6" s="1"/>
  <c r="J150" i="6" a="1"/>
  <c r="J150" i="6" s="1"/>
  <c r="AU149" i="6"/>
  <c r="AM149" i="6"/>
  <c r="AR149" i="6"/>
  <c r="AE149" i="6"/>
  <c r="AY149" i="6" a="1"/>
  <c r="AY149" i="6" s="1"/>
  <c r="AG149" i="6"/>
  <c r="AP149" i="6"/>
  <c r="AN149" i="6"/>
  <c r="AI149" i="6"/>
  <c r="M150" i="6" l="1"/>
  <c r="AB150" i="6" s="1"/>
  <c r="K150" i="12"/>
  <c r="J151" i="12" a="1"/>
  <c r="J151" i="12" s="1"/>
  <c r="L151" i="12" a="1"/>
  <c r="L151" i="12" s="1"/>
  <c r="H151" i="6" a="1"/>
  <c r="H151" i="6" s="1"/>
  <c r="T151" i="5" s="1"/>
  <c r="G151" i="12" s="1" a="1"/>
  <c r="G151" i="12" s="1"/>
  <c r="B152" i="6"/>
  <c r="L153" i="6"/>
  <c r="D152" i="5"/>
  <c r="B152" i="12" s="1"/>
  <c r="K152" i="5"/>
  <c r="A152" i="12"/>
  <c r="N152" i="5"/>
  <c r="D152" i="6" s="1"/>
  <c r="E152" i="5"/>
  <c r="J152" i="5"/>
  <c r="F152" i="5"/>
  <c r="AE152" i="5" a="1"/>
  <c r="AE152" i="5" s="1"/>
  <c r="B152" i="5"/>
  <c r="C153" i="5" s="1"/>
  <c r="H152" i="5"/>
  <c r="G152" i="5"/>
  <c r="AD152" i="5"/>
  <c r="J151" i="6" a="1"/>
  <c r="J151" i="6" s="1"/>
  <c r="A151" i="6"/>
  <c r="M151" i="6" s="1"/>
  <c r="AP151" i="6" s="1"/>
  <c r="AD150" i="6" l="1"/>
  <c r="AF150" i="6"/>
  <c r="AQ150" i="6"/>
  <c r="AH150" i="6"/>
  <c r="BD150" i="6" a="1"/>
  <c r="BD150" i="6" s="1"/>
  <c r="AC150" i="6"/>
  <c r="BB150" i="6" a="1"/>
  <c r="BB150" i="6" s="1"/>
  <c r="AZ150" i="6" a="1"/>
  <c r="AZ150" i="6" s="1"/>
  <c r="AG150" i="6"/>
  <c r="AS150" i="6"/>
  <c r="BA150" i="6" a="1"/>
  <c r="BA150" i="6" s="1"/>
  <c r="AU150" i="6"/>
  <c r="BE150" i="6" a="1"/>
  <c r="BE150" i="6" s="1"/>
  <c r="AI150" i="6"/>
  <c r="AO150" i="6"/>
  <c r="K151" i="12"/>
  <c r="AN150" i="6"/>
  <c r="BC150" i="6" a="1"/>
  <c r="BC150" i="6" s="1"/>
  <c r="AV150" i="6"/>
  <c r="AE150" i="6"/>
  <c r="AJ150" i="6"/>
  <c r="AP150" i="6"/>
  <c r="AR150" i="6"/>
  <c r="AM150" i="6"/>
  <c r="AX150" i="6" a="1"/>
  <c r="AX150" i="6" s="1"/>
  <c r="AT150" i="6"/>
  <c r="BF150" i="6" a="1"/>
  <c r="BF150" i="6" s="1"/>
  <c r="BG150" i="6" a="1"/>
  <c r="BG150" i="6" s="1"/>
  <c r="AK150" i="6"/>
  <c r="AY150" i="6" a="1"/>
  <c r="AY150" i="6" s="1"/>
  <c r="BA151" i="6" a="1"/>
  <c r="BA151" i="6" s="1"/>
  <c r="AI151" i="6"/>
  <c r="BE151" i="6" a="1"/>
  <c r="BE151" i="6" s="1"/>
  <c r="BG151" i="6" a="1"/>
  <c r="BG151" i="6" s="1"/>
  <c r="AQ151" i="6"/>
  <c r="AM151" i="6"/>
  <c r="BD151" i="6" a="1"/>
  <c r="BD151" i="6" s="1"/>
  <c r="AK151" i="6"/>
  <c r="A153" i="12"/>
  <c r="H153" i="5"/>
  <c r="AF153" i="5" a="1"/>
  <c r="AF153" i="5" s="1"/>
  <c r="N153" i="5"/>
  <c r="D153" i="6" s="1"/>
  <c r="AE153" i="5" a="1"/>
  <c r="AE153" i="5" s="1"/>
  <c r="F153" i="5"/>
  <c r="B153" i="5"/>
  <c r="G153" i="5"/>
  <c r="E153" i="5"/>
  <c r="I153" i="5"/>
  <c r="C154" i="5"/>
  <c r="W153" i="5" a="1"/>
  <c r="W153" i="5" s="1"/>
  <c r="H153" i="12" s="1" a="1"/>
  <c r="H153" i="12" s="1"/>
  <c r="AD153" i="5"/>
  <c r="AJ151" i="6"/>
  <c r="AO151" i="6"/>
  <c r="AH151" i="6"/>
  <c r="AG151" i="6"/>
  <c r="AU151" i="6"/>
  <c r="N151" i="6"/>
  <c r="AV151" i="6"/>
  <c r="AT151" i="6"/>
  <c r="H152" i="6" a="1"/>
  <c r="H152" i="6" s="1"/>
  <c r="T152" i="5" s="1"/>
  <c r="G152" i="12" s="1" a="1"/>
  <c r="G152" i="12" s="1"/>
  <c r="F153" i="6"/>
  <c r="B153" i="6"/>
  <c r="L154" i="6"/>
  <c r="AC151" i="6"/>
  <c r="AN151" i="6"/>
  <c r="BF151" i="6" a="1"/>
  <c r="BF151" i="6" s="1"/>
  <c r="BB151" i="6" a="1"/>
  <c r="BB151" i="6" s="1"/>
  <c r="AD151" i="6"/>
  <c r="AZ151" i="6" a="1"/>
  <c r="AZ151" i="6" s="1"/>
  <c r="L152" i="12" a="1"/>
  <c r="L152" i="12" s="1"/>
  <c r="J152" i="12" a="1"/>
  <c r="J152" i="12" s="1"/>
  <c r="BC151" i="6" a="1"/>
  <c r="BC151" i="6" s="1"/>
  <c r="AY151" i="6" a="1"/>
  <c r="AY151" i="6" s="1"/>
  <c r="AE151" i="6"/>
  <c r="AS151" i="6"/>
  <c r="AX151" i="6" a="1"/>
  <c r="AX151" i="6" s="1"/>
  <c r="AB151" i="6"/>
  <c r="J152" i="6" a="1"/>
  <c r="J152" i="6" s="1"/>
  <c r="A152" i="6"/>
  <c r="M152" i="6" s="1"/>
  <c r="AS152" i="6" s="1"/>
  <c r="AF151" i="6"/>
  <c r="AR151" i="6"/>
  <c r="BE152" i="6" l="1" a="1"/>
  <c r="BE152" i="6" s="1"/>
  <c r="AR152" i="6"/>
  <c r="AN152" i="6"/>
  <c r="BC152" i="6" a="1"/>
  <c r="BC152" i="6" s="1"/>
  <c r="AQ152" i="6"/>
  <c r="AV152" i="6"/>
  <c r="BB152" i="6" a="1"/>
  <c r="BB152" i="6" s="1"/>
  <c r="AT152" i="6"/>
  <c r="BD152" i="6" a="1"/>
  <c r="BD152" i="6" s="1"/>
  <c r="AD152" i="6"/>
  <c r="AH152" i="6"/>
  <c r="AK152" i="6"/>
  <c r="AJ152" i="6"/>
  <c r="AB152" i="6"/>
  <c r="AG152" i="6"/>
  <c r="L155" i="6"/>
  <c r="B154" i="6"/>
  <c r="BF152" i="6" a="1"/>
  <c r="BF152" i="6" s="1"/>
  <c r="AG153" i="5" a="1"/>
  <c r="AG153" i="5" s="1"/>
  <c r="S153" i="5" a="1"/>
  <c r="S153" i="5" s="1"/>
  <c r="F153" i="12" s="1" a="1"/>
  <c r="F153" i="12" s="1"/>
  <c r="AI152" i="6"/>
  <c r="BG152" i="6" a="1"/>
  <c r="BG152" i="6" s="1"/>
  <c r="AF152" i="6"/>
  <c r="AY152" i="6" a="1"/>
  <c r="AY152" i="6" s="1"/>
  <c r="J153" i="6" a="1"/>
  <c r="J153" i="6" s="1"/>
  <c r="A153" i="6"/>
  <c r="AX152" i="6" a="1"/>
  <c r="AX152" i="6" s="1"/>
  <c r="AZ152" i="6" a="1"/>
  <c r="AZ152" i="6" s="1"/>
  <c r="AM152" i="6"/>
  <c r="K152" i="12"/>
  <c r="AE152" i="6"/>
  <c r="BA152" i="6" a="1"/>
  <c r="BA152" i="6" s="1"/>
  <c r="G153" i="6"/>
  <c r="M153" i="6"/>
  <c r="AP153" i="6" s="1"/>
  <c r="H153" i="6" a="1"/>
  <c r="H153" i="6" s="1"/>
  <c r="T153" i="5" s="1"/>
  <c r="G153" i="12" s="1" a="1"/>
  <c r="G153" i="12" s="1"/>
  <c r="N153" i="6"/>
  <c r="AO152" i="6"/>
  <c r="AP152" i="6"/>
  <c r="H154" i="5"/>
  <c r="A154" i="12"/>
  <c r="N154" i="5"/>
  <c r="D154" i="6" s="1"/>
  <c r="AD154" i="5"/>
  <c r="E154" i="5"/>
  <c r="F154" i="5"/>
  <c r="AE154" i="5" a="1"/>
  <c r="AE154" i="5" s="1"/>
  <c r="K154" i="5"/>
  <c r="G154" i="5"/>
  <c r="B154" i="5"/>
  <c r="J154" i="5"/>
  <c r="C155" i="5"/>
  <c r="D154" i="5"/>
  <c r="B154" i="12" s="1"/>
  <c r="N152" i="6"/>
  <c r="AC152" i="6"/>
  <c r="AU152" i="6"/>
  <c r="BD153" i="6" l="1" a="1"/>
  <c r="BD153" i="6" s="1"/>
  <c r="AK153" i="6"/>
  <c r="AE153" i="6"/>
  <c r="J154" i="12" a="1"/>
  <c r="J154" i="12" s="1"/>
  <c r="L154" i="12" a="1"/>
  <c r="L154" i="12" s="1"/>
  <c r="AG153" i="6"/>
  <c r="AX153" i="6" a="1"/>
  <c r="AX153" i="6" s="1"/>
  <c r="AH153" i="6"/>
  <c r="AB153" i="6"/>
  <c r="AC153" i="6"/>
  <c r="BC153" i="6" a="1"/>
  <c r="BC153" i="6" s="1"/>
  <c r="AF153" i="6"/>
  <c r="H154" i="6" a="1"/>
  <c r="H154" i="6" s="1"/>
  <c r="T154" i="5" s="1"/>
  <c r="G154" i="12" s="1" a="1"/>
  <c r="G154" i="12" s="1"/>
  <c r="L156" i="6"/>
  <c r="B155" i="6"/>
  <c r="BA153" i="6" a="1"/>
  <c r="BA153" i="6" s="1"/>
  <c r="AU153" i="6"/>
  <c r="AM153" i="6"/>
  <c r="AZ153" i="6" a="1"/>
  <c r="AZ153" i="6" s="1"/>
  <c r="AD153" i="6"/>
  <c r="BG153" i="6" a="1"/>
  <c r="BG153" i="6" s="1"/>
  <c r="AQ153" i="6"/>
  <c r="BE153" i="6" a="1"/>
  <c r="BE153" i="6" s="1"/>
  <c r="AS153" i="6"/>
  <c r="AY153" i="6" a="1"/>
  <c r="AY153" i="6" s="1"/>
  <c r="AJ153" i="6"/>
  <c r="AI153" i="6"/>
  <c r="BB153" i="6" a="1"/>
  <c r="BB153" i="6" s="1"/>
  <c r="AN153" i="6"/>
  <c r="AR153" i="6"/>
  <c r="J154" i="6" a="1"/>
  <c r="J154" i="6" s="1"/>
  <c r="A154" i="6"/>
  <c r="M154" i="6" s="1"/>
  <c r="AP154" i="6" s="1"/>
  <c r="BF153" i="6" a="1"/>
  <c r="BF153" i="6" s="1"/>
  <c r="D155" i="5"/>
  <c r="B155" i="12" s="1"/>
  <c r="E155" i="5"/>
  <c r="B155" i="5"/>
  <c r="AE155" i="5" a="1"/>
  <c r="AE155" i="5" s="1"/>
  <c r="H155" i="5"/>
  <c r="K155" i="5"/>
  <c r="AD155" i="5"/>
  <c r="F155" i="5"/>
  <c r="G155" i="5"/>
  <c r="C156" i="5"/>
  <c r="J155" i="5"/>
  <c r="N155" i="5"/>
  <c r="D155" i="6" s="1"/>
  <c r="A155" i="12"/>
  <c r="AT153" i="6"/>
  <c r="AV153" i="6"/>
  <c r="AO153" i="6"/>
  <c r="AF68" i="8"/>
  <c r="T68" i="8" s="1"/>
  <c r="K154" i="12" l="1"/>
  <c r="AE154" i="6"/>
  <c r="AX154" i="6" a="1"/>
  <c r="AX154" i="6" s="1"/>
  <c r="AG154" i="6"/>
  <c r="AS154" i="6"/>
  <c r="AH154" i="6"/>
  <c r="BF154" i="6" a="1"/>
  <c r="BF154" i="6" s="1"/>
  <c r="BA154" i="6" a="1"/>
  <c r="BA154" i="6" s="1"/>
  <c r="AO154" i="6"/>
  <c r="AJ154" i="6"/>
  <c r="AF154" i="6"/>
  <c r="BD154" i="6" a="1"/>
  <c r="BD154" i="6" s="1"/>
  <c r="AI154" i="6"/>
  <c r="N154" i="6"/>
  <c r="BG154" i="6" a="1"/>
  <c r="BG154" i="6" s="1"/>
  <c r="AU154" i="6"/>
  <c r="AC154" i="6"/>
  <c r="BE154" i="6" a="1"/>
  <c r="BE154" i="6" s="1"/>
  <c r="AT154" i="6"/>
  <c r="AZ154" i="6" a="1"/>
  <c r="AZ154" i="6" s="1"/>
  <c r="AQ154" i="6"/>
  <c r="AV154" i="6"/>
  <c r="AK154" i="6"/>
  <c r="L155" i="12" a="1"/>
  <c r="L155" i="12" s="1"/>
  <c r="J155" i="12" a="1"/>
  <c r="J155" i="12" s="1"/>
  <c r="B156" i="6"/>
  <c r="L157" i="6"/>
  <c r="H155" i="6" a="1"/>
  <c r="H155" i="6" s="1"/>
  <c r="T155" i="5" s="1"/>
  <c r="G155" i="12" s="1" a="1"/>
  <c r="G155" i="12" s="1"/>
  <c r="J155" i="6" a="1"/>
  <c r="J155" i="6" s="1"/>
  <c r="A155" i="6"/>
  <c r="M155" i="6" s="1"/>
  <c r="AR155" i="6" s="1"/>
  <c r="AD154" i="6"/>
  <c r="AR154" i="6"/>
  <c r="AM154" i="6"/>
  <c r="BB154" i="6" a="1"/>
  <c r="BB154" i="6" s="1"/>
  <c r="AY154" i="6" a="1"/>
  <c r="AY154" i="6" s="1"/>
  <c r="AN154" i="6"/>
  <c r="AD156" i="5"/>
  <c r="H156" i="5"/>
  <c r="B156" i="5"/>
  <c r="F156" i="5"/>
  <c r="G156" i="5"/>
  <c r="N156" i="5"/>
  <c r="D156" i="6" s="1"/>
  <c r="K156" i="5"/>
  <c r="AE156" i="5" a="1"/>
  <c r="AE156" i="5" s="1"/>
  <c r="D156" i="5"/>
  <c r="B156" i="12" s="1"/>
  <c r="E156" i="5"/>
  <c r="J156" i="5"/>
  <c r="C157" i="5"/>
  <c r="A156" i="12"/>
  <c r="AB154" i="6"/>
  <c r="BC154" i="6" a="1"/>
  <c r="BC154" i="6" s="1"/>
  <c r="BE155" i="6" l="1" a="1"/>
  <c r="BE155" i="6" s="1"/>
  <c r="BB155" i="6" a="1"/>
  <c r="BB155" i="6" s="1"/>
  <c r="AN155" i="6"/>
  <c r="N155" i="6"/>
  <c r="BF155" i="6" a="1"/>
  <c r="BF155" i="6" s="1"/>
  <c r="AV155" i="6"/>
  <c r="AO155" i="6"/>
  <c r="AQ155" i="6"/>
  <c r="AT155" i="6"/>
  <c r="AM155" i="6"/>
  <c r="AP155" i="6"/>
  <c r="BD155" i="6" a="1"/>
  <c r="BD155" i="6" s="1"/>
  <c r="AY155" i="6" a="1"/>
  <c r="AY155" i="6" s="1"/>
  <c r="AJ155" i="6"/>
  <c r="AD155" i="6"/>
  <c r="AB155" i="6"/>
  <c r="BA155" i="6" a="1"/>
  <c r="BA155" i="6" s="1"/>
  <c r="AX155" i="6" a="1"/>
  <c r="AX155" i="6" s="1"/>
  <c r="AI155" i="6"/>
  <c r="AE155" i="6"/>
  <c r="AG155" i="6"/>
  <c r="BC155" i="6" a="1"/>
  <c r="BC155" i="6" s="1"/>
  <c r="AH155" i="6"/>
  <c r="AS155" i="6"/>
  <c r="J156" i="12" a="1"/>
  <c r="J156" i="12" s="1"/>
  <c r="L156" i="12" a="1"/>
  <c r="L156" i="12" s="1"/>
  <c r="H156" i="6" a="1"/>
  <c r="H156" i="6" s="1"/>
  <c r="T156" i="5" s="1"/>
  <c r="G156" i="12" s="1" a="1"/>
  <c r="G156" i="12" s="1"/>
  <c r="N157" i="5"/>
  <c r="D157" i="6" s="1"/>
  <c r="D157" i="5"/>
  <c r="B157" i="12" s="1"/>
  <c r="AE157" i="5" a="1"/>
  <c r="AE157" i="5" s="1"/>
  <c r="H157" i="5"/>
  <c r="B157" i="5"/>
  <c r="C158" i="5" s="1"/>
  <c r="K157" i="5"/>
  <c r="AD157" i="5"/>
  <c r="A157" i="12"/>
  <c r="F157" i="5"/>
  <c r="E157" i="5"/>
  <c r="G157" i="5"/>
  <c r="J157" i="5"/>
  <c r="AF155" i="6"/>
  <c r="B157" i="6"/>
  <c r="L158" i="6"/>
  <c r="A156" i="6"/>
  <c r="M156" i="6" s="1"/>
  <c r="AM156" i="6" s="1"/>
  <c r="J156" i="6" a="1"/>
  <c r="J156" i="6" s="1"/>
  <c r="AU155" i="6"/>
  <c r="AC155" i="6"/>
  <c r="AZ155" i="6" a="1"/>
  <c r="AZ155" i="6" s="1"/>
  <c r="AK155" i="6"/>
  <c r="BG155" i="6" a="1"/>
  <c r="BG155" i="6" s="1"/>
  <c r="K155" i="12"/>
  <c r="K156" i="12" l="1"/>
  <c r="AU156" i="6"/>
  <c r="AN156" i="6"/>
  <c r="N156" i="6"/>
  <c r="AP156" i="6"/>
  <c r="AV156" i="6"/>
  <c r="AG156" i="6"/>
  <c r="AJ156" i="6"/>
  <c r="BE156" i="6" a="1"/>
  <c r="BE156" i="6" s="1"/>
  <c r="BB156" i="6" a="1"/>
  <c r="BB156" i="6" s="1"/>
  <c r="AX156" i="6" a="1"/>
  <c r="AX156" i="6" s="1"/>
  <c r="AH156" i="6"/>
  <c r="AD156" i="6"/>
  <c r="AE156" i="6"/>
  <c r="AZ156" i="6" a="1"/>
  <c r="AZ156" i="6" s="1"/>
  <c r="AY156" i="6" a="1"/>
  <c r="AY156" i="6" s="1"/>
  <c r="AO156" i="6"/>
  <c r="AC156" i="6"/>
  <c r="AQ156" i="6"/>
  <c r="BA156" i="6" a="1"/>
  <c r="BA156" i="6" s="1"/>
  <c r="AI156" i="6"/>
  <c r="AT156" i="6"/>
  <c r="F158" i="6"/>
  <c r="B158" i="6"/>
  <c r="L159" i="6"/>
  <c r="BD156" i="6" a="1"/>
  <c r="BD156" i="6" s="1"/>
  <c r="H157" i="6" a="1"/>
  <c r="H157" i="6" s="1"/>
  <c r="T157" i="5" s="1"/>
  <c r="G157" i="12" s="1" a="1"/>
  <c r="G157" i="12" s="1"/>
  <c r="L157" i="12" a="1"/>
  <c r="L157" i="12" s="1"/>
  <c r="J157" i="12" a="1"/>
  <c r="J157" i="12" s="1"/>
  <c r="AS156" i="6"/>
  <c r="AB156" i="6"/>
  <c r="J157" i="6" a="1"/>
  <c r="J157" i="6" s="1"/>
  <c r="A157" i="6"/>
  <c r="N157" i="6" s="1"/>
  <c r="BC156" i="6" a="1"/>
  <c r="BC156" i="6" s="1"/>
  <c r="BF156" i="6" a="1"/>
  <c r="BF156" i="6" s="1"/>
  <c r="AK156" i="6"/>
  <c r="AF156" i="6"/>
  <c r="H158" i="5"/>
  <c r="G158" i="5"/>
  <c r="A158" i="12"/>
  <c r="AD158" i="5"/>
  <c r="B158" i="5"/>
  <c r="I158" i="5"/>
  <c r="W158" i="5" a="1"/>
  <c r="W158" i="5" s="1"/>
  <c r="H158" i="12" s="1" a="1"/>
  <c r="H158" i="12" s="1"/>
  <c r="E158" i="5"/>
  <c r="F158" i="5"/>
  <c r="C159" i="5"/>
  <c r="AF158" i="5" a="1"/>
  <c r="AF158" i="5" s="1"/>
  <c r="AE158" i="5" a="1"/>
  <c r="AE158" i="5" s="1"/>
  <c r="N158" i="5"/>
  <c r="D158" i="6" s="1"/>
  <c r="AR156" i="6"/>
  <c r="BG156" i="6" a="1"/>
  <c r="BG156" i="6" s="1"/>
  <c r="M157" i="6" l="1"/>
  <c r="AF157" i="6" s="1"/>
  <c r="K157" i="12"/>
  <c r="L160" i="6"/>
  <c r="B159" i="6"/>
  <c r="B159" i="5"/>
  <c r="C160" i="5" s="1"/>
  <c r="K159" i="5"/>
  <c r="AD159" i="5"/>
  <c r="N159" i="5"/>
  <c r="D159" i="6" s="1"/>
  <c r="J159" i="5"/>
  <c r="A159" i="12"/>
  <c r="H159" i="5"/>
  <c r="D159" i="5"/>
  <c r="B159" i="12" s="1"/>
  <c r="G159" i="5"/>
  <c r="E159" i="5"/>
  <c r="AE159" i="5" a="1"/>
  <c r="AE159" i="5" s="1"/>
  <c r="F159" i="5"/>
  <c r="J158" i="6" a="1"/>
  <c r="J158" i="6" s="1"/>
  <c r="A158" i="6"/>
  <c r="H158" i="6" a="1"/>
  <c r="H158" i="6" s="1"/>
  <c r="T158" i="5" s="1"/>
  <c r="G158" i="12" s="1" a="1"/>
  <c r="G158" i="12" s="1"/>
  <c r="M158" i="6"/>
  <c r="AY158" i="6" s="1" a="1"/>
  <c r="AY158" i="6" s="1"/>
  <c r="N158" i="6"/>
  <c r="G158" i="6"/>
  <c r="S158" i="5" a="1"/>
  <c r="S158" i="5" s="1"/>
  <c r="F158" i="12" s="1" a="1"/>
  <c r="F158" i="12" s="1"/>
  <c r="AG158" i="5" a="1"/>
  <c r="AG158" i="5" s="1"/>
  <c r="AR158" i="6" l="1"/>
  <c r="BF158" i="6" a="1"/>
  <c r="BF158" i="6" s="1"/>
  <c r="AG158" i="6"/>
  <c r="AX157" i="6" a="1"/>
  <c r="AX157" i="6" s="1"/>
  <c r="AO157" i="6"/>
  <c r="AJ157" i="6"/>
  <c r="AI157" i="6"/>
  <c r="AV157" i="6"/>
  <c r="AU157" i="6"/>
  <c r="AC157" i="6"/>
  <c r="AQ157" i="6"/>
  <c r="AG157" i="6"/>
  <c r="BE157" i="6" a="1"/>
  <c r="BE157" i="6" s="1"/>
  <c r="BA157" i="6" a="1"/>
  <c r="BA157" i="6" s="1"/>
  <c r="AR157" i="6"/>
  <c r="BD157" i="6" a="1"/>
  <c r="BD157" i="6" s="1"/>
  <c r="AD157" i="6"/>
  <c r="BB157" i="6" a="1"/>
  <c r="BB157" i="6" s="1"/>
  <c r="AK157" i="6"/>
  <c r="AS157" i="6"/>
  <c r="AM157" i="6"/>
  <c r="AH157" i="6"/>
  <c r="AT157" i="6"/>
  <c r="AE157" i="6"/>
  <c r="AB157" i="6"/>
  <c r="BG157" i="6" a="1"/>
  <c r="BG157" i="6" s="1"/>
  <c r="AY157" i="6" a="1"/>
  <c r="AY157" i="6" s="1"/>
  <c r="AZ157" i="6" a="1"/>
  <c r="AZ157" i="6" s="1"/>
  <c r="BF157" i="6" a="1"/>
  <c r="BF157" i="6" s="1"/>
  <c r="AN157" i="6"/>
  <c r="AP157" i="6"/>
  <c r="BC157" i="6" a="1"/>
  <c r="BC157" i="6" s="1"/>
  <c r="AF158" i="6"/>
  <c r="BE158" i="6" a="1"/>
  <c r="BE158" i="6" s="1"/>
  <c r="AD158" i="6"/>
  <c r="AB158" i="6"/>
  <c r="AI158" i="6"/>
  <c r="AJ158" i="6"/>
  <c r="BD158" i="6" a="1"/>
  <c r="BD158" i="6" s="1"/>
  <c r="AQ158" i="6"/>
  <c r="AZ158" i="6" a="1"/>
  <c r="AZ158" i="6" s="1"/>
  <c r="AP158" i="6"/>
  <c r="AH158" i="6"/>
  <c r="AX158" i="6" a="1"/>
  <c r="AX158" i="6" s="1"/>
  <c r="AC158" i="6"/>
  <c r="AS158" i="6"/>
  <c r="BG158" i="6" a="1"/>
  <c r="BG158" i="6" s="1"/>
  <c r="AE158" i="6"/>
  <c r="H159" i="6" a="1"/>
  <c r="H159" i="6" s="1"/>
  <c r="T159" i="5" s="1"/>
  <c r="G159" i="12" s="1" a="1"/>
  <c r="G159" i="12" s="1"/>
  <c r="W160" i="5" a="1"/>
  <c r="W160" i="5" s="1"/>
  <c r="H160" i="12" s="1" a="1"/>
  <c r="H160" i="12" s="1"/>
  <c r="G160" i="5"/>
  <c r="K158" i="5" s="1"/>
  <c r="AE160" i="5" a="1"/>
  <c r="AE160" i="5" s="1"/>
  <c r="N160" i="5"/>
  <c r="D160" i="6" s="1"/>
  <c r="C161" i="5"/>
  <c r="B160" i="5"/>
  <c r="I160" i="5"/>
  <c r="H160" i="5"/>
  <c r="A160" i="12"/>
  <c r="E160" i="5"/>
  <c r="AD160" i="5"/>
  <c r="F160" i="5"/>
  <c r="AF160" i="5" a="1"/>
  <c r="AF160" i="5" s="1"/>
  <c r="BA158" i="6" a="1"/>
  <c r="BA158" i="6" s="1"/>
  <c r="AN158" i="6"/>
  <c r="J159" i="12" a="1"/>
  <c r="J159" i="12" s="1"/>
  <c r="L159" i="12" a="1"/>
  <c r="L159" i="12" s="1"/>
  <c r="AK158" i="6"/>
  <c r="A159" i="6"/>
  <c r="M159" i="6" s="1"/>
  <c r="AP159" i="6" s="1"/>
  <c r="J159" i="6" a="1"/>
  <c r="J159" i="6" s="1"/>
  <c r="AM158" i="6"/>
  <c r="AU158" i="6"/>
  <c r="BC158" i="6" a="1"/>
  <c r="BC158" i="6" s="1"/>
  <c r="F160" i="6"/>
  <c r="L161" i="6"/>
  <c r="B160" i="6"/>
  <c r="BB158" i="6" a="1"/>
  <c r="BB158" i="6" s="1"/>
  <c r="AT158" i="6"/>
  <c r="AO158" i="6"/>
  <c r="AV158" i="6"/>
  <c r="K159" i="12" l="1"/>
  <c r="AX159" i="6" a="1"/>
  <c r="AX159" i="6" s="1"/>
  <c r="AG159" i="6"/>
  <c r="BC159" i="6" a="1"/>
  <c r="BC159" i="6" s="1"/>
  <c r="BF159" i="6" a="1"/>
  <c r="BF159" i="6" s="1"/>
  <c r="AT159" i="6"/>
  <c r="AJ159" i="6"/>
  <c r="BA159" i="6" a="1"/>
  <c r="BA159" i="6" s="1"/>
  <c r="AQ159" i="6"/>
  <c r="AE159" i="6"/>
  <c r="AO159" i="6"/>
  <c r="AB159" i="6"/>
  <c r="AI159" i="6"/>
  <c r="B161" i="6"/>
  <c r="L162" i="6"/>
  <c r="AC159" i="6"/>
  <c r="AM159" i="6"/>
  <c r="BE159" i="6" a="1"/>
  <c r="BE159" i="6" s="1"/>
  <c r="M160" i="6"/>
  <c r="AQ160" i="6" s="1"/>
  <c r="N160" i="6"/>
  <c r="G160" i="6"/>
  <c r="H160" i="6" a="1"/>
  <c r="H160" i="6" s="1"/>
  <c r="T160" i="5" s="1"/>
  <c r="G160" i="12" s="1" a="1"/>
  <c r="G160" i="12" s="1"/>
  <c r="AN159" i="6"/>
  <c r="S160" i="5" a="1"/>
  <c r="S160" i="5" s="1"/>
  <c r="F160" i="12" s="1" a="1"/>
  <c r="F160" i="12" s="1"/>
  <c r="AG160" i="5" a="1"/>
  <c r="AG160" i="5" s="1"/>
  <c r="AR159" i="6"/>
  <c r="BD159" i="6" a="1"/>
  <c r="BD159" i="6" s="1"/>
  <c r="G161" i="5"/>
  <c r="H161" i="5"/>
  <c r="AE161" i="5" a="1"/>
  <c r="AE161" i="5" s="1"/>
  <c r="J161" i="5"/>
  <c r="K161" i="5"/>
  <c r="B161" i="5"/>
  <c r="C162" i="5" s="1"/>
  <c r="AD161" i="5"/>
  <c r="F161" i="5"/>
  <c r="N161" i="5"/>
  <c r="D161" i="6" s="1"/>
  <c r="A161" i="12"/>
  <c r="E161" i="5"/>
  <c r="D161" i="5"/>
  <c r="B161" i="12" s="1"/>
  <c r="AH159" i="6"/>
  <c r="BB159" i="6" a="1"/>
  <c r="BB159" i="6" s="1"/>
  <c r="AU159" i="6"/>
  <c r="N159" i="6"/>
  <c r="AS159" i="6"/>
  <c r="AV159" i="6"/>
  <c r="BG159" i="6" a="1"/>
  <c r="BG159" i="6" s="1"/>
  <c r="J160" i="6" a="1"/>
  <c r="J160" i="6" s="1"/>
  <c r="A160" i="6"/>
  <c r="AY159" i="6" a="1"/>
  <c r="AY159" i="6" s="1"/>
  <c r="AD159" i="6"/>
  <c r="AZ159" i="6" a="1"/>
  <c r="AZ159" i="6" s="1"/>
  <c r="AK159" i="6"/>
  <c r="AF159" i="6"/>
  <c r="AT160" i="6" l="1"/>
  <c r="AM160" i="6"/>
  <c r="AX160" i="6" a="1"/>
  <c r="AX160" i="6" s="1"/>
  <c r="AC160" i="6"/>
  <c r="AO160" i="6"/>
  <c r="AR160" i="6"/>
  <c r="AV160" i="6"/>
  <c r="AY160" i="6" a="1"/>
  <c r="AY160" i="6" s="1"/>
  <c r="AN160" i="6"/>
  <c r="AE160" i="6"/>
  <c r="AB160" i="6"/>
  <c r="BF160" i="6" a="1"/>
  <c r="BF160" i="6" s="1"/>
  <c r="AG160" i="6"/>
  <c r="AS160" i="6"/>
  <c r="AF160" i="6"/>
  <c r="AJ160" i="6"/>
  <c r="BD160" i="6" a="1"/>
  <c r="BD160" i="6" s="1"/>
  <c r="AI160" i="6"/>
  <c r="E162" i="5"/>
  <c r="AF162" i="5" a="1"/>
  <c r="AF162" i="5" s="1"/>
  <c r="B162" i="5"/>
  <c r="G162" i="5"/>
  <c r="K160" i="5" s="1"/>
  <c r="AD162" i="5"/>
  <c r="A162" i="12"/>
  <c r="F162" i="5"/>
  <c r="AE162" i="5" a="1"/>
  <c r="AE162" i="5" s="1"/>
  <c r="I162" i="5"/>
  <c r="W162" i="5" a="1"/>
  <c r="W162" i="5" s="1"/>
  <c r="H162" i="12" s="1" a="1"/>
  <c r="H162" i="12" s="1"/>
  <c r="H162" i="5"/>
  <c r="C163" i="5"/>
  <c r="N162" i="5"/>
  <c r="D162" i="6" s="1"/>
  <c r="AK160" i="6"/>
  <c r="BB160" i="6" a="1"/>
  <c r="BB160" i="6" s="1"/>
  <c r="BA160" i="6" a="1"/>
  <c r="BA160" i="6" s="1"/>
  <c r="AP160" i="6"/>
  <c r="B162" i="6"/>
  <c r="L163" i="6"/>
  <c r="F162" i="6"/>
  <c r="AD160" i="6"/>
  <c r="BC160" i="6" a="1"/>
  <c r="BC160" i="6" s="1"/>
  <c r="J161" i="12" a="1"/>
  <c r="J161" i="12" s="1"/>
  <c r="L161" i="12" a="1"/>
  <c r="L161" i="12" s="1"/>
  <c r="AH160" i="6"/>
  <c r="BE160" i="6" a="1"/>
  <c r="BE160" i="6" s="1"/>
  <c r="A161" i="6"/>
  <c r="M161" i="6" s="1"/>
  <c r="AQ161" i="6" s="1"/>
  <c r="J161" i="6" a="1"/>
  <c r="J161" i="6" s="1"/>
  <c r="BG160" i="6" a="1"/>
  <c r="BG160" i="6" s="1"/>
  <c r="H161" i="6" a="1"/>
  <c r="H161" i="6" s="1"/>
  <c r="T161" i="5" s="1"/>
  <c r="G161" i="12" s="1" a="1"/>
  <c r="G161" i="12" s="1"/>
  <c r="AZ160" i="6" a="1"/>
  <c r="AZ160" i="6" s="1"/>
  <c r="AU160" i="6"/>
  <c r="K161" i="12" l="1"/>
  <c r="BB161" i="6" a="1"/>
  <c r="BB161" i="6" s="1"/>
  <c r="AD161" i="6"/>
  <c r="AZ161" i="6" a="1"/>
  <c r="AZ161" i="6" s="1"/>
  <c r="AF161" i="6"/>
  <c r="AH161" i="6"/>
  <c r="AR161" i="6"/>
  <c r="AS161" i="6"/>
  <c r="AM161" i="6"/>
  <c r="BG161" i="6" a="1"/>
  <c r="BG161" i="6" s="1"/>
  <c r="N161" i="6"/>
  <c r="AY161" i="6" a="1"/>
  <c r="AY161" i="6" s="1"/>
  <c r="AG161" i="6"/>
  <c r="AE161" i="6"/>
  <c r="AX161" i="6" a="1"/>
  <c r="AX161" i="6" s="1"/>
  <c r="AN161" i="6"/>
  <c r="AC161" i="6"/>
  <c r="BE161" i="6" a="1"/>
  <c r="BE161" i="6" s="1"/>
  <c r="AV161" i="6"/>
  <c r="AE163" i="5" a="1"/>
  <c r="AE163" i="5" s="1"/>
  <c r="N163" i="5"/>
  <c r="D163" i="6" s="1"/>
  <c r="B163" i="5"/>
  <c r="D163" i="5"/>
  <c r="B163" i="12" s="1"/>
  <c r="C164" i="5"/>
  <c r="G163" i="5"/>
  <c r="F163" i="5"/>
  <c r="K163" i="5"/>
  <c r="AD163" i="5"/>
  <c r="H163" i="5"/>
  <c r="J163" i="5"/>
  <c r="E163" i="5"/>
  <c r="A163" i="12"/>
  <c r="AT161" i="6"/>
  <c r="BA161" i="6" a="1"/>
  <c r="BA161" i="6" s="1"/>
  <c r="AU161" i="6"/>
  <c r="B163" i="6"/>
  <c r="L164" i="6"/>
  <c r="N162" i="6"/>
  <c r="H162" i="6" a="1"/>
  <c r="H162" i="6" s="1"/>
  <c r="T162" i="5" s="1"/>
  <c r="G162" i="12" s="1" a="1"/>
  <c r="G162" i="12" s="1"/>
  <c r="G162" i="6"/>
  <c r="AB161" i="6"/>
  <c r="BF161" i="6" a="1"/>
  <c r="BF161" i="6" s="1"/>
  <c r="AP161" i="6"/>
  <c r="A162" i="6"/>
  <c r="M162" i="6" s="1"/>
  <c r="AO162" i="6" s="1"/>
  <c r="J162" i="6" a="1"/>
  <c r="J162" i="6" s="1"/>
  <c r="BD161" i="6" a="1"/>
  <c r="BD161" i="6" s="1"/>
  <c r="AJ161" i="6"/>
  <c r="AI161" i="6"/>
  <c r="BC161" i="6" a="1"/>
  <c r="BC161" i="6" s="1"/>
  <c r="AK161" i="6"/>
  <c r="AO161" i="6"/>
  <c r="S162" i="5" a="1"/>
  <c r="S162" i="5" s="1"/>
  <c r="F162" i="12" s="1" a="1"/>
  <c r="F162" i="12" s="1"/>
  <c r="AG162" i="5" a="1"/>
  <c r="AG162" i="5" s="1"/>
  <c r="BG162" i="6" l="1" a="1"/>
  <c r="BG162" i="6" s="1"/>
  <c r="AY162" i="6" a="1"/>
  <c r="AY162" i="6" s="1"/>
  <c r="BF162" i="6" a="1"/>
  <c r="BF162" i="6" s="1"/>
  <c r="BB162" i="6" a="1"/>
  <c r="BB162" i="6" s="1"/>
  <c r="AG162" i="6"/>
  <c r="AU162" i="6"/>
  <c r="AP162" i="6"/>
  <c r="AM162" i="6"/>
  <c r="AD162" i="6"/>
  <c r="AK162" i="6"/>
  <c r="BD162" i="6" a="1"/>
  <c r="BD162" i="6" s="1"/>
  <c r="AI162" i="6"/>
  <c r="AC162" i="6"/>
  <c r="BA162" i="6" a="1"/>
  <c r="BA162" i="6" s="1"/>
  <c r="AS162" i="6"/>
  <c r="AN162" i="6"/>
  <c r="AZ162" i="6" a="1"/>
  <c r="AZ162" i="6" s="1"/>
  <c r="BC162" i="6" a="1"/>
  <c r="BC162" i="6" s="1"/>
  <c r="AJ162" i="6"/>
  <c r="AR162" i="6"/>
  <c r="AV162" i="6"/>
  <c r="AT162" i="6"/>
  <c r="J163" i="12" a="1"/>
  <c r="J163" i="12" s="1"/>
  <c r="L163" i="12" a="1"/>
  <c r="L163" i="12" s="1"/>
  <c r="AF162" i="6"/>
  <c r="AE162" i="6"/>
  <c r="AB162" i="6"/>
  <c r="A163" i="6"/>
  <c r="N163" i="6" s="1"/>
  <c r="J163" i="6" a="1"/>
  <c r="J163" i="6" s="1"/>
  <c r="J164" i="5"/>
  <c r="K164" i="5"/>
  <c r="A164" i="12"/>
  <c r="F164" i="5"/>
  <c r="H164" i="5"/>
  <c r="AE164" i="5" a="1"/>
  <c r="AE164" i="5" s="1"/>
  <c r="N164" i="5"/>
  <c r="D164" i="6" s="1"/>
  <c r="B164" i="5"/>
  <c r="E164" i="5"/>
  <c r="D164" i="5"/>
  <c r="B164" i="12" s="1"/>
  <c r="G164" i="5"/>
  <c r="C165" i="5"/>
  <c r="AD164" i="5"/>
  <c r="AH162" i="6"/>
  <c r="H163" i="6" a="1"/>
  <c r="H163" i="6" s="1"/>
  <c r="T163" i="5" s="1"/>
  <c r="G163" i="12" s="1" a="1"/>
  <c r="G163" i="12" s="1"/>
  <c r="B164" i="6"/>
  <c r="L165" i="6"/>
  <c r="AQ162" i="6"/>
  <c r="AX162" i="6" a="1"/>
  <c r="AX162" i="6" s="1"/>
  <c r="BE162" i="6" a="1"/>
  <c r="BE162" i="6" s="1"/>
  <c r="M163" i="6" l="1"/>
  <c r="BD163" i="6" s="1" a="1"/>
  <c r="BD163" i="6" s="1"/>
  <c r="K163" i="12"/>
  <c r="A164" i="6"/>
  <c r="N164" i="6" s="1"/>
  <c r="J164" i="6" a="1"/>
  <c r="J164" i="6" s="1"/>
  <c r="A165" i="12"/>
  <c r="F165" i="5"/>
  <c r="B165" i="5"/>
  <c r="C166" i="5" s="1"/>
  <c r="J165" i="5"/>
  <c r="D165" i="5"/>
  <c r="B165" i="12" s="1"/>
  <c r="AD165" i="5"/>
  <c r="AE165" i="5" a="1"/>
  <c r="AE165" i="5" s="1"/>
  <c r="K165" i="5"/>
  <c r="H165" i="5"/>
  <c r="N165" i="5"/>
  <c r="D165" i="6" s="1"/>
  <c r="E165" i="5"/>
  <c r="G165" i="5"/>
  <c r="B165" i="6"/>
  <c r="L166" i="6"/>
  <c r="H164" i="6" a="1"/>
  <c r="H164" i="6" s="1"/>
  <c r="T164" i="5" s="1"/>
  <c r="G164" i="12" s="1" a="1"/>
  <c r="G164" i="12" s="1"/>
  <c r="J164" i="12" a="1"/>
  <c r="J164" i="12" s="1"/>
  <c r="L164" i="12" a="1"/>
  <c r="L164" i="12" s="1"/>
  <c r="AN163" i="6" l="1"/>
  <c r="BC163" i="6" a="1"/>
  <c r="BC163" i="6" s="1"/>
  <c r="AS163" i="6"/>
  <c r="AJ163" i="6"/>
  <c r="AH163" i="6"/>
  <c r="AQ163" i="6"/>
  <c r="AI163" i="6"/>
  <c r="BE163" i="6" a="1"/>
  <c r="BE163" i="6" s="1"/>
  <c r="AV163" i="6"/>
  <c r="AD163" i="6"/>
  <c r="BF163" i="6" a="1"/>
  <c r="BF163" i="6" s="1"/>
  <c r="AR163" i="6"/>
  <c r="AO163" i="6"/>
  <c r="AG163" i="6"/>
  <c r="AT163" i="6"/>
  <c r="AY163" i="6" a="1"/>
  <c r="AY163" i="6" s="1"/>
  <c r="AB163" i="6"/>
  <c r="AC163" i="6"/>
  <c r="BA163" i="6" a="1"/>
  <c r="BA163" i="6" s="1"/>
  <c r="AE163" i="6"/>
  <c r="AP163" i="6"/>
  <c r="BB163" i="6" a="1"/>
  <c r="BB163" i="6" s="1"/>
  <c r="AZ163" i="6" a="1"/>
  <c r="AZ163" i="6" s="1"/>
  <c r="AK163" i="6"/>
  <c r="AX163" i="6" a="1"/>
  <c r="AX163" i="6" s="1"/>
  <c r="AM163" i="6"/>
  <c r="M164" i="6"/>
  <c r="AE164" i="6" s="1"/>
  <c r="AU163" i="6"/>
  <c r="AF163" i="6"/>
  <c r="BG163" i="6" a="1"/>
  <c r="BG163" i="6" s="1"/>
  <c r="K164" i="12"/>
  <c r="J165" i="6" a="1"/>
  <c r="J165" i="6" s="1"/>
  <c r="A165" i="6"/>
  <c r="M165" i="6" s="1"/>
  <c r="AX165" i="6" s="1" a="1"/>
  <c r="AX165" i="6" s="1"/>
  <c r="J165" i="12" a="1"/>
  <c r="J165" i="12" s="1"/>
  <c r="L165" i="12" a="1"/>
  <c r="L165" i="12" s="1"/>
  <c r="N166" i="5"/>
  <c r="D166" i="6" s="1"/>
  <c r="H166" i="5"/>
  <c r="G166" i="5"/>
  <c r="K162" i="5" s="1"/>
  <c r="A166" i="12"/>
  <c r="I166" i="5"/>
  <c r="AE166" i="5" a="1"/>
  <c r="AE166" i="5" s="1"/>
  <c r="E166" i="5"/>
  <c r="B166" i="5"/>
  <c r="W166" i="5" a="1"/>
  <c r="W166" i="5" s="1"/>
  <c r="H166" i="12" s="1" a="1"/>
  <c r="H166" i="12" s="1"/>
  <c r="F166" i="5"/>
  <c r="AF166" i="5" a="1"/>
  <c r="AF166" i="5" s="1"/>
  <c r="AD166" i="5"/>
  <c r="C167" i="5"/>
  <c r="H165" i="6" a="1"/>
  <c r="H165" i="6" s="1"/>
  <c r="T165" i="5" s="1"/>
  <c r="G165" i="12" s="1" a="1"/>
  <c r="G165" i="12" s="1"/>
  <c r="B166" i="6"/>
  <c r="L167" i="6"/>
  <c r="F166" i="6"/>
  <c r="AV164" i="6" l="1"/>
  <c r="BA164" i="6" a="1"/>
  <c r="BA164" i="6" s="1"/>
  <c r="BE164" i="6" a="1"/>
  <c r="BE164" i="6" s="1"/>
  <c r="AX164" i="6" a="1"/>
  <c r="AX164" i="6" s="1"/>
  <c r="AT164" i="6"/>
  <c r="AU164" i="6"/>
  <c r="BF164" i="6" a="1"/>
  <c r="BF164" i="6" s="1"/>
  <c r="BB164" i="6" a="1"/>
  <c r="BB164" i="6" s="1"/>
  <c r="AC164" i="6"/>
  <c r="AZ164" i="6" a="1"/>
  <c r="AZ164" i="6" s="1"/>
  <c r="AK164" i="6"/>
  <c r="BD164" i="6" a="1"/>
  <c r="BD164" i="6" s="1"/>
  <c r="AS164" i="6"/>
  <c r="AH164" i="6"/>
  <c r="AG164" i="6"/>
  <c r="AF164" i="6"/>
  <c r="AN164" i="6"/>
  <c r="AP164" i="6"/>
  <c r="AB164" i="6"/>
  <c r="AO164" i="6"/>
  <c r="BC164" i="6" a="1"/>
  <c r="BC164" i="6" s="1"/>
  <c r="AR164" i="6"/>
  <c r="BG164" i="6" a="1"/>
  <c r="BG164" i="6" s="1"/>
  <c r="AJ164" i="6"/>
  <c r="AY164" i="6" a="1"/>
  <c r="AY164" i="6" s="1"/>
  <c r="AD164" i="6"/>
  <c r="AQ164" i="6"/>
  <c r="AI164" i="6"/>
  <c r="AM164" i="6"/>
  <c r="BB165" i="6" a="1"/>
  <c r="BB165" i="6" s="1"/>
  <c r="AM165" i="6"/>
  <c r="AT165" i="6"/>
  <c r="AQ165" i="6"/>
  <c r="N165" i="6"/>
  <c r="AR165" i="6"/>
  <c r="BG165" i="6" a="1"/>
  <c r="BG165" i="6" s="1"/>
  <c r="AJ165" i="6"/>
  <c r="BC165" i="6" a="1"/>
  <c r="BC165" i="6" s="1"/>
  <c r="K165" i="12"/>
  <c r="AK165" i="6"/>
  <c r="AC165" i="6"/>
  <c r="BD165" i="6" a="1"/>
  <c r="BD165" i="6" s="1"/>
  <c r="AB165" i="6"/>
  <c r="AD165" i="6"/>
  <c r="AO165" i="6"/>
  <c r="AN165" i="6"/>
  <c r="BA165" i="6" a="1"/>
  <c r="BA165" i="6" s="1"/>
  <c r="BE165" i="6" a="1"/>
  <c r="BE165" i="6" s="1"/>
  <c r="AE165" i="6"/>
  <c r="AI165" i="6"/>
  <c r="AZ165" i="6" a="1"/>
  <c r="AZ165" i="6" s="1"/>
  <c r="AV165" i="6"/>
  <c r="AF165" i="6"/>
  <c r="AH165" i="6"/>
  <c r="BF165" i="6" a="1"/>
  <c r="BF165" i="6" s="1"/>
  <c r="AY165" i="6" a="1"/>
  <c r="AY165" i="6" s="1"/>
  <c r="AP165" i="6"/>
  <c r="AU165" i="6"/>
  <c r="AG166" i="5" a="1"/>
  <c r="AG166" i="5" s="1"/>
  <c r="S166" i="5" a="1"/>
  <c r="S166" i="5" s="1"/>
  <c r="F166" i="12" s="1" a="1"/>
  <c r="F166" i="12" s="1"/>
  <c r="G166" i="6"/>
  <c r="H166" i="6" a="1"/>
  <c r="H166" i="6" s="1"/>
  <c r="T166" i="5" s="1"/>
  <c r="G166" i="12" s="1" a="1"/>
  <c r="G166" i="12" s="1"/>
  <c r="M166" i="6"/>
  <c r="AV166" i="6" s="1"/>
  <c r="N166" i="6"/>
  <c r="K167" i="5"/>
  <c r="E167" i="5"/>
  <c r="C168" i="5"/>
  <c r="AD167" i="5"/>
  <c r="N167" i="5"/>
  <c r="D167" i="6" s="1"/>
  <c r="A167" i="12"/>
  <c r="G167" i="5"/>
  <c r="F167" i="5"/>
  <c r="AE167" i="5" a="1"/>
  <c r="AE167" i="5" s="1"/>
  <c r="D167" i="5"/>
  <c r="B167" i="12" s="1"/>
  <c r="B167" i="5"/>
  <c r="J167" i="5"/>
  <c r="H167" i="5"/>
  <c r="B167" i="6"/>
  <c r="L168" i="6"/>
  <c r="J166" i="6" a="1"/>
  <c r="J166" i="6" s="1"/>
  <c r="A166" i="6"/>
  <c r="AS165" i="6"/>
  <c r="AG165" i="6"/>
  <c r="AK166" i="6" l="1"/>
  <c r="AQ166" i="6"/>
  <c r="BE166" i="6" a="1"/>
  <c r="BE166" i="6" s="1"/>
  <c r="AR166" i="6"/>
  <c r="BD166" i="6" a="1"/>
  <c r="BD166" i="6" s="1"/>
  <c r="BA166" i="6" a="1"/>
  <c r="BA166" i="6" s="1"/>
  <c r="AX166" i="6" a="1"/>
  <c r="AX166" i="6" s="1"/>
  <c r="AZ166" i="6" a="1"/>
  <c r="AZ166" i="6" s="1"/>
  <c r="AM166" i="6"/>
  <c r="AI166" i="6"/>
  <c r="AS166" i="6"/>
  <c r="AE166" i="6"/>
  <c r="AO166" i="6"/>
  <c r="BC166" i="6" a="1"/>
  <c r="BC166" i="6" s="1"/>
  <c r="AP166" i="6"/>
  <c r="BF166" i="6" a="1"/>
  <c r="BF166" i="6" s="1"/>
  <c r="AU166" i="6"/>
  <c r="AJ166" i="6"/>
  <c r="AF166" i="6"/>
  <c r="AG166" i="6"/>
  <c r="BG166" i="6" a="1"/>
  <c r="BG166" i="6" s="1"/>
  <c r="AC166" i="6"/>
  <c r="AB166" i="6"/>
  <c r="AY166" i="6" a="1"/>
  <c r="AY166" i="6" s="1"/>
  <c r="AD166" i="6"/>
  <c r="AT166" i="6"/>
  <c r="AN166" i="6"/>
  <c r="J168" i="5"/>
  <c r="K168" i="5"/>
  <c r="B168" i="5"/>
  <c r="N168" i="5"/>
  <c r="D168" i="6" s="1"/>
  <c r="AD168" i="5"/>
  <c r="D168" i="5"/>
  <c r="B168" i="12" s="1"/>
  <c r="G168" i="5"/>
  <c r="A168" i="12"/>
  <c r="E168" i="5"/>
  <c r="AE168" i="5" a="1"/>
  <c r="AE168" i="5" s="1"/>
  <c r="H168" i="5"/>
  <c r="C169" i="5"/>
  <c r="F168" i="5"/>
  <c r="J167" i="6" a="1"/>
  <c r="J167" i="6" s="1"/>
  <c r="A167" i="6"/>
  <c r="M167" i="6" s="1"/>
  <c r="BC167" i="6" s="1" a="1"/>
  <c r="BC167" i="6" s="1"/>
  <c r="L169" i="6"/>
  <c r="B168" i="6"/>
  <c r="AH166" i="6"/>
  <c r="J167" i="12" a="1"/>
  <c r="J167" i="12" s="1"/>
  <c r="L167" i="12" a="1"/>
  <c r="L167" i="12" s="1"/>
  <c r="H167" i="6" a="1"/>
  <c r="H167" i="6" s="1"/>
  <c r="T167" i="5" s="1"/>
  <c r="G167" i="12" s="1" a="1"/>
  <c r="G167" i="12" s="1"/>
  <c r="BB166" i="6" a="1"/>
  <c r="BB166" i="6" s="1"/>
  <c r="K167" i="12" l="1"/>
  <c r="AF167" i="6"/>
  <c r="AE167" i="6"/>
  <c r="BB167" i="6" a="1"/>
  <c r="BB167" i="6" s="1"/>
  <c r="AH167" i="6"/>
  <c r="N167" i="6"/>
  <c r="AB167" i="6"/>
  <c r="AN167" i="6"/>
  <c r="AV167" i="6"/>
  <c r="AG167" i="6"/>
  <c r="BA167" i="6" a="1"/>
  <c r="BA167" i="6" s="1"/>
  <c r="AQ167" i="6"/>
  <c r="AM167" i="6"/>
  <c r="AD167" i="6"/>
  <c r="BE167" i="6" a="1"/>
  <c r="BE167" i="6" s="1"/>
  <c r="AC167" i="6"/>
  <c r="BG167" i="6" a="1"/>
  <c r="BG167" i="6" s="1"/>
  <c r="BD167" i="6" a="1"/>
  <c r="BD167" i="6" s="1"/>
  <c r="AP167" i="6"/>
  <c r="AT167" i="6"/>
  <c r="AR167" i="6"/>
  <c r="AO167" i="6"/>
  <c r="AU167" i="6"/>
  <c r="AX167" i="6" a="1"/>
  <c r="AX167" i="6" s="1"/>
  <c r="L168" i="12" a="1"/>
  <c r="L168" i="12" s="1"/>
  <c r="J168" i="12" a="1"/>
  <c r="J168" i="12" s="1"/>
  <c r="B169" i="5"/>
  <c r="C170" i="5"/>
  <c r="D169" i="5"/>
  <c r="B169" i="12" s="1"/>
  <c r="J169" i="5"/>
  <c r="K169" i="5"/>
  <c r="E169" i="5"/>
  <c r="AD169" i="5"/>
  <c r="N169" i="5"/>
  <c r="D169" i="6" s="1"/>
  <c r="H169" i="5"/>
  <c r="A169" i="12"/>
  <c r="AE169" i="5" a="1"/>
  <c r="AE169" i="5" s="1"/>
  <c r="F169" i="5"/>
  <c r="G169" i="5"/>
  <c r="AJ167" i="6"/>
  <c r="AS167" i="6"/>
  <c r="A168" i="6"/>
  <c r="N168" i="6" s="1"/>
  <c r="J168" i="6" a="1"/>
  <c r="J168" i="6" s="1"/>
  <c r="H168" i="6" a="1"/>
  <c r="H168" i="6" s="1"/>
  <c r="T168" i="5" s="1"/>
  <c r="G168" i="12" s="1" a="1"/>
  <c r="G168" i="12" s="1"/>
  <c r="AY167" i="6" a="1"/>
  <c r="AY167" i="6" s="1"/>
  <c r="L170" i="6"/>
  <c r="B169" i="6"/>
  <c r="AK167" i="6"/>
  <c r="AI167" i="6"/>
  <c r="AZ167" i="6" a="1"/>
  <c r="AZ167" i="6" s="1"/>
  <c r="BF167" i="6" a="1"/>
  <c r="BF167" i="6" s="1"/>
  <c r="K168" i="12" l="1"/>
  <c r="K170" i="5"/>
  <c r="N170" i="5"/>
  <c r="D170" i="6" s="1"/>
  <c r="C171" i="5"/>
  <c r="E170" i="5"/>
  <c r="B170" i="5"/>
  <c r="A170" i="12"/>
  <c r="AD170" i="5"/>
  <c r="F170" i="5"/>
  <c r="J170" i="5"/>
  <c r="G170" i="5"/>
  <c r="D170" i="5"/>
  <c r="B170" i="12" s="1"/>
  <c r="AE170" i="5" a="1"/>
  <c r="AE170" i="5" s="1"/>
  <c r="H170" i="5"/>
  <c r="L169" i="12" a="1"/>
  <c r="L169" i="12" s="1"/>
  <c r="J169" i="12" a="1"/>
  <c r="J169" i="12" s="1"/>
  <c r="J169" i="6" a="1"/>
  <c r="J169" i="6" s="1"/>
  <c r="A169" i="6"/>
  <c r="N169" i="6" s="1"/>
  <c r="H169" i="6" a="1"/>
  <c r="H169" i="6" s="1"/>
  <c r="T169" i="5" s="1"/>
  <c r="G169" i="12" s="1" a="1"/>
  <c r="G169" i="12" s="1"/>
  <c r="M168" i="6"/>
  <c r="L171" i="6"/>
  <c r="B170" i="6"/>
  <c r="M169" i="6" l="1"/>
  <c r="AY169" i="6" s="1" a="1"/>
  <c r="AY169" i="6" s="1"/>
  <c r="L172" i="6"/>
  <c r="B171" i="6"/>
  <c r="J170" i="12" a="1"/>
  <c r="J170" i="12" s="1"/>
  <c r="L170" i="12" a="1"/>
  <c r="L170" i="12" s="1"/>
  <c r="A170" i="6"/>
  <c r="N170" i="6" s="1"/>
  <c r="J170" i="6" a="1"/>
  <c r="J170" i="6" s="1"/>
  <c r="K169" i="12"/>
  <c r="A171" i="12"/>
  <c r="J171" i="5"/>
  <c r="K171" i="5"/>
  <c r="H171" i="5"/>
  <c r="AD171" i="5"/>
  <c r="AE171" i="5" a="1"/>
  <c r="AE171" i="5" s="1"/>
  <c r="N171" i="5"/>
  <c r="D171" i="6" s="1"/>
  <c r="G171" i="5"/>
  <c r="F171" i="5"/>
  <c r="E171" i="5"/>
  <c r="B171" i="5"/>
  <c r="C172" i="5" s="1"/>
  <c r="D171" i="5"/>
  <c r="B171" i="12" s="1"/>
  <c r="H170" i="6" a="1"/>
  <c r="H170" i="6" s="1"/>
  <c r="T170" i="5" s="1"/>
  <c r="G170" i="12" s="1" a="1"/>
  <c r="G170" i="12" s="1"/>
  <c r="AJ168" i="6"/>
  <c r="AI168" i="6"/>
  <c r="AZ168" i="6" a="1"/>
  <c r="AZ168" i="6" s="1"/>
  <c r="AC168" i="6"/>
  <c r="BF168" i="6" a="1"/>
  <c r="BF168" i="6" s="1"/>
  <c r="AH168" i="6"/>
  <c r="BE168" i="6" a="1"/>
  <c r="BE168" i="6" s="1"/>
  <c r="AD168" i="6"/>
  <c r="AE168" i="6"/>
  <c r="BD168" i="6" a="1"/>
  <c r="BD168" i="6" s="1"/>
  <c r="BC168" i="6" a="1"/>
  <c r="BC168" i="6" s="1"/>
  <c r="AB168" i="6"/>
  <c r="AT168" i="6"/>
  <c r="AU168" i="6"/>
  <c r="AY168" i="6" a="1"/>
  <c r="AY168" i="6" s="1"/>
  <c r="AV168" i="6"/>
  <c r="AK168" i="6"/>
  <c r="BB168" i="6" a="1"/>
  <c r="BB168" i="6" s="1"/>
  <c r="AR168" i="6"/>
  <c r="AM168" i="6"/>
  <c r="AN168" i="6"/>
  <c r="AO168" i="6"/>
  <c r="AX168" i="6" a="1"/>
  <c r="AX168" i="6" s="1"/>
  <c r="AQ168" i="6"/>
  <c r="BG168" i="6" a="1"/>
  <c r="BG168" i="6" s="1"/>
  <c r="AG168" i="6"/>
  <c r="AP168" i="6"/>
  <c r="AS168" i="6"/>
  <c r="AF168" i="6"/>
  <c r="BA168" i="6" a="1"/>
  <c r="BA168" i="6" s="1"/>
  <c r="AS169" i="6" l="1"/>
  <c r="AT169" i="6"/>
  <c r="AD169" i="6"/>
  <c r="AF169" i="6"/>
  <c r="BG169" i="6" a="1"/>
  <c r="BG169" i="6" s="1"/>
  <c r="AP169" i="6"/>
  <c r="AR169" i="6"/>
  <c r="AK169" i="6"/>
  <c r="AB169" i="6"/>
  <c r="AN169" i="6"/>
  <c r="BC169" i="6" a="1"/>
  <c r="BC169" i="6" s="1"/>
  <c r="AZ169" i="6" a="1"/>
  <c r="AZ169" i="6" s="1"/>
  <c r="AO169" i="6"/>
  <c r="BF169" i="6" a="1"/>
  <c r="BF169" i="6" s="1"/>
  <c r="AU169" i="6"/>
  <c r="BE169" i="6" a="1"/>
  <c r="BE169" i="6" s="1"/>
  <c r="AM169" i="6"/>
  <c r="AH169" i="6"/>
  <c r="BD169" i="6" a="1"/>
  <c r="BD169" i="6" s="1"/>
  <c r="AX169" i="6" a="1"/>
  <c r="AX169" i="6" s="1"/>
  <c r="AC169" i="6"/>
  <c r="AJ169" i="6"/>
  <c r="BB169" i="6" a="1"/>
  <c r="BB169" i="6" s="1"/>
  <c r="AI169" i="6"/>
  <c r="BA169" i="6" a="1"/>
  <c r="BA169" i="6" s="1"/>
  <c r="AQ169" i="6"/>
  <c r="AV169" i="6"/>
  <c r="AG169" i="6"/>
  <c r="AE169" i="6"/>
  <c r="K170" i="12"/>
  <c r="H171" i="6" a="1"/>
  <c r="H171" i="6" s="1"/>
  <c r="T171" i="5" s="1"/>
  <c r="G171" i="12" s="1" a="1"/>
  <c r="G171" i="12" s="1"/>
  <c r="A171" i="6"/>
  <c r="M171" i="6" s="1"/>
  <c r="AZ171" i="6" s="1" a="1"/>
  <c r="AZ171" i="6" s="1"/>
  <c r="J171" i="6" a="1"/>
  <c r="J171" i="6" s="1"/>
  <c r="B172" i="6"/>
  <c r="L173" i="6"/>
  <c r="F172" i="6"/>
  <c r="W172" i="5" a="1"/>
  <c r="W172" i="5" s="1"/>
  <c r="H172" i="12" s="1" a="1"/>
  <c r="H172" i="12" s="1"/>
  <c r="N172" i="5"/>
  <c r="D172" i="6" s="1"/>
  <c r="B172" i="5"/>
  <c r="F172" i="5"/>
  <c r="AD172" i="5"/>
  <c r="AE172" i="5" a="1"/>
  <c r="AE172" i="5" s="1"/>
  <c r="A172" i="12"/>
  <c r="H172" i="5"/>
  <c r="C173" i="5"/>
  <c r="E172" i="5"/>
  <c r="AF172" i="5" a="1"/>
  <c r="AF172" i="5" s="1"/>
  <c r="G172" i="5"/>
  <c r="I172" i="5"/>
  <c r="M170" i="6"/>
  <c r="J171" i="12" a="1"/>
  <c r="J171" i="12" s="1"/>
  <c r="L171" i="12" a="1"/>
  <c r="L171" i="12" s="1"/>
  <c r="AT171" i="6" l="1"/>
  <c r="AY171" i="6" a="1"/>
  <c r="AY171" i="6" s="1"/>
  <c r="BA170" i="6" a="1"/>
  <c r="BA170" i="6" s="1"/>
  <c r="AB170" i="6"/>
  <c r="BC170" i="6" a="1"/>
  <c r="BC170" i="6" s="1"/>
  <c r="AH170" i="6"/>
  <c r="AP170" i="6"/>
  <c r="AM170" i="6"/>
  <c r="AR170" i="6"/>
  <c r="BE170" i="6" a="1"/>
  <c r="BE170" i="6" s="1"/>
  <c r="BG170" i="6" a="1"/>
  <c r="BG170" i="6" s="1"/>
  <c r="AQ170" i="6"/>
  <c r="AS170" i="6"/>
  <c r="AJ170" i="6"/>
  <c r="AV170" i="6"/>
  <c r="AZ170" i="6" a="1"/>
  <c r="AZ170" i="6" s="1"/>
  <c r="AN170" i="6"/>
  <c r="AC170" i="6"/>
  <c r="AK170" i="6"/>
  <c r="AX170" i="6" a="1"/>
  <c r="AX170" i="6" s="1"/>
  <c r="AU170" i="6"/>
  <c r="AY170" i="6" a="1"/>
  <c r="AY170" i="6" s="1"/>
  <c r="BD170" i="6" a="1"/>
  <c r="BD170" i="6" s="1"/>
  <c r="BF170" i="6" a="1"/>
  <c r="BF170" i="6" s="1"/>
  <c r="AE170" i="6"/>
  <c r="AT170" i="6"/>
  <c r="AO170" i="6"/>
  <c r="AF170" i="6"/>
  <c r="BB170" i="6" a="1"/>
  <c r="BB170" i="6" s="1"/>
  <c r="BC171" i="6" a="1"/>
  <c r="BC171" i="6" s="1"/>
  <c r="AG171" i="6"/>
  <c r="AV171" i="6"/>
  <c r="AM171" i="6"/>
  <c r="BE171" i="6" a="1"/>
  <c r="BE171" i="6" s="1"/>
  <c r="BB171" i="6" a="1"/>
  <c r="BB171" i="6" s="1"/>
  <c r="AE171" i="6"/>
  <c r="AJ171" i="6"/>
  <c r="AD171" i="6"/>
  <c r="AB171" i="6"/>
  <c r="AX171" i="6" a="1"/>
  <c r="AX171" i="6" s="1"/>
  <c r="AN171" i="6"/>
  <c r="AF171" i="6"/>
  <c r="AI170" i="6"/>
  <c r="AK171" i="6"/>
  <c r="B173" i="6"/>
  <c r="L174" i="6"/>
  <c r="J172" i="6" a="1"/>
  <c r="J172" i="6" s="1"/>
  <c r="A172" i="6"/>
  <c r="M172" i="6" s="1"/>
  <c r="AT172" i="6" s="1"/>
  <c r="AU171" i="6"/>
  <c r="AG172" i="5" a="1"/>
  <c r="AG172" i="5" s="1"/>
  <c r="S172" i="5" a="1"/>
  <c r="S172" i="5" s="1"/>
  <c r="F172" i="12" s="1" a="1"/>
  <c r="F172" i="12" s="1"/>
  <c r="K173" i="5"/>
  <c r="D173" i="5"/>
  <c r="B173" i="12" s="1"/>
  <c r="AD173" i="5"/>
  <c r="H173" i="5"/>
  <c r="J173" i="5"/>
  <c r="F173" i="5"/>
  <c r="B173" i="5"/>
  <c r="N173" i="5"/>
  <c r="D173" i="6" s="1"/>
  <c r="A173" i="12"/>
  <c r="C174" i="5"/>
  <c r="G173" i="5"/>
  <c r="AE173" i="5" a="1"/>
  <c r="AE173" i="5" s="1"/>
  <c r="E173" i="5"/>
  <c r="AS171" i="6"/>
  <c r="BD171" i="6" a="1"/>
  <c r="BD171" i="6" s="1"/>
  <c r="AG170" i="6"/>
  <c r="AC171" i="6"/>
  <c r="G172" i="6"/>
  <c r="N172" i="6"/>
  <c r="H172" i="6" a="1"/>
  <c r="H172" i="6" s="1"/>
  <c r="T172" i="5" s="1"/>
  <c r="G172" i="12" s="1" a="1"/>
  <c r="G172" i="12" s="1"/>
  <c r="N171" i="6"/>
  <c r="AR171" i="6"/>
  <c r="AI171" i="6"/>
  <c r="BG171" i="6" a="1"/>
  <c r="BG171" i="6" s="1"/>
  <c r="BA171" i="6" a="1"/>
  <c r="BA171" i="6" s="1"/>
  <c r="AQ171" i="6"/>
  <c r="AH171" i="6"/>
  <c r="AP171" i="6"/>
  <c r="AD170" i="6"/>
  <c r="BF171" i="6" a="1"/>
  <c r="BF171" i="6" s="1"/>
  <c r="K171" i="12"/>
  <c r="AO171" i="6"/>
  <c r="AO172" i="6" l="1"/>
  <c r="AU172" i="6"/>
  <c r="AC172" i="6"/>
  <c r="AJ172" i="6"/>
  <c r="BG172" i="6" a="1"/>
  <c r="BG172" i="6" s="1"/>
  <c r="AF172" i="6"/>
  <c r="AV172" i="6"/>
  <c r="BC172" i="6" a="1"/>
  <c r="BC172" i="6" s="1"/>
  <c r="BD172" i="6" a="1"/>
  <c r="BD172" i="6" s="1"/>
  <c r="AH172" i="6"/>
  <c r="AS172" i="6"/>
  <c r="AE172" i="6"/>
  <c r="BA172" i="6" a="1"/>
  <c r="BA172" i="6" s="1"/>
  <c r="AG172" i="6"/>
  <c r="L175" i="6"/>
  <c r="B174" i="6"/>
  <c r="AX172" i="6" a="1"/>
  <c r="AX172" i="6" s="1"/>
  <c r="AM172" i="6"/>
  <c r="AK172" i="6"/>
  <c r="A173" i="6"/>
  <c r="M173" i="6" s="1"/>
  <c r="BB173" i="6" s="1" a="1"/>
  <c r="BB173" i="6" s="1"/>
  <c r="J173" i="6" a="1"/>
  <c r="J173" i="6" s="1"/>
  <c r="AI172" i="6"/>
  <c r="AB172" i="6"/>
  <c r="AQ172" i="6"/>
  <c r="AZ172" i="6" a="1"/>
  <c r="AZ172" i="6" s="1"/>
  <c r="H174" i="5"/>
  <c r="G174" i="5"/>
  <c r="D174" i="5"/>
  <c r="B174" i="12" s="1"/>
  <c r="N174" i="5"/>
  <c r="D174" i="6" s="1"/>
  <c r="AD174" i="5"/>
  <c r="E174" i="5"/>
  <c r="AE174" i="5" a="1"/>
  <c r="AE174" i="5" s="1"/>
  <c r="B174" i="5"/>
  <c r="C175" i="5" s="1"/>
  <c r="A174" i="12"/>
  <c r="F174" i="5"/>
  <c r="J174" i="5"/>
  <c r="K174" i="5"/>
  <c r="AR172" i="6"/>
  <c r="AP172" i="6"/>
  <c r="AN172" i="6"/>
  <c r="BF172" i="6" a="1"/>
  <c r="BF172" i="6" s="1"/>
  <c r="BB172" i="6" a="1"/>
  <c r="BB172" i="6" s="1"/>
  <c r="AY172" i="6" a="1"/>
  <c r="AY172" i="6" s="1"/>
  <c r="L173" i="12" a="1"/>
  <c r="L173" i="12" s="1"/>
  <c r="J173" i="12" a="1"/>
  <c r="J173" i="12" s="1"/>
  <c r="AD172" i="6"/>
  <c r="BE172" i="6" a="1"/>
  <c r="BE172" i="6" s="1"/>
  <c r="H173" i="6" a="1"/>
  <c r="H173" i="6" s="1"/>
  <c r="T173" i="5" s="1"/>
  <c r="G173" i="12" s="1" a="1"/>
  <c r="G173" i="12" s="1"/>
  <c r="BG173" i="6" l="1" a="1"/>
  <c r="BG173" i="6" s="1"/>
  <c r="AR173" i="6"/>
  <c r="AS173" i="6"/>
  <c r="BE173" i="6" a="1"/>
  <c r="BE173" i="6" s="1"/>
  <c r="AJ173" i="6"/>
  <c r="AT173" i="6"/>
  <c r="AD173" i="6"/>
  <c r="AH173" i="6"/>
  <c r="AK173" i="6"/>
  <c r="AQ173" i="6"/>
  <c r="AG173" i="6"/>
  <c r="AN173" i="6"/>
  <c r="AB173" i="6"/>
  <c r="AY173" i="6" a="1"/>
  <c r="AY173" i="6" s="1"/>
  <c r="AC173" i="6"/>
  <c r="BC173" i="6" a="1"/>
  <c r="BC173" i="6" s="1"/>
  <c r="AX173" i="6" a="1"/>
  <c r="AX173" i="6" s="1"/>
  <c r="BD173" i="6" a="1"/>
  <c r="BD173" i="6" s="1"/>
  <c r="AZ173" i="6" a="1"/>
  <c r="AZ173" i="6" s="1"/>
  <c r="N173" i="6"/>
  <c r="AP173" i="6"/>
  <c r="AU173" i="6"/>
  <c r="AO173" i="6"/>
  <c r="BF173" i="6" a="1"/>
  <c r="BF173" i="6" s="1"/>
  <c r="AV173" i="6"/>
  <c r="J174" i="12" a="1"/>
  <c r="J174" i="12" s="1"/>
  <c r="L174" i="12" a="1"/>
  <c r="L174" i="12" s="1"/>
  <c r="J174" i="6" a="1"/>
  <c r="J174" i="6" s="1"/>
  <c r="A174" i="6"/>
  <c r="M174" i="6" s="1"/>
  <c r="AU174" i="6" s="1"/>
  <c r="A175" i="12"/>
  <c r="H175" i="5"/>
  <c r="AE175" i="5" a="1"/>
  <c r="AE175" i="5" s="1"/>
  <c r="B175" i="5"/>
  <c r="C176" i="5" s="1"/>
  <c r="I175" i="5"/>
  <c r="E175" i="5"/>
  <c r="N175" i="5"/>
  <c r="D175" i="6" s="1"/>
  <c r="F175" i="5"/>
  <c r="G175" i="5"/>
  <c r="AD175" i="5"/>
  <c r="AF175" i="5" a="1"/>
  <c r="AF175" i="5" s="1"/>
  <c r="W175" i="5" a="1"/>
  <c r="W175" i="5" s="1"/>
  <c r="H175" i="12" s="1" a="1"/>
  <c r="H175" i="12" s="1"/>
  <c r="L176" i="6"/>
  <c r="F175" i="6"/>
  <c r="B175" i="6"/>
  <c r="H174" i="6" a="1"/>
  <c r="H174" i="6" s="1"/>
  <c r="T174" i="5" s="1"/>
  <c r="G174" i="12" s="1" a="1"/>
  <c r="G174" i="12" s="1"/>
  <c r="AE173" i="6"/>
  <c r="AI173" i="6"/>
  <c r="BA173" i="6" a="1"/>
  <c r="BA173" i="6" s="1"/>
  <c r="K173" i="12"/>
  <c r="AF173" i="6"/>
  <c r="AM173" i="6"/>
  <c r="K174" i="12" l="1"/>
  <c r="AF174" i="6"/>
  <c r="AB174" i="6"/>
  <c r="BF174" i="6" a="1"/>
  <c r="BF174" i="6" s="1"/>
  <c r="AZ174" i="6" a="1"/>
  <c r="AZ174" i="6" s="1"/>
  <c r="BA174" i="6" a="1"/>
  <c r="BA174" i="6" s="1"/>
  <c r="AQ174" i="6"/>
  <c r="AP174" i="6"/>
  <c r="BD174" i="6" a="1"/>
  <c r="BD174" i="6" s="1"/>
  <c r="AI174" i="6"/>
  <c r="AO174" i="6"/>
  <c r="BG174" i="6" a="1"/>
  <c r="BG174" i="6" s="1"/>
  <c r="BB174" i="6" a="1"/>
  <c r="BB174" i="6" s="1"/>
  <c r="AD174" i="6"/>
  <c r="AG174" i="6"/>
  <c r="AE174" i="6"/>
  <c r="AS174" i="6"/>
  <c r="AT174" i="6"/>
  <c r="AV174" i="6"/>
  <c r="N174" i="6"/>
  <c r="AG175" i="5" a="1"/>
  <c r="AG175" i="5" s="1"/>
  <c r="S175" i="5" a="1"/>
  <c r="S175" i="5" s="1"/>
  <c r="F175" i="12" s="1" a="1"/>
  <c r="F175" i="12" s="1"/>
  <c r="M175" i="6"/>
  <c r="BF175" i="6" s="1" a="1"/>
  <c r="BF175" i="6" s="1"/>
  <c r="H175" i="6" a="1"/>
  <c r="H175" i="6" s="1"/>
  <c r="T175" i="5" s="1"/>
  <c r="G175" i="12" s="1" a="1"/>
  <c r="G175" i="12" s="1"/>
  <c r="G175" i="6"/>
  <c r="N175" i="6"/>
  <c r="AX174" i="6" a="1"/>
  <c r="AX174" i="6" s="1"/>
  <c r="AR174" i="6"/>
  <c r="AH174" i="6"/>
  <c r="B176" i="6"/>
  <c r="F176" i="6"/>
  <c r="L177" i="6"/>
  <c r="W176" i="5" a="1"/>
  <c r="W176" i="5" s="1"/>
  <c r="H176" i="12" s="1" a="1"/>
  <c r="H176" i="12" s="1"/>
  <c r="E176" i="5"/>
  <c r="N176" i="5"/>
  <c r="D176" i="6" s="1"/>
  <c r="AD176" i="5"/>
  <c r="A176" i="12"/>
  <c r="C177" i="5"/>
  <c r="I176" i="5"/>
  <c r="G176" i="5"/>
  <c r="AE176" i="5" a="1"/>
  <c r="AE176" i="5" s="1"/>
  <c r="AF176" i="5" a="1"/>
  <c r="AF176" i="5" s="1"/>
  <c r="F176" i="5"/>
  <c r="H176" i="5"/>
  <c r="B176" i="5"/>
  <c r="AJ174" i="6"/>
  <c r="AM174" i="6"/>
  <c r="AC174" i="6"/>
  <c r="AY174" i="6" a="1"/>
  <c r="AY174" i="6" s="1"/>
  <c r="AN174" i="6"/>
  <c r="AK174" i="6"/>
  <c r="J175" i="6" a="1"/>
  <c r="J175" i="6" s="1"/>
  <c r="A175" i="6"/>
  <c r="BC174" i="6" a="1"/>
  <c r="BC174" i="6" s="1"/>
  <c r="BE174" i="6" a="1"/>
  <c r="BE174" i="6" s="1"/>
  <c r="AT175" i="6" l="1"/>
  <c r="AZ175" i="6" a="1"/>
  <c r="AZ175" i="6" s="1"/>
  <c r="AY175" i="6" a="1"/>
  <c r="AY175" i="6" s="1"/>
  <c r="BG175" i="6" a="1"/>
  <c r="BG175" i="6" s="1"/>
  <c r="AV175" i="6"/>
  <c r="BD175" i="6" a="1"/>
  <c r="BD175" i="6" s="1"/>
  <c r="AR175" i="6"/>
  <c r="AN175" i="6"/>
  <c r="AQ175" i="6"/>
  <c r="AX175" i="6" a="1"/>
  <c r="AX175" i="6" s="1"/>
  <c r="AO175" i="6"/>
  <c r="AP175" i="6"/>
  <c r="AS175" i="6"/>
  <c r="H176" i="6" a="1"/>
  <c r="H176" i="6" s="1"/>
  <c r="T176" i="5" s="1"/>
  <c r="G176" i="12" s="1" a="1"/>
  <c r="G176" i="12" s="1"/>
  <c r="G176" i="6"/>
  <c r="M176" i="6"/>
  <c r="AX176" i="6" s="1" a="1"/>
  <c r="AX176" i="6" s="1"/>
  <c r="AB175" i="6"/>
  <c r="J176" i="6" a="1"/>
  <c r="J176" i="6" s="1"/>
  <c r="A176" i="6"/>
  <c r="N176" i="6" s="1"/>
  <c r="S176" i="5" a="1"/>
  <c r="S176" i="5" s="1"/>
  <c r="F176" i="12" s="1" a="1"/>
  <c r="F176" i="12" s="1"/>
  <c r="AG176" i="5" a="1"/>
  <c r="AG176" i="5" s="1"/>
  <c r="AM175" i="6"/>
  <c r="AI175" i="6"/>
  <c r="BA175" i="6" a="1"/>
  <c r="BA175" i="6" s="1"/>
  <c r="AJ175" i="6"/>
  <c r="AF175" i="6"/>
  <c r="AH175" i="6"/>
  <c r="BB175" i="6" a="1"/>
  <c r="BB175" i="6" s="1"/>
  <c r="AG175" i="6"/>
  <c r="BC175" i="6" a="1"/>
  <c r="BC175" i="6" s="1"/>
  <c r="AC175" i="6"/>
  <c r="AE175" i="6"/>
  <c r="L178" i="6"/>
  <c r="B177" i="6"/>
  <c r="AU175" i="6"/>
  <c r="AK175" i="6"/>
  <c r="C178" i="5"/>
  <c r="N177" i="5"/>
  <c r="D177" i="6" s="1"/>
  <c r="AD177" i="5"/>
  <c r="K177" i="5"/>
  <c r="G177" i="5"/>
  <c r="H177" i="5"/>
  <c r="D177" i="5"/>
  <c r="B177" i="12" s="1"/>
  <c r="B177" i="5"/>
  <c r="E177" i="5"/>
  <c r="AE177" i="5" a="1"/>
  <c r="AE177" i="5" s="1"/>
  <c r="J177" i="5"/>
  <c r="A177" i="12"/>
  <c r="F177" i="5"/>
  <c r="AD175" i="6"/>
  <c r="BE175" i="6" a="1"/>
  <c r="BE175" i="6" s="1"/>
  <c r="AI176" i="6" l="1"/>
  <c r="AV176" i="6"/>
  <c r="AG176" i="6"/>
  <c r="BA176" i="6" a="1"/>
  <c r="BA176" i="6" s="1"/>
  <c r="AD176" i="6"/>
  <c r="AP176" i="6"/>
  <c r="AB176" i="6"/>
  <c r="BF176" i="6" a="1"/>
  <c r="BF176" i="6" s="1"/>
  <c r="BB176" i="6" a="1"/>
  <c r="BB176" i="6" s="1"/>
  <c r="AE176" i="6"/>
  <c r="AZ176" i="6" a="1"/>
  <c r="AZ176" i="6" s="1"/>
  <c r="AC176" i="6"/>
  <c r="AF176" i="6"/>
  <c r="AK176" i="6"/>
  <c r="AN176" i="6"/>
  <c r="AR176" i="6"/>
  <c r="BD176" i="6" a="1"/>
  <c r="BD176" i="6" s="1"/>
  <c r="BG176" i="6" a="1"/>
  <c r="BG176" i="6" s="1"/>
  <c r="AQ176" i="6"/>
  <c r="AH176" i="6"/>
  <c r="BC176" i="6" a="1"/>
  <c r="BC176" i="6" s="1"/>
  <c r="AT176" i="6"/>
  <c r="AY176" i="6" a="1"/>
  <c r="AY176" i="6" s="1"/>
  <c r="AS176" i="6"/>
  <c r="J178" i="5"/>
  <c r="G178" i="5"/>
  <c r="H178" i="5"/>
  <c r="K178" i="5"/>
  <c r="N178" i="5"/>
  <c r="D178" i="6" s="1"/>
  <c r="AD178" i="5"/>
  <c r="F178" i="5"/>
  <c r="AE178" i="5" a="1"/>
  <c r="AE178" i="5" s="1"/>
  <c r="D178" i="5"/>
  <c r="B178" i="12" s="1"/>
  <c r="A178" i="12"/>
  <c r="B178" i="5"/>
  <c r="C179" i="5"/>
  <c r="E178" i="5"/>
  <c r="L179" i="6"/>
  <c r="B178" i="6"/>
  <c r="H177" i="6" a="1"/>
  <c r="H177" i="6" s="1"/>
  <c r="T177" i="5" s="1"/>
  <c r="G177" i="12" s="1" a="1"/>
  <c r="G177" i="12" s="1"/>
  <c r="A177" i="6"/>
  <c r="N177" i="6" s="1"/>
  <c r="J177" i="6" a="1"/>
  <c r="J177" i="6" s="1"/>
  <c r="AJ176" i="6"/>
  <c r="L177" i="12" a="1"/>
  <c r="L177" i="12" s="1"/>
  <c r="J177" i="12" a="1"/>
  <c r="J177" i="12" s="1"/>
  <c r="AM176" i="6"/>
  <c r="AU176" i="6"/>
  <c r="BE176" i="6" a="1"/>
  <c r="BE176" i="6" s="1"/>
  <c r="AO176" i="6"/>
  <c r="M177" i="6" l="1"/>
  <c r="AO177" i="6" s="1"/>
  <c r="L178" i="12" a="1"/>
  <c r="L178" i="12" s="1"/>
  <c r="J178" i="12" a="1"/>
  <c r="J178" i="12" s="1"/>
  <c r="H178" i="6" a="1"/>
  <c r="H178" i="6" s="1"/>
  <c r="T178" i="5" s="1"/>
  <c r="G178" i="12" s="1" a="1"/>
  <c r="G178" i="12" s="1"/>
  <c r="L180" i="6"/>
  <c r="B179" i="6"/>
  <c r="K177" i="12"/>
  <c r="B179" i="5"/>
  <c r="C180" i="5" s="1"/>
  <c r="D179" i="5"/>
  <c r="B179" i="12" s="1"/>
  <c r="E179" i="5"/>
  <c r="AD179" i="5"/>
  <c r="G179" i="5"/>
  <c r="F179" i="5"/>
  <c r="H179" i="5"/>
  <c r="J179" i="5"/>
  <c r="AE179" i="5" a="1"/>
  <c r="AE179" i="5" s="1"/>
  <c r="K179" i="5"/>
  <c r="N179" i="5"/>
  <c r="D179" i="6" s="1"/>
  <c r="A179" i="12"/>
  <c r="A178" i="6"/>
  <c r="N178" i="6" s="1"/>
  <c r="J178" i="6" a="1"/>
  <c r="J178" i="6" s="1"/>
  <c r="AD177" i="6" l="1"/>
  <c r="BC177" i="6" a="1"/>
  <c r="BC177" i="6" s="1"/>
  <c r="AC177" i="6"/>
  <c r="AG177" i="6"/>
  <c r="BD177" i="6" a="1"/>
  <c r="BD177" i="6" s="1"/>
  <c r="BA177" i="6" a="1"/>
  <c r="BA177" i="6" s="1"/>
  <c r="AX177" i="6" a="1"/>
  <c r="AX177" i="6" s="1"/>
  <c r="AP177" i="6"/>
  <c r="AY177" i="6" a="1"/>
  <c r="AY177" i="6" s="1"/>
  <c r="BB177" i="6" a="1"/>
  <c r="BB177" i="6" s="1"/>
  <c r="AR177" i="6"/>
  <c r="AT177" i="6"/>
  <c r="AN177" i="6"/>
  <c r="AZ177" i="6" a="1"/>
  <c r="AZ177" i="6" s="1"/>
  <c r="AB177" i="6"/>
  <c r="AQ177" i="6"/>
  <c r="BF177" i="6" a="1"/>
  <c r="BF177" i="6" s="1"/>
  <c r="AS177" i="6"/>
  <c r="AJ177" i="6"/>
  <c r="BG177" i="6" a="1"/>
  <c r="BG177" i="6" s="1"/>
  <c r="AM177" i="6"/>
  <c r="AV177" i="6"/>
  <c r="BE177" i="6" a="1"/>
  <c r="BE177" i="6" s="1"/>
  <c r="AF177" i="6"/>
  <c r="AI177" i="6"/>
  <c r="AH177" i="6"/>
  <c r="AK177" i="6"/>
  <c r="AE177" i="6"/>
  <c r="AU177" i="6"/>
  <c r="M178" i="6"/>
  <c r="AF178" i="6" s="1"/>
  <c r="J179" i="6" a="1"/>
  <c r="J179" i="6" s="1"/>
  <c r="A179" i="6"/>
  <c r="N179" i="6" s="1"/>
  <c r="F180" i="6"/>
  <c r="L181" i="6"/>
  <c r="B180" i="6"/>
  <c r="L179" i="12" a="1"/>
  <c r="L179" i="12" s="1"/>
  <c r="J179" i="12" a="1"/>
  <c r="J179" i="12" s="1"/>
  <c r="H179" i="6" a="1"/>
  <c r="H179" i="6" s="1"/>
  <c r="T179" i="5" s="1"/>
  <c r="G179" i="12" s="1" a="1"/>
  <c r="G179" i="12" s="1"/>
  <c r="N180" i="5"/>
  <c r="D180" i="6" s="1"/>
  <c r="A180" i="12"/>
  <c r="B180" i="5"/>
  <c r="F180" i="5"/>
  <c r="W180" i="5" a="1"/>
  <c r="W180" i="5" s="1"/>
  <c r="H180" i="12" s="1" a="1"/>
  <c r="H180" i="12" s="1"/>
  <c r="I180" i="5"/>
  <c r="E180" i="5"/>
  <c r="G180" i="5"/>
  <c r="H180" i="5"/>
  <c r="C181" i="5"/>
  <c r="AE180" i="5" a="1"/>
  <c r="AE180" i="5" s="1"/>
  <c r="AD180" i="5"/>
  <c r="AF180" i="5" a="1"/>
  <c r="AF180" i="5" s="1"/>
  <c r="K178" i="12"/>
  <c r="K179" i="12" l="1"/>
  <c r="AG178" i="6"/>
  <c r="AD178" i="6"/>
  <c r="AH178" i="6"/>
  <c r="AI178" i="6"/>
  <c r="B181" i="6"/>
  <c r="L182" i="6"/>
  <c r="AY178" i="6" a="1"/>
  <c r="AY178" i="6" s="1"/>
  <c r="AN178" i="6"/>
  <c r="BF178" i="6" a="1"/>
  <c r="BF178" i="6" s="1"/>
  <c r="AX178" i="6" a="1"/>
  <c r="AX178" i="6" s="1"/>
  <c r="AE178" i="6"/>
  <c r="AJ178" i="6"/>
  <c r="BB178" i="6" a="1"/>
  <c r="BB178" i="6" s="1"/>
  <c r="AM178" i="6"/>
  <c r="AR178" i="6"/>
  <c r="BD178" i="6" a="1"/>
  <c r="BD178" i="6" s="1"/>
  <c r="AP178" i="6"/>
  <c r="AV178" i="6"/>
  <c r="BA178" i="6" a="1"/>
  <c r="BA178" i="6" s="1"/>
  <c r="AU178" i="6"/>
  <c r="AT178" i="6"/>
  <c r="AO178" i="6"/>
  <c r="BC178" i="6" a="1"/>
  <c r="BC178" i="6" s="1"/>
  <c r="BE178" i="6" a="1"/>
  <c r="BE178" i="6" s="1"/>
  <c r="AB178" i="6"/>
  <c r="BG178" i="6" a="1"/>
  <c r="BG178" i="6" s="1"/>
  <c r="AC178" i="6"/>
  <c r="AZ178" i="6" a="1"/>
  <c r="AZ178" i="6" s="1"/>
  <c r="AK178" i="6"/>
  <c r="AS178" i="6"/>
  <c r="AQ178" i="6"/>
  <c r="K181" i="5"/>
  <c r="E181" i="5"/>
  <c r="N181" i="5"/>
  <c r="D181" i="6" s="1"/>
  <c r="H181" i="5"/>
  <c r="G181" i="5"/>
  <c r="A181" i="12"/>
  <c r="D181" i="5"/>
  <c r="B181" i="12" s="1"/>
  <c r="AD181" i="5"/>
  <c r="J181" i="5"/>
  <c r="AE181" i="5" a="1"/>
  <c r="AE181" i="5" s="1"/>
  <c r="C182" i="5"/>
  <c r="B181" i="5"/>
  <c r="F181" i="5"/>
  <c r="H180" i="6" a="1"/>
  <c r="H180" i="6" s="1"/>
  <c r="T180" i="5" s="1"/>
  <c r="G180" i="12" s="1" a="1"/>
  <c r="G180" i="12" s="1"/>
  <c r="G180" i="6"/>
  <c r="M180" i="6"/>
  <c r="BC180" i="6" s="1" a="1"/>
  <c r="BC180" i="6" s="1"/>
  <c r="N180" i="6"/>
  <c r="M179" i="6"/>
  <c r="AG179" i="6" s="1"/>
  <c r="J180" i="6" a="1"/>
  <c r="J180" i="6" s="1"/>
  <c r="A180" i="6"/>
  <c r="S180" i="5" a="1"/>
  <c r="S180" i="5" s="1"/>
  <c r="F180" i="12" s="1" a="1"/>
  <c r="F180" i="12" s="1"/>
  <c r="AG180" i="5" a="1"/>
  <c r="AG180" i="5" s="1"/>
  <c r="AZ180" i="6" l="1" a="1"/>
  <c r="AZ180" i="6" s="1"/>
  <c r="AY180" i="6" a="1"/>
  <c r="AY180" i="6" s="1"/>
  <c r="AK180" i="6"/>
  <c r="L181" i="12" a="1"/>
  <c r="L181" i="12" s="1"/>
  <c r="J181" i="12" a="1"/>
  <c r="J181" i="12" s="1"/>
  <c r="AH180" i="6"/>
  <c r="AX180" i="6" a="1"/>
  <c r="AX180" i="6" s="1"/>
  <c r="H181" i="6" a="1"/>
  <c r="H181" i="6" s="1"/>
  <c r="T181" i="5" s="1"/>
  <c r="G181" i="12" s="1" a="1"/>
  <c r="G181" i="12" s="1"/>
  <c r="AR180" i="6"/>
  <c r="AD180" i="6"/>
  <c r="BB180" i="6" a="1"/>
  <c r="BB180" i="6" s="1"/>
  <c r="AO180" i="6"/>
  <c r="AN180" i="6"/>
  <c r="AC180" i="6"/>
  <c r="AS180" i="6"/>
  <c r="AJ180" i="6"/>
  <c r="AB180" i="6"/>
  <c r="AH179" i="6"/>
  <c r="BD179" i="6" a="1"/>
  <c r="BD179" i="6" s="1"/>
  <c r="BE179" i="6" a="1"/>
  <c r="BE179" i="6" s="1"/>
  <c r="AU179" i="6"/>
  <c r="AV179" i="6"/>
  <c r="AE179" i="6"/>
  <c r="AF179" i="6"/>
  <c r="AD179" i="6"/>
  <c r="AQ179" i="6"/>
  <c r="AJ179" i="6"/>
  <c r="AN179" i="6"/>
  <c r="AO179" i="6"/>
  <c r="BC179" i="6" a="1"/>
  <c r="BC179" i="6" s="1"/>
  <c r="AZ179" i="6" a="1"/>
  <c r="AZ179" i="6" s="1"/>
  <c r="AS179" i="6"/>
  <c r="AB179" i="6"/>
  <c r="BB179" i="6" a="1"/>
  <c r="BB179" i="6" s="1"/>
  <c r="BG179" i="6" a="1"/>
  <c r="BG179" i="6" s="1"/>
  <c r="AP179" i="6"/>
  <c r="AM179" i="6"/>
  <c r="AR179" i="6"/>
  <c r="AK179" i="6"/>
  <c r="AI179" i="6"/>
  <c r="AX179" i="6" a="1"/>
  <c r="AX179" i="6" s="1"/>
  <c r="BF179" i="6" a="1"/>
  <c r="BF179" i="6" s="1"/>
  <c r="BA179" i="6" a="1"/>
  <c r="BA179" i="6" s="1"/>
  <c r="AT179" i="6"/>
  <c r="AY179" i="6" a="1"/>
  <c r="AY179" i="6" s="1"/>
  <c r="AC179" i="6"/>
  <c r="BF180" i="6" a="1"/>
  <c r="BF180" i="6" s="1"/>
  <c r="AT180" i="6"/>
  <c r="AV180" i="6"/>
  <c r="AI180" i="6"/>
  <c r="AE180" i="6"/>
  <c r="L183" i="6"/>
  <c r="B182" i="6"/>
  <c r="AG180" i="6"/>
  <c r="BA180" i="6" a="1"/>
  <c r="BA180" i="6" s="1"/>
  <c r="AF180" i="6"/>
  <c r="AU180" i="6"/>
  <c r="BE180" i="6" a="1"/>
  <c r="BE180" i="6" s="1"/>
  <c r="G182" i="5"/>
  <c r="D182" i="5"/>
  <c r="B182" i="12" s="1"/>
  <c r="E182" i="5"/>
  <c r="H182" i="5"/>
  <c r="B182" i="5"/>
  <c r="AD182" i="5"/>
  <c r="F182" i="5"/>
  <c r="K182" i="5"/>
  <c r="A182" i="12"/>
  <c r="J182" i="5"/>
  <c r="N182" i="5"/>
  <c r="D182" i="6" s="1"/>
  <c r="C183" i="5"/>
  <c r="AE182" i="5" a="1"/>
  <c r="AE182" i="5" s="1"/>
  <c r="A181" i="6"/>
  <c r="N181" i="6" s="1"/>
  <c r="J181" i="6" a="1"/>
  <c r="J181" i="6" s="1"/>
  <c r="AM180" i="6"/>
  <c r="AP180" i="6"/>
  <c r="BG180" i="6" a="1"/>
  <c r="BG180" i="6" s="1"/>
  <c r="AQ180" i="6"/>
  <c r="BD180" i="6" a="1"/>
  <c r="BD180" i="6" s="1"/>
  <c r="AD183" i="5" l="1"/>
  <c r="N183" i="5"/>
  <c r="D183" i="6" s="1"/>
  <c r="B183" i="5"/>
  <c r="H183" i="5"/>
  <c r="G183" i="5"/>
  <c r="F183" i="5"/>
  <c r="K183" i="5"/>
  <c r="J183" i="5"/>
  <c r="A183" i="12"/>
  <c r="AE183" i="5" a="1"/>
  <c r="AE183" i="5" s="1"/>
  <c r="D183" i="5"/>
  <c r="B183" i="12" s="1"/>
  <c r="E183" i="5"/>
  <c r="C184" i="5"/>
  <c r="L184" i="6"/>
  <c r="B183" i="6"/>
  <c r="M181" i="6"/>
  <c r="AF181" i="6" s="1"/>
  <c r="J182" i="6" a="1"/>
  <c r="J182" i="6" s="1"/>
  <c r="A182" i="6"/>
  <c r="M182" i="6" s="1"/>
  <c r="AP182" i="6" s="1"/>
  <c r="H182" i="6" a="1"/>
  <c r="H182" i="6" s="1"/>
  <c r="T182" i="5" s="1"/>
  <c r="G182" i="12" s="1" a="1"/>
  <c r="G182" i="12" s="1"/>
  <c r="K181" i="12"/>
  <c r="L182" i="12" a="1"/>
  <c r="L182" i="12" s="1"/>
  <c r="J182" i="12" a="1"/>
  <c r="J182" i="12" s="1"/>
  <c r="AI181" i="6" l="1"/>
  <c r="K182" i="12"/>
  <c r="AR182" i="6"/>
  <c r="AB182" i="6"/>
  <c r="AM182" i="6"/>
  <c r="BB182" i="6" a="1"/>
  <c r="BB182" i="6" s="1"/>
  <c r="BD182" i="6" a="1"/>
  <c r="BD182" i="6" s="1"/>
  <c r="A184" i="12"/>
  <c r="N184" i="5"/>
  <c r="D184" i="6" s="1"/>
  <c r="AD184" i="5"/>
  <c r="B184" i="5"/>
  <c r="C185" i="5" s="1"/>
  <c r="D184" i="5"/>
  <c r="B184" i="12" s="1"/>
  <c r="F184" i="5"/>
  <c r="H184" i="5"/>
  <c r="E184" i="5"/>
  <c r="G184" i="5"/>
  <c r="AE184" i="5" a="1"/>
  <c r="AE184" i="5" s="1"/>
  <c r="K184" i="5"/>
  <c r="J184" i="5"/>
  <c r="AH181" i="6"/>
  <c r="AE182" i="6"/>
  <c r="BG182" i="6" a="1"/>
  <c r="BG182" i="6" s="1"/>
  <c r="AZ182" i="6" a="1"/>
  <c r="AZ182" i="6" s="1"/>
  <c r="J183" i="12" a="1"/>
  <c r="J183" i="12" s="1"/>
  <c r="L183" i="12" a="1"/>
  <c r="L183" i="12" s="1"/>
  <c r="BE182" i="6" a="1"/>
  <c r="BE182" i="6" s="1"/>
  <c r="AJ182" i="6"/>
  <c r="AU182" i="6"/>
  <c r="AS182" i="6"/>
  <c r="AX182" i="6" a="1"/>
  <c r="AX182" i="6" s="1"/>
  <c r="AI182" i="6"/>
  <c r="AD182" i="6"/>
  <c r="A183" i="6"/>
  <c r="M183" i="6" s="1"/>
  <c r="AT183" i="6" s="1"/>
  <c r="J183" i="6" a="1"/>
  <c r="J183" i="6" s="1"/>
  <c r="H183" i="6" a="1"/>
  <c r="H183" i="6" s="1"/>
  <c r="T183" i="5" s="1"/>
  <c r="G183" i="12" s="1" a="1"/>
  <c r="G183" i="12" s="1"/>
  <c r="BA182" i="6" a="1"/>
  <c r="BA182" i="6" s="1"/>
  <c r="BF182" i="6" a="1"/>
  <c r="BF182" i="6" s="1"/>
  <c r="AH182" i="6"/>
  <c r="AQ182" i="6"/>
  <c r="B184" i="6"/>
  <c r="L185" i="6"/>
  <c r="AC182" i="6"/>
  <c r="AN182" i="6"/>
  <c r="AG182" i="6"/>
  <c r="AK182" i="6"/>
  <c r="AY182" i="6" a="1"/>
  <c r="AY182" i="6" s="1"/>
  <c r="AD181" i="6"/>
  <c r="BG181" i="6" a="1"/>
  <c r="BG181" i="6" s="1"/>
  <c r="BC181" i="6" a="1"/>
  <c r="BC181" i="6" s="1"/>
  <c r="AP181" i="6"/>
  <c r="AN181" i="6"/>
  <c r="AT181" i="6"/>
  <c r="AC181" i="6"/>
  <c r="BD181" i="6" a="1"/>
  <c r="BD181" i="6" s="1"/>
  <c r="AO181" i="6"/>
  <c r="AR181" i="6"/>
  <c r="AY181" i="6" a="1"/>
  <c r="AY181" i="6" s="1"/>
  <c r="AB181" i="6"/>
  <c r="AS181" i="6"/>
  <c r="BB181" i="6" a="1"/>
  <c r="BB181" i="6" s="1"/>
  <c r="BE181" i="6" a="1"/>
  <c r="BE181" i="6" s="1"/>
  <c r="AX181" i="6" a="1"/>
  <c r="AX181" i="6" s="1"/>
  <c r="AK181" i="6"/>
  <c r="AM181" i="6"/>
  <c r="AE181" i="6"/>
  <c r="AV181" i="6"/>
  <c r="BF181" i="6" a="1"/>
  <c r="BF181" i="6" s="1"/>
  <c r="BA181" i="6" a="1"/>
  <c r="BA181" i="6" s="1"/>
  <c r="AQ181" i="6"/>
  <c r="AZ181" i="6" a="1"/>
  <c r="AZ181" i="6" s="1"/>
  <c r="AU181" i="6"/>
  <c r="AV182" i="6"/>
  <c r="AT182" i="6"/>
  <c r="AJ181" i="6"/>
  <c r="AO182" i="6"/>
  <c r="N182" i="6"/>
  <c r="AF182" i="6"/>
  <c r="BC182" i="6" a="1"/>
  <c r="BC182" i="6" s="1"/>
  <c r="AG181" i="6"/>
  <c r="AI183" i="6" l="1"/>
  <c r="AS183" i="6"/>
  <c r="AF183" i="6"/>
  <c r="AP183" i="6"/>
  <c r="BF183" i="6" a="1"/>
  <c r="BF183" i="6" s="1"/>
  <c r="BA183" i="6" a="1"/>
  <c r="BA183" i="6" s="1"/>
  <c r="AO183" i="6"/>
  <c r="BD183" i="6" a="1"/>
  <c r="BD183" i="6" s="1"/>
  <c r="BC183" i="6" a="1"/>
  <c r="BC183" i="6" s="1"/>
  <c r="AC183" i="6"/>
  <c r="BB183" i="6" a="1"/>
  <c r="BB183" i="6" s="1"/>
  <c r="AJ183" i="6"/>
  <c r="AK183" i="6"/>
  <c r="AQ183" i="6"/>
  <c r="AG183" i="6"/>
  <c r="AY183" i="6" a="1"/>
  <c r="AY183" i="6" s="1"/>
  <c r="AV183" i="6"/>
  <c r="AZ183" i="6" a="1"/>
  <c r="AZ183" i="6" s="1"/>
  <c r="BG183" i="6" a="1"/>
  <c r="BG183" i="6" s="1"/>
  <c r="AB183" i="6"/>
  <c r="K183" i="12"/>
  <c r="E185" i="5"/>
  <c r="C186" i="5"/>
  <c r="W185" i="5" a="1"/>
  <c r="W185" i="5" s="1"/>
  <c r="H185" i="12" s="1" a="1"/>
  <c r="H185" i="12" s="1"/>
  <c r="A185" i="12"/>
  <c r="G185" i="5"/>
  <c r="AE185" i="5" a="1"/>
  <c r="AE185" i="5" s="1"/>
  <c r="AD185" i="5"/>
  <c r="I185" i="5"/>
  <c r="N185" i="5"/>
  <c r="D185" i="6" s="1"/>
  <c r="B185" i="5"/>
  <c r="AF185" i="5" a="1"/>
  <c r="AF185" i="5" s="1"/>
  <c r="F185" i="5"/>
  <c r="H185" i="5"/>
  <c r="L186" i="6"/>
  <c r="B185" i="6"/>
  <c r="F185" i="6"/>
  <c r="BE183" i="6" a="1"/>
  <c r="BE183" i="6" s="1"/>
  <c r="AM183" i="6"/>
  <c r="J184" i="6" a="1"/>
  <c r="J184" i="6" s="1"/>
  <c r="A184" i="6"/>
  <c r="M184" i="6" s="1"/>
  <c r="AQ184" i="6" s="1"/>
  <c r="AD183" i="6"/>
  <c r="H184" i="6" a="1"/>
  <c r="H184" i="6" s="1"/>
  <c r="T184" i="5" s="1"/>
  <c r="G184" i="12" s="1" a="1"/>
  <c r="G184" i="12" s="1"/>
  <c r="AE183" i="6"/>
  <c r="AN183" i="6"/>
  <c r="J184" i="12" a="1"/>
  <c r="J184" i="12" s="1"/>
  <c r="L184" i="12" a="1"/>
  <c r="L184" i="12" s="1"/>
  <c r="AU183" i="6"/>
  <c r="N183" i="6"/>
  <c r="AR183" i="6"/>
  <c r="AH183" i="6"/>
  <c r="AX183" i="6" a="1"/>
  <c r="AX183" i="6" s="1"/>
  <c r="AX184" i="6" l="1" a="1"/>
  <c r="AX184" i="6" s="1"/>
  <c r="AU184" i="6"/>
  <c r="AH184" i="6"/>
  <c r="AD184" i="6"/>
  <c r="BD184" i="6" a="1"/>
  <c r="BD184" i="6" s="1"/>
  <c r="AS184" i="6"/>
  <c r="AN184" i="6"/>
  <c r="K184" i="12"/>
  <c r="BB184" i="6" a="1"/>
  <c r="BB184" i="6" s="1"/>
  <c r="AY184" i="6" a="1"/>
  <c r="AY184" i="6" s="1"/>
  <c r="BF184" i="6" a="1"/>
  <c r="BF184" i="6" s="1"/>
  <c r="AO184" i="6"/>
  <c r="BA184" i="6" a="1"/>
  <c r="BA184" i="6" s="1"/>
  <c r="AC184" i="6"/>
  <c r="AT184" i="6"/>
  <c r="N185" i="6"/>
  <c r="G185" i="6"/>
  <c r="M185" i="6"/>
  <c r="BC185" i="6" s="1" a="1"/>
  <c r="BC185" i="6" s="1"/>
  <c r="H185" i="6" a="1"/>
  <c r="H185" i="6" s="1"/>
  <c r="T185" i="5" s="1"/>
  <c r="G185" i="12" s="1" a="1"/>
  <c r="G185" i="12" s="1"/>
  <c r="A186" i="12"/>
  <c r="K186" i="5"/>
  <c r="B186" i="5"/>
  <c r="N186" i="5"/>
  <c r="D186" i="6" s="1"/>
  <c r="C187" i="5"/>
  <c r="E186" i="5"/>
  <c r="G186" i="5"/>
  <c r="H186" i="5"/>
  <c r="J186" i="5"/>
  <c r="F186" i="5"/>
  <c r="D186" i="5"/>
  <c r="B186" i="12" s="1"/>
  <c r="AD186" i="5"/>
  <c r="AE186" i="5" a="1"/>
  <c r="AE186" i="5" s="1"/>
  <c r="AG185" i="5" a="1"/>
  <c r="AG185" i="5" s="1"/>
  <c r="S185" i="5" a="1"/>
  <c r="S185" i="5" s="1"/>
  <c r="F185" i="12" s="1" a="1"/>
  <c r="F185" i="12" s="1"/>
  <c r="AV184" i="6"/>
  <c r="AZ184" i="6" a="1"/>
  <c r="AZ184" i="6" s="1"/>
  <c r="AR184" i="6"/>
  <c r="AG184" i="6"/>
  <c r="AI184" i="6"/>
  <c r="AB184" i="6"/>
  <c r="AF184" i="6"/>
  <c r="BG184" i="6" a="1"/>
  <c r="BG184" i="6" s="1"/>
  <c r="J185" i="6" a="1"/>
  <c r="J185" i="6" s="1"/>
  <c r="A185" i="6"/>
  <c r="AM184" i="6"/>
  <c r="AE184" i="6"/>
  <c r="AJ184" i="6"/>
  <c r="AK184" i="6"/>
  <c r="BE184" i="6" a="1"/>
  <c r="BE184" i="6" s="1"/>
  <c r="L187" i="6"/>
  <c r="B186" i="6"/>
  <c r="BC184" i="6" a="1"/>
  <c r="BC184" i="6" s="1"/>
  <c r="AP184" i="6"/>
  <c r="N184" i="6"/>
  <c r="BA185" i="6" l="1" a="1"/>
  <c r="BA185" i="6" s="1"/>
  <c r="AT185" i="6"/>
  <c r="AJ185" i="6"/>
  <c r="AG185" i="6"/>
  <c r="BF185" i="6" a="1"/>
  <c r="BF185" i="6" s="1"/>
  <c r="AI185" i="6"/>
  <c r="AC185" i="6"/>
  <c r="AF185" i="6"/>
  <c r="AO185" i="6"/>
  <c r="AV185" i="6"/>
  <c r="AN185" i="6"/>
  <c r="AR185" i="6"/>
  <c r="AU185" i="6"/>
  <c r="AP185" i="6"/>
  <c r="AH185" i="6"/>
  <c r="BE185" i="6" a="1"/>
  <c r="BE185" i="6" s="1"/>
  <c r="AM185" i="6"/>
  <c r="AE185" i="6"/>
  <c r="AZ185" i="6" a="1"/>
  <c r="AZ185" i="6" s="1"/>
  <c r="AS185" i="6"/>
  <c r="AX185" i="6" a="1"/>
  <c r="AX185" i="6" s="1"/>
  <c r="AB185" i="6"/>
  <c r="AQ185" i="6"/>
  <c r="AY185" i="6" a="1"/>
  <c r="AY185" i="6" s="1"/>
  <c r="BB185" i="6" a="1"/>
  <c r="BB185" i="6" s="1"/>
  <c r="BD185" i="6" a="1"/>
  <c r="BD185" i="6" s="1"/>
  <c r="L186" i="12" a="1"/>
  <c r="L186" i="12" s="1"/>
  <c r="J186" i="12" a="1"/>
  <c r="J186" i="12" s="1"/>
  <c r="F187" i="5"/>
  <c r="G187" i="5"/>
  <c r="A187" i="12"/>
  <c r="B187" i="5"/>
  <c r="J187" i="5"/>
  <c r="H187" i="5"/>
  <c r="D187" i="5"/>
  <c r="B187" i="12" s="1"/>
  <c r="C188" i="5"/>
  <c r="N187" i="5"/>
  <c r="D187" i="6" s="1"/>
  <c r="K187" i="5"/>
  <c r="E187" i="5"/>
  <c r="AD187" i="5"/>
  <c r="AE187" i="5" a="1"/>
  <c r="AE187" i="5" s="1"/>
  <c r="A186" i="6"/>
  <c r="N186" i="6" s="1"/>
  <c r="J186" i="6" a="1"/>
  <c r="J186" i="6" s="1"/>
  <c r="L188" i="6"/>
  <c r="B187" i="6"/>
  <c r="AK185" i="6"/>
  <c r="H186" i="6" a="1"/>
  <c r="H186" i="6" s="1"/>
  <c r="T186" i="5" s="1"/>
  <c r="G186" i="12" s="1" a="1"/>
  <c r="G186" i="12" s="1"/>
  <c r="AD185" i="6"/>
  <c r="BG185" i="6" a="1"/>
  <c r="BG185" i="6" s="1"/>
  <c r="M186" i="6" l="1"/>
  <c r="AD186" i="6" s="1"/>
  <c r="J187" i="12" a="1"/>
  <c r="J187" i="12" s="1"/>
  <c r="L187" i="12" a="1"/>
  <c r="L187" i="12" s="1"/>
  <c r="K186" i="12"/>
  <c r="A187" i="6"/>
  <c r="N187" i="6" s="1"/>
  <c r="J187" i="6" a="1"/>
  <c r="J187" i="6" s="1"/>
  <c r="L189" i="6"/>
  <c r="B188" i="6"/>
  <c r="H187" i="6" a="1"/>
  <c r="H187" i="6" s="1"/>
  <c r="T187" i="5" s="1"/>
  <c r="G187" i="12" s="1" a="1"/>
  <c r="G187" i="12" s="1"/>
  <c r="F188" i="5"/>
  <c r="C189" i="5"/>
  <c r="B188" i="5"/>
  <c r="H188" i="5"/>
  <c r="N188" i="5"/>
  <c r="D188" i="6" s="1"/>
  <c r="E188" i="5"/>
  <c r="A188" i="12"/>
  <c r="AD188" i="5"/>
  <c r="AE188" i="5" a="1"/>
  <c r="AE188" i="5" s="1"/>
  <c r="K188" i="5"/>
  <c r="G188" i="5"/>
  <c r="D188" i="5"/>
  <c r="B188" i="12" s="1"/>
  <c r="J188" i="5"/>
  <c r="M187" i="6" l="1"/>
  <c r="AE187" i="6" s="1"/>
  <c r="AM186" i="6"/>
  <c r="BG186" i="6" a="1"/>
  <c r="BG186" i="6" s="1"/>
  <c r="AS186" i="6"/>
  <c r="BE186" i="6" a="1"/>
  <c r="BE186" i="6" s="1"/>
  <c r="AH186" i="6"/>
  <c r="AI186" i="6"/>
  <c r="AO186" i="6"/>
  <c r="BD186" i="6" a="1"/>
  <c r="BD186" i="6" s="1"/>
  <c r="AT186" i="6"/>
  <c r="AV186" i="6"/>
  <c r="BC186" i="6" a="1"/>
  <c r="BC186" i="6" s="1"/>
  <c r="AJ186" i="6"/>
  <c r="AK186" i="6"/>
  <c r="AY186" i="6" a="1"/>
  <c r="AY186" i="6" s="1"/>
  <c r="BB186" i="6" a="1"/>
  <c r="BB186" i="6" s="1"/>
  <c r="AN186" i="6"/>
  <c r="BA186" i="6" a="1"/>
  <c r="BA186" i="6" s="1"/>
  <c r="AU186" i="6"/>
  <c r="AR186" i="6"/>
  <c r="AX186" i="6" a="1"/>
  <c r="AX186" i="6" s="1"/>
  <c r="AQ186" i="6"/>
  <c r="AP186" i="6"/>
  <c r="AZ186" i="6" a="1"/>
  <c r="AZ186" i="6" s="1"/>
  <c r="AE186" i="6"/>
  <c r="AF186" i="6"/>
  <c r="K187" i="12"/>
  <c r="AB186" i="6"/>
  <c r="AG186" i="6"/>
  <c r="AC186" i="6"/>
  <c r="BF186" i="6" a="1"/>
  <c r="BF186" i="6" s="1"/>
  <c r="A188" i="6"/>
  <c r="N188" i="6" s="1"/>
  <c r="J188" i="6" a="1"/>
  <c r="J188" i="6" s="1"/>
  <c r="L190" i="6"/>
  <c r="B189" i="6"/>
  <c r="H189" i="5"/>
  <c r="N189" i="5"/>
  <c r="D189" i="6" s="1"/>
  <c r="E189" i="5"/>
  <c r="A189" i="12"/>
  <c r="AE189" i="5" a="1"/>
  <c r="AE189" i="5" s="1"/>
  <c r="F189" i="5"/>
  <c r="B189" i="5"/>
  <c r="C190" i="5" s="1"/>
  <c r="K189" i="5"/>
  <c r="D189" i="5"/>
  <c r="B189" i="12" s="1"/>
  <c r="G189" i="5"/>
  <c r="J189" i="5"/>
  <c r="AD189" i="5"/>
  <c r="H188" i="6" a="1"/>
  <c r="H188" i="6" s="1"/>
  <c r="T188" i="5" s="1"/>
  <c r="G188" i="12" s="1" a="1"/>
  <c r="G188" i="12" s="1"/>
  <c r="L188" i="12" a="1"/>
  <c r="L188" i="12" s="1"/>
  <c r="J188" i="12" a="1"/>
  <c r="J188" i="12" s="1"/>
  <c r="AY187" i="6" l="1" a="1"/>
  <c r="AY187" i="6" s="1"/>
  <c r="AH187" i="6"/>
  <c r="BB187" i="6" a="1"/>
  <c r="BB187" i="6" s="1"/>
  <c r="BA187" i="6" a="1"/>
  <c r="BA187" i="6" s="1"/>
  <c r="AT187" i="6"/>
  <c r="AV187" i="6"/>
  <c r="AN187" i="6"/>
  <c r="AO187" i="6"/>
  <c r="BC187" i="6" a="1"/>
  <c r="BC187" i="6" s="1"/>
  <c r="AI187" i="6"/>
  <c r="AB187" i="6"/>
  <c r="AK187" i="6"/>
  <c r="AC187" i="6"/>
  <c r="AS187" i="6"/>
  <c r="BF187" i="6" a="1"/>
  <c r="BF187" i="6" s="1"/>
  <c r="AU187" i="6"/>
  <c r="BE187" i="6" a="1"/>
  <c r="BE187" i="6" s="1"/>
  <c r="BG187" i="6" a="1"/>
  <c r="BG187" i="6" s="1"/>
  <c r="AZ187" i="6" a="1"/>
  <c r="AZ187" i="6" s="1"/>
  <c r="BD187" i="6" a="1"/>
  <c r="BD187" i="6" s="1"/>
  <c r="AJ187" i="6"/>
  <c r="AF187" i="6"/>
  <c r="AX187" i="6" a="1"/>
  <c r="AX187" i="6" s="1"/>
  <c r="AD187" i="6"/>
  <c r="AG187" i="6"/>
  <c r="AR187" i="6"/>
  <c r="AQ187" i="6"/>
  <c r="AP187" i="6"/>
  <c r="AM187" i="6"/>
  <c r="J189" i="6" a="1"/>
  <c r="J189" i="6" s="1"/>
  <c r="A189" i="6"/>
  <c r="N189" i="6" s="1"/>
  <c r="L191" i="6"/>
  <c r="B190" i="6"/>
  <c r="F190" i="6"/>
  <c r="AD190" i="5"/>
  <c r="W190" i="5" a="1"/>
  <c r="W190" i="5" s="1"/>
  <c r="H190" i="12" s="1" a="1"/>
  <c r="H190" i="12" s="1"/>
  <c r="I190" i="5"/>
  <c r="E190" i="5"/>
  <c r="AE190" i="5" a="1"/>
  <c r="AE190" i="5" s="1"/>
  <c r="B190" i="5"/>
  <c r="A190" i="12"/>
  <c r="G190" i="5"/>
  <c r="K185" i="5" s="1"/>
  <c r="N190" i="5"/>
  <c r="D190" i="6" s="1"/>
  <c r="H190" i="5"/>
  <c r="F190" i="5"/>
  <c r="AF190" i="5" a="1"/>
  <c r="AF190" i="5" s="1"/>
  <c r="C191" i="5"/>
  <c r="J189" i="12" a="1"/>
  <c r="J189" i="12" s="1"/>
  <c r="L189" i="12" a="1"/>
  <c r="L189" i="12" s="1"/>
  <c r="K188" i="12"/>
  <c r="M188" i="6"/>
  <c r="H189" i="6" a="1"/>
  <c r="H189" i="6" s="1"/>
  <c r="T189" i="5" s="1"/>
  <c r="G189" i="12" s="1" a="1"/>
  <c r="G189" i="12" s="1"/>
  <c r="K189" i="12" l="1"/>
  <c r="M189" i="6"/>
  <c r="BF189" i="6" s="1" a="1"/>
  <c r="BF189" i="6" s="1"/>
  <c r="B191" i="6"/>
  <c r="L192" i="6"/>
  <c r="H190" i="6" a="1"/>
  <c r="H190" i="6" s="1"/>
  <c r="T190" i="5" s="1"/>
  <c r="G190" i="12" s="1" a="1"/>
  <c r="G190" i="12" s="1"/>
  <c r="M190" i="6"/>
  <c r="AM190" i="6" s="1"/>
  <c r="G190" i="6"/>
  <c r="N190" i="6"/>
  <c r="A190" i="6"/>
  <c r="J190" i="6" a="1"/>
  <c r="J190" i="6" s="1"/>
  <c r="H191" i="5"/>
  <c r="A191" i="12"/>
  <c r="F191" i="5"/>
  <c r="N191" i="5"/>
  <c r="D191" i="6" s="1"/>
  <c r="E191" i="5"/>
  <c r="K191" i="5"/>
  <c r="AE191" i="5" a="1"/>
  <c r="AE191" i="5" s="1"/>
  <c r="C192" i="5"/>
  <c r="G191" i="5"/>
  <c r="AD191" i="5"/>
  <c r="B191" i="5"/>
  <c r="J191" i="5"/>
  <c r="D191" i="5"/>
  <c r="B191" i="12" s="1"/>
  <c r="AG190" i="5" a="1"/>
  <c r="AG190" i="5" s="1"/>
  <c r="S190" i="5" a="1"/>
  <c r="S190" i="5" s="1"/>
  <c r="F190" i="12" s="1" a="1"/>
  <c r="F190" i="12" s="1"/>
  <c r="AC188" i="6"/>
  <c r="AY188" i="6" a="1"/>
  <c r="AY188" i="6" s="1"/>
  <c r="AI188" i="6"/>
  <c r="AP188" i="6"/>
  <c r="AV188" i="6"/>
  <c r="AX188" i="6" a="1"/>
  <c r="AX188" i="6" s="1"/>
  <c r="AB188" i="6"/>
  <c r="AO188" i="6"/>
  <c r="AM188" i="6"/>
  <c r="AH188" i="6"/>
  <c r="AJ188" i="6"/>
  <c r="AE188" i="6"/>
  <c r="BF188" i="6" a="1"/>
  <c r="BF188" i="6" s="1"/>
  <c r="AU188" i="6"/>
  <c r="BB188" i="6" a="1"/>
  <c r="BB188" i="6" s="1"/>
  <c r="AG188" i="6"/>
  <c r="AS188" i="6"/>
  <c r="AQ188" i="6"/>
  <c r="AN188" i="6"/>
  <c r="AK188" i="6"/>
  <c r="BE188" i="6" a="1"/>
  <c r="BE188" i="6" s="1"/>
  <c r="AF188" i="6"/>
  <c r="AD188" i="6"/>
  <c r="AR188" i="6"/>
  <c r="BC188" i="6" a="1"/>
  <c r="BC188" i="6" s="1"/>
  <c r="BD188" i="6" a="1"/>
  <c r="BD188" i="6" s="1"/>
  <c r="AT188" i="6"/>
  <c r="AZ188" i="6" a="1"/>
  <c r="AZ188" i="6" s="1"/>
  <c r="BA188" i="6" a="1"/>
  <c r="BA188" i="6" s="1"/>
  <c r="BG188" i="6" a="1"/>
  <c r="BG188" i="6" s="1"/>
  <c r="BA189" i="6" l="1" a="1"/>
  <c r="BA189" i="6" s="1"/>
  <c r="BG189" i="6" a="1"/>
  <c r="BG189" i="6" s="1"/>
  <c r="AB189" i="6"/>
  <c r="AR189" i="6"/>
  <c r="AE189" i="6"/>
  <c r="AJ189" i="6"/>
  <c r="AY189" i="6" a="1"/>
  <c r="AY189" i="6" s="1"/>
  <c r="AD189" i="6"/>
  <c r="AX189" i="6" a="1"/>
  <c r="AX189" i="6" s="1"/>
  <c r="AQ189" i="6"/>
  <c r="BB189" i="6" a="1"/>
  <c r="BB189" i="6" s="1"/>
  <c r="AP189" i="6"/>
  <c r="AN189" i="6"/>
  <c r="AI189" i="6"/>
  <c r="AT189" i="6"/>
  <c r="BD189" i="6" a="1"/>
  <c r="BD189" i="6" s="1"/>
  <c r="AM189" i="6"/>
  <c r="AV190" i="6"/>
  <c r="BE190" i="6" a="1"/>
  <c r="BE190" i="6" s="1"/>
  <c r="AD190" i="6"/>
  <c r="AJ190" i="6"/>
  <c r="AC190" i="6"/>
  <c r="AB190" i="6"/>
  <c r="AU190" i="6"/>
  <c r="AI190" i="6"/>
  <c r="AZ190" i="6" a="1"/>
  <c r="AZ190" i="6" s="1"/>
  <c r="AK190" i="6"/>
  <c r="AX190" i="6" a="1"/>
  <c r="AX190" i="6" s="1"/>
  <c r="BD190" i="6" a="1"/>
  <c r="BD190" i="6" s="1"/>
  <c r="AY190" i="6" a="1"/>
  <c r="AY190" i="6" s="1"/>
  <c r="AP190" i="6"/>
  <c r="AQ190" i="6"/>
  <c r="AT190" i="6"/>
  <c r="BA190" i="6" a="1"/>
  <c r="BA190" i="6" s="1"/>
  <c r="BC190" i="6" a="1"/>
  <c r="BC190" i="6" s="1"/>
  <c r="AH190" i="6"/>
  <c r="AF190" i="6"/>
  <c r="AN190" i="6"/>
  <c r="AS189" i="6"/>
  <c r="AK189" i="6"/>
  <c r="AZ189" i="6" a="1"/>
  <c r="AZ189" i="6" s="1"/>
  <c r="AH189" i="6"/>
  <c r="AU189" i="6"/>
  <c r="AG189" i="6"/>
  <c r="AC189" i="6"/>
  <c r="BE189" i="6" a="1"/>
  <c r="BE189" i="6" s="1"/>
  <c r="BC189" i="6" a="1"/>
  <c r="BC189" i="6" s="1"/>
  <c r="AO189" i="6"/>
  <c r="AO190" i="6"/>
  <c r="AE190" i="6"/>
  <c r="BF190" i="6" a="1"/>
  <c r="BF190" i="6" s="1"/>
  <c r="AF189" i="6"/>
  <c r="BB190" i="6" a="1"/>
  <c r="BB190" i="6" s="1"/>
  <c r="AV189" i="6"/>
  <c r="BG190" i="6" a="1"/>
  <c r="BG190" i="6" s="1"/>
  <c r="L191" i="12" a="1"/>
  <c r="L191" i="12" s="1"/>
  <c r="J191" i="12" a="1"/>
  <c r="J191" i="12" s="1"/>
  <c r="AG190" i="6"/>
  <c r="H191" i="6" a="1"/>
  <c r="H191" i="6" s="1"/>
  <c r="T191" i="5" s="1"/>
  <c r="G191" i="12" s="1" a="1"/>
  <c r="G191" i="12" s="1"/>
  <c r="AR190" i="6"/>
  <c r="L193" i="6"/>
  <c r="B192" i="6"/>
  <c r="J192" i="5"/>
  <c r="A192" i="12"/>
  <c r="G192" i="5"/>
  <c r="E192" i="5"/>
  <c r="B192" i="5"/>
  <c r="C193" i="5" s="1"/>
  <c r="AE192" i="5" a="1"/>
  <c r="AE192" i="5" s="1"/>
  <c r="K192" i="5"/>
  <c r="N192" i="5"/>
  <c r="D192" i="6" s="1"/>
  <c r="F192" i="5"/>
  <c r="H192" i="5"/>
  <c r="D192" i="5"/>
  <c r="B192" i="12" s="1"/>
  <c r="AD192" i="5"/>
  <c r="AS190" i="6"/>
  <c r="A191" i="6"/>
  <c r="N191" i="6" s="1"/>
  <c r="J191" i="6" a="1"/>
  <c r="J191" i="6" s="1"/>
  <c r="J192" i="12" l="1" a="1"/>
  <c r="J192" i="12" s="1"/>
  <c r="L192" i="12" a="1"/>
  <c r="L192" i="12" s="1"/>
  <c r="I193" i="5"/>
  <c r="AF193" i="5" a="1"/>
  <c r="AF193" i="5" s="1"/>
  <c r="G193" i="5"/>
  <c r="H193" i="5"/>
  <c r="AE193" i="5" a="1"/>
  <c r="AE193" i="5" s="1"/>
  <c r="B193" i="5"/>
  <c r="C194" i="5" s="1"/>
  <c r="E193" i="5"/>
  <c r="F193" i="5"/>
  <c r="W193" i="5" a="1"/>
  <c r="W193" i="5" s="1"/>
  <c r="H193" i="12" s="1" a="1"/>
  <c r="H193" i="12" s="1"/>
  <c r="A193" i="12"/>
  <c r="N193" i="5"/>
  <c r="D193" i="6" s="1"/>
  <c r="AD193" i="5"/>
  <c r="J192" i="6" a="1"/>
  <c r="J192" i="6" s="1"/>
  <c r="A192" i="6"/>
  <c r="M192" i="6" s="1"/>
  <c r="AS192" i="6" s="1"/>
  <c r="L194" i="6"/>
  <c r="F193" i="6"/>
  <c r="B193" i="6"/>
  <c r="H192" i="6" a="1"/>
  <c r="H192" i="6" s="1"/>
  <c r="T192" i="5" s="1"/>
  <c r="G192" i="12" s="1" a="1"/>
  <c r="G192" i="12" s="1"/>
  <c r="K191" i="12"/>
  <c r="M191" i="6"/>
  <c r="AC191" i="6" s="1"/>
  <c r="K192" i="12" l="1"/>
  <c r="BD192" i="6" a="1"/>
  <c r="BD192" i="6" s="1"/>
  <c r="AB191" i="6"/>
  <c r="AT192" i="6"/>
  <c r="AU192" i="6"/>
  <c r="AI192" i="6"/>
  <c r="AP192" i="6"/>
  <c r="AB192" i="6"/>
  <c r="BF192" i="6" a="1"/>
  <c r="BF192" i="6" s="1"/>
  <c r="AK192" i="6"/>
  <c r="AR192" i="6"/>
  <c r="AG192" i="6"/>
  <c r="AF191" i="6"/>
  <c r="AU191" i="6"/>
  <c r="AR191" i="6"/>
  <c r="AV191" i="6"/>
  <c r="BG191" i="6" a="1"/>
  <c r="BG191" i="6" s="1"/>
  <c r="BB191" i="6" a="1"/>
  <c r="BB191" i="6" s="1"/>
  <c r="BD191" i="6" a="1"/>
  <c r="BD191" i="6" s="1"/>
  <c r="AS191" i="6"/>
  <c r="AQ191" i="6"/>
  <c r="AN191" i="6"/>
  <c r="AX191" i="6" a="1"/>
  <c r="AX191" i="6" s="1"/>
  <c r="AT191" i="6"/>
  <c r="BC191" i="6" a="1"/>
  <c r="BC191" i="6" s="1"/>
  <c r="BA191" i="6" a="1"/>
  <c r="BA191" i="6" s="1"/>
  <c r="BE191" i="6" a="1"/>
  <c r="BE191" i="6" s="1"/>
  <c r="AM191" i="6"/>
  <c r="AO191" i="6"/>
  <c r="AP191" i="6"/>
  <c r="AZ191" i="6" a="1"/>
  <c r="AZ191" i="6" s="1"/>
  <c r="BF191" i="6" a="1"/>
  <c r="BF191" i="6" s="1"/>
  <c r="AY191" i="6" a="1"/>
  <c r="AY191" i="6" s="1"/>
  <c r="AQ192" i="6"/>
  <c r="AJ191" i="6"/>
  <c r="AD191" i="6"/>
  <c r="AI191" i="6"/>
  <c r="M193" i="6"/>
  <c r="BA193" i="6" s="1" a="1"/>
  <c r="BA193" i="6" s="1"/>
  <c r="N193" i="6"/>
  <c r="H193" i="6" a="1"/>
  <c r="H193" i="6" s="1"/>
  <c r="T193" i="5" s="1"/>
  <c r="G193" i="12" s="1" a="1"/>
  <c r="G193" i="12" s="1"/>
  <c r="G193" i="6"/>
  <c r="AE192" i="6"/>
  <c r="J193" i="6" a="1"/>
  <c r="J193" i="6" s="1"/>
  <c r="A193" i="6"/>
  <c r="BG192" i="6" a="1"/>
  <c r="BG192" i="6" s="1"/>
  <c r="AY192" i="6" a="1"/>
  <c r="AY192" i="6" s="1"/>
  <c r="AJ192" i="6"/>
  <c r="AD192" i="6"/>
  <c r="AN192" i="6"/>
  <c r="AC192" i="6"/>
  <c r="AK191" i="6"/>
  <c r="AX192" i="6" a="1"/>
  <c r="AX192" i="6" s="1"/>
  <c r="BB192" i="6" a="1"/>
  <c r="BB192" i="6" s="1"/>
  <c r="AG191" i="6"/>
  <c r="B194" i="6"/>
  <c r="L195" i="6"/>
  <c r="F194" i="6"/>
  <c r="AE191" i="6"/>
  <c r="AH192" i="6"/>
  <c r="AH191" i="6"/>
  <c r="BC192" i="6" a="1"/>
  <c r="BC192" i="6" s="1"/>
  <c r="AV192" i="6"/>
  <c r="N192" i="6"/>
  <c r="BE192" i="6" a="1"/>
  <c r="BE192" i="6" s="1"/>
  <c r="AM192" i="6"/>
  <c r="AE194" i="5" a="1"/>
  <c r="AE194" i="5" s="1"/>
  <c r="N194" i="5"/>
  <c r="D194" i="6" s="1"/>
  <c r="C195" i="5"/>
  <c r="F194" i="5"/>
  <c r="B194" i="5"/>
  <c r="I194" i="5"/>
  <c r="G194" i="5"/>
  <c r="A194" i="12"/>
  <c r="E194" i="5"/>
  <c r="H194" i="5"/>
  <c r="AD194" i="5"/>
  <c r="W194" i="5" a="1"/>
  <c r="W194" i="5" s="1"/>
  <c r="H194" i="12" s="1" a="1"/>
  <c r="H194" i="12" s="1"/>
  <c r="AF194" i="5" a="1"/>
  <c r="AF194" i="5" s="1"/>
  <c r="AG193" i="5" a="1"/>
  <c r="AG193" i="5" s="1"/>
  <c r="S193" i="5" a="1"/>
  <c r="S193" i="5" s="1"/>
  <c r="F193" i="12" s="1" a="1"/>
  <c r="F193" i="12" s="1"/>
  <c r="AF192" i="6"/>
  <c r="AO192" i="6"/>
  <c r="BA192" i="6" a="1"/>
  <c r="BA192" i="6" s="1"/>
  <c r="AZ192" i="6" a="1"/>
  <c r="AZ192" i="6" s="1"/>
  <c r="BC193" i="6" l="1" a="1"/>
  <c r="BC193" i="6" s="1"/>
  <c r="AV193" i="6"/>
  <c r="AQ193" i="6"/>
  <c r="AO193" i="6"/>
  <c r="AB193" i="6"/>
  <c r="AG193" i="6"/>
  <c r="AK193" i="6"/>
  <c r="AF193" i="6"/>
  <c r="AC193" i="6"/>
  <c r="BD193" i="6" a="1"/>
  <c r="BD193" i="6" s="1"/>
  <c r="AI193" i="6"/>
  <c r="AY193" i="6" a="1"/>
  <c r="AY193" i="6" s="1"/>
  <c r="AJ193" i="6"/>
  <c r="AM193" i="6"/>
  <c r="BG193" i="6" a="1"/>
  <c r="BG193" i="6" s="1"/>
  <c r="AS193" i="6"/>
  <c r="BE193" i="6" a="1"/>
  <c r="BE193" i="6" s="1"/>
  <c r="AZ193" i="6" a="1"/>
  <c r="AZ193" i="6" s="1"/>
  <c r="BB193" i="6" a="1"/>
  <c r="BB193" i="6" s="1"/>
  <c r="AR193" i="6"/>
  <c r="AX193" i="6" a="1"/>
  <c r="AX193" i="6" s="1"/>
  <c r="AU193" i="6"/>
  <c r="AT193" i="6"/>
  <c r="AN193" i="6"/>
  <c r="J194" i="6" a="1"/>
  <c r="J194" i="6" s="1"/>
  <c r="A194" i="6"/>
  <c r="N194" i="6" s="1"/>
  <c r="H194" i="6" a="1"/>
  <c r="H194" i="6" s="1"/>
  <c r="T194" i="5" s="1"/>
  <c r="G194" i="12" s="1" a="1"/>
  <c r="G194" i="12" s="1"/>
  <c r="G194" i="6"/>
  <c r="M194" i="6"/>
  <c r="AM194" i="6" s="1"/>
  <c r="H195" i="5"/>
  <c r="G195" i="5"/>
  <c r="F195" i="5"/>
  <c r="K195" i="5"/>
  <c r="E195" i="5"/>
  <c r="AE195" i="5" a="1"/>
  <c r="AE195" i="5" s="1"/>
  <c r="N195" i="5"/>
  <c r="D195" i="6" s="1"/>
  <c r="AD195" i="5"/>
  <c r="A195" i="12"/>
  <c r="B195" i="5"/>
  <c r="C196" i="5" s="1"/>
  <c r="D195" i="5"/>
  <c r="B195" i="12" s="1"/>
  <c r="J195" i="5"/>
  <c r="AE193" i="6"/>
  <c r="AD193" i="6"/>
  <c r="BF193" i="6" a="1"/>
  <c r="BF193" i="6" s="1"/>
  <c r="AP193" i="6"/>
  <c r="AG194" i="5" a="1"/>
  <c r="AG194" i="5" s="1"/>
  <c r="S194" i="5" a="1"/>
  <c r="S194" i="5" s="1"/>
  <c r="F194" i="12" s="1" a="1"/>
  <c r="F194" i="12" s="1"/>
  <c r="L196" i="6"/>
  <c r="B195" i="6"/>
  <c r="AH193" i="6"/>
  <c r="AI194" i="6" l="1"/>
  <c r="AT194" i="6"/>
  <c r="AP194" i="6"/>
  <c r="BE194" i="6" a="1"/>
  <c r="BE194" i="6" s="1"/>
  <c r="AO194" i="6"/>
  <c r="BC194" i="6" a="1"/>
  <c r="BC194" i="6" s="1"/>
  <c r="BB194" i="6" a="1"/>
  <c r="BB194" i="6" s="1"/>
  <c r="AR194" i="6"/>
  <c r="AE194" i="6"/>
  <c r="AN194" i="6"/>
  <c r="BG194" i="6" a="1"/>
  <c r="BG194" i="6" s="1"/>
  <c r="AB194" i="6"/>
  <c r="AF194" i="6"/>
  <c r="AX194" i="6" a="1"/>
  <c r="AX194" i="6" s="1"/>
  <c r="AV194" i="6"/>
  <c r="AS194" i="6"/>
  <c r="AY194" i="6" a="1"/>
  <c r="AY194" i="6" s="1"/>
  <c r="AQ194" i="6"/>
  <c r="AZ194" i="6" a="1"/>
  <c r="AZ194" i="6" s="1"/>
  <c r="AJ194" i="6"/>
  <c r="AG194" i="6"/>
  <c r="BF194" i="6" a="1"/>
  <c r="BF194" i="6" s="1"/>
  <c r="AC194" i="6"/>
  <c r="BD194" i="6" a="1"/>
  <c r="BD194" i="6" s="1"/>
  <c r="BA194" i="6" a="1"/>
  <c r="BA194" i="6" s="1"/>
  <c r="AU194" i="6"/>
  <c r="A195" i="6"/>
  <c r="N195" i="6" s="1"/>
  <c r="J195" i="6" a="1"/>
  <c r="J195" i="6" s="1"/>
  <c r="L197" i="6"/>
  <c r="F196" i="6"/>
  <c r="B196" i="6"/>
  <c r="W196" i="5" a="1"/>
  <c r="W196" i="5" s="1"/>
  <c r="H196" i="12" s="1" a="1"/>
  <c r="H196" i="12" s="1"/>
  <c r="N196" i="5"/>
  <c r="D196" i="6" s="1"/>
  <c r="AD196" i="5"/>
  <c r="E196" i="5"/>
  <c r="B196" i="5"/>
  <c r="C197" i="5" s="1"/>
  <c r="H196" i="5"/>
  <c r="F196" i="5"/>
  <c r="AE196" i="5" a="1"/>
  <c r="AE196" i="5" s="1"/>
  <c r="I196" i="5"/>
  <c r="AF196" i="5" a="1"/>
  <c r="AF196" i="5" s="1"/>
  <c r="G196" i="5"/>
  <c r="A196" i="12"/>
  <c r="AD194" i="6"/>
  <c r="J195" i="12" a="1"/>
  <c r="J195" i="12" s="1"/>
  <c r="L195" i="12" a="1"/>
  <c r="L195" i="12" s="1"/>
  <c r="AH194" i="6"/>
  <c r="H195" i="6" a="1"/>
  <c r="H195" i="6" s="1"/>
  <c r="T195" i="5" s="1"/>
  <c r="G195" i="12" s="1" a="1"/>
  <c r="G195" i="12" s="1"/>
  <c r="AK194" i="6"/>
  <c r="K195" i="12" l="1"/>
  <c r="N196" i="6"/>
  <c r="H196" i="6" a="1"/>
  <c r="H196" i="6" s="1"/>
  <c r="T196" i="5" s="1"/>
  <c r="G196" i="12" s="1" a="1"/>
  <c r="G196" i="12" s="1"/>
  <c r="M196" i="6"/>
  <c r="BB196" i="6" s="1" a="1"/>
  <c r="BB196" i="6" s="1"/>
  <c r="G196" i="6"/>
  <c r="A196" i="6"/>
  <c r="J196" i="6" a="1"/>
  <c r="J196" i="6" s="1"/>
  <c r="S196" i="5" a="1"/>
  <c r="S196" i="5" s="1"/>
  <c r="F196" i="12" s="1" a="1"/>
  <c r="F196" i="12" s="1"/>
  <c r="AG196" i="5" a="1"/>
  <c r="AG196" i="5" s="1"/>
  <c r="B197" i="6"/>
  <c r="F197" i="6"/>
  <c r="L198" i="6"/>
  <c r="M195" i="6"/>
  <c r="AD197" i="5"/>
  <c r="F197" i="5"/>
  <c r="W197" i="5" a="1"/>
  <c r="W197" i="5" s="1"/>
  <c r="H197" i="12" s="1" a="1"/>
  <c r="H197" i="12" s="1"/>
  <c r="N197" i="5"/>
  <c r="D197" i="6" s="1"/>
  <c r="I197" i="5"/>
  <c r="AF197" i="5" a="1"/>
  <c r="AF197" i="5" s="1"/>
  <c r="H197" i="5"/>
  <c r="G197" i="5"/>
  <c r="B197" i="5"/>
  <c r="A197" i="12"/>
  <c r="C198" i="5"/>
  <c r="E197" i="5"/>
  <c r="AE197" i="5" a="1"/>
  <c r="AE197" i="5" s="1"/>
  <c r="AY196" i="6" l="1" a="1"/>
  <c r="AY196" i="6" s="1"/>
  <c r="AJ196" i="6"/>
  <c r="AD196" i="6"/>
  <c r="AB196" i="6"/>
  <c r="AC196" i="6"/>
  <c r="AT196" i="6"/>
  <c r="AM196" i="6"/>
  <c r="AI196" i="6"/>
  <c r="AS196" i="6"/>
  <c r="AN196" i="6"/>
  <c r="BC196" i="6" a="1"/>
  <c r="BC196" i="6" s="1"/>
  <c r="AX196" i="6" a="1"/>
  <c r="AX196" i="6" s="1"/>
  <c r="BF196" i="6" a="1"/>
  <c r="BF196" i="6" s="1"/>
  <c r="AQ196" i="6"/>
  <c r="BE196" i="6" a="1"/>
  <c r="BE196" i="6" s="1"/>
  <c r="AR196" i="6"/>
  <c r="AG196" i="6"/>
  <c r="BA196" i="6" a="1"/>
  <c r="BA196" i="6" s="1"/>
  <c r="AK196" i="6"/>
  <c r="AV196" i="6"/>
  <c r="AU196" i="6"/>
  <c r="A198" i="12"/>
  <c r="C199" i="5"/>
  <c r="G198" i="5"/>
  <c r="B198" i="5"/>
  <c r="E198" i="5"/>
  <c r="AD198" i="5"/>
  <c r="AE198" i="5" a="1"/>
  <c r="AE198" i="5" s="1"/>
  <c r="F198" i="5"/>
  <c r="D198" i="5"/>
  <c r="B198" i="12" s="1"/>
  <c r="H198" i="5"/>
  <c r="J198" i="5"/>
  <c r="K198" i="5"/>
  <c r="N198" i="5"/>
  <c r="D198" i="6" s="1"/>
  <c r="B198" i="6"/>
  <c r="L199" i="6"/>
  <c r="AE196" i="6"/>
  <c r="AK195" i="6"/>
  <c r="AO195" i="6"/>
  <c r="AT195" i="6"/>
  <c r="BF195" i="6" a="1"/>
  <c r="BF195" i="6" s="1"/>
  <c r="AF195" i="6"/>
  <c r="AR195" i="6"/>
  <c r="AD195" i="6"/>
  <c r="AS195" i="6"/>
  <c r="AB195" i="6"/>
  <c r="AN195" i="6"/>
  <c r="BG195" i="6" a="1"/>
  <c r="BG195" i="6" s="1"/>
  <c r="AH195" i="6"/>
  <c r="BB195" i="6" a="1"/>
  <c r="BB195" i="6" s="1"/>
  <c r="BC195" i="6" a="1"/>
  <c r="BC195" i="6" s="1"/>
  <c r="AJ195" i="6"/>
  <c r="AC195" i="6"/>
  <c r="AV195" i="6"/>
  <c r="AZ195" i="6" a="1"/>
  <c r="AZ195" i="6" s="1"/>
  <c r="BD195" i="6" a="1"/>
  <c r="BD195" i="6" s="1"/>
  <c r="AI195" i="6"/>
  <c r="AE195" i="6"/>
  <c r="BA195" i="6" a="1"/>
  <c r="BA195" i="6" s="1"/>
  <c r="AX195" i="6" a="1"/>
  <c r="AX195" i="6" s="1"/>
  <c r="AM195" i="6"/>
  <c r="AG195" i="6"/>
  <c r="AQ195" i="6"/>
  <c r="AU195" i="6"/>
  <c r="BE195" i="6" a="1"/>
  <c r="BE195" i="6" s="1"/>
  <c r="AY195" i="6" a="1"/>
  <c r="AY195" i="6" s="1"/>
  <c r="AP195" i="6"/>
  <c r="J197" i="6" a="1"/>
  <c r="J197" i="6" s="1"/>
  <c r="A197" i="6"/>
  <c r="AP196" i="6"/>
  <c r="AO196" i="6"/>
  <c r="AG197" i="5" a="1"/>
  <c r="AG197" i="5" s="1"/>
  <c r="S197" i="5" a="1"/>
  <c r="S197" i="5" s="1"/>
  <c r="F197" i="12" s="1" a="1"/>
  <c r="F197" i="12" s="1"/>
  <c r="BG196" i="6" a="1"/>
  <c r="BG196" i="6" s="1"/>
  <c r="AH196" i="6"/>
  <c r="AZ196" i="6" a="1"/>
  <c r="AZ196" i="6" s="1"/>
  <c r="BD196" i="6" a="1"/>
  <c r="BD196" i="6" s="1"/>
  <c r="H197" i="6" a="1"/>
  <c r="H197" i="6" s="1"/>
  <c r="T197" i="5" s="1"/>
  <c r="G197" i="12" s="1" a="1"/>
  <c r="G197" i="12" s="1"/>
  <c r="M197" i="6"/>
  <c r="AQ197" i="6" s="1"/>
  <c r="N197" i="6"/>
  <c r="G197" i="6"/>
  <c r="AF196" i="6"/>
  <c r="AT197" i="6" l="1"/>
  <c r="BF197" i="6" a="1"/>
  <c r="BF197" i="6" s="1"/>
  <c r="AZ197" i="6" a="1"/>
  <c r="AZ197" i="6" s="1"/>
  <c r="AN197" i="6"/>
  <c r="AM197" i="6"/>
  <c r="AD197" i="6"/>
  <c r="AG197" i="6"/>
  <c r="AX197" i="6" a="1"/>
  <c r="AX197" i="6" s="1"/>
  <c r="AC197" i="6"/>
  <c r="AS197" i="6"/>
  <c r="AI197" i="6"/>
  <c r="AV197" i="6"/>
  <c r="AO197" i="6"/>
  <c r="AU197" i="6"/>
  <c r="AR197" i="6"/>
  <c r="H198" i="6" a="1"/>
  <c r="H198" i="6" s="1"/>
  <c r="T198" i="5" s="1"/>
  <c r="G198" i="12" s="1" a="1"/>
  <c r="G198" i="12" s="1"/>
  <c r="BD197" i="6" a="1"/>
  <c r="BD197" i="6" s="1"/>
  <c r="AB197" i="6"/>
  <c r="AF197" i="6"/>
  <c r="AH197" i="6"/>
  <c r="BC197" i="6" a="1"/>
  <c r="BC197" i="6" s="1"/>
  <c r="BB197" i="6" a="1"/>
  <c r="BB197" i="6" s="1"/>
  <c r="AY197" i="6" a="1"/>
  <c r="AY197" i="6" s="1"/>
  <c r="A198" i="6"/>
  <c r="M198" i="6" s="1"/>
  <c r="BD198" i="6" s="1" a="1"/>
  <c r="BD198" i="6" s="1"/>
  <c r="J198" i="6" a="1"/>
  <c r="J198" i="6" s="1"/>
  <c r="AE197" i="6"/>
  <c r="AK197" i="6"/>
  <c r="BG197" i="6" a="1"/>
  <c r="BG197" i="6" s="1"/>
  <c r="K199" i="5"/>
  <c r="D199" i="5"/>
  <c r="B199" i="12" s="1"/>
  <c r="J199" i="5"/>
  <c r="E199" i="5"/>
  <c r="AE199" i="5" a="1"/>
  <c r="AE199" i="5" s="1"/>
  <c r="H199" i="5"/>
  <c r="A199" i="12"/>
  <c r="AD199" i="5"/>
  <c r="N199" i="5"/>
  <c r="D199" i="6" s="1"/>
  <c r="B199" i="5"/>
  <c r="C200" i="5" s="1"/>
  <c r="F199" i="5"/>
  <c r="G199" i="5"/>
  <c r="BE197" i="6" a="1"/>
  <c r="BE197" i="6" s="1"/>
  <c r="AJ197" i="6"/>
  <c r="AP197" i="6"/>
  <c r="BA197" i="6" a="1"/>
  <c r="BA197" i="6" s="1"/>
  <c r="B199" i="6"/>
  <c r="L200" i="6"/>
  <c r="J198" i="12" a="1"/>
  <c r="J198" i="12" s="1"/>
  <c r="L198" i="12" a="1"/>
  <c r="L198" i="12" s="1"/>
  <c r="N198" i="6" l="1"/>
  <c r="K198" i="12"/>
  <c r="AM198" i="6"/>
  <c r="AO198" i="6"/>
  <c r="AE198" i="6"/>
  <c r="AU198" i="6"/>
  <c r="AH198" i="6"/>
  <c r="AN198" i="6"/>
  <c r="AX198" i="6" a="1"/>
  <c r="AX198" i="6" s="1"/>
  <c r="AV198" i="6"/>
  <c r="AY198" i="6" a="1"/>
  <c r="AY198" i="6" s="1"/>
  <c r="F200" i="6"/>
  <c r="L201" i="6"/>
  <c r="B200" i="6"/>
  <c r="AG198" i="6"/>
  <c r="BF198" i="6" a="1"/>
  <c r="BF198" i="6" s="1"/>
  <c r="AD198" i="6"/>
  <c r="AI198" i="6"/>
  <c r="BE198" i="6" a="1"/>
  <c r="BE198" i="6" s="1"/>
  <c r="AS198" i="6"/>
  <c r="AC198" i="6"/>
  <c r="AT198" i="6"/>
  <c r="B200" i="5"/>
  <c r="A200" i="12"/>
  <c r="AD200" i="5"/>
  <c r="E200" i="5"/>
  <c r="H200" i="5"/>
  <c r="I200" i="5"/>
  <c r="C201" i="5"/>
  <c r="AF200" i="5" a="1"/>
  <c r="AF200" i="5" s="1"/>
  <c r="N200" i="5"/>
  <c r="D200" i="6" s="1"/>
  <c r="W200" i="5" a="1"/>
  <c r="W200" i="5" s="1"/>
  <c r="H200" i="12" s="1" a="1"/>
  <c r="H200" i="12" s="1"/>
  <c r="AE200" i="5" a="1"/>
  <c r="AE200" i="5" s="1"/>
  <c r="G200" i="5"/>
  <c r="F200" i="5"/>
  <c r="AK198" i="6"/>
  <c r="A199" i="6"/>
  <c r="N199" i="6" s="1"/>
  <c r="J199" i="6" a="1"/>
  <c r="J199" i="6" s="1"/>
  <c r="AF198" i="6"/>
  <c r="BB198" i="6" a="1"/>
  <c r="BB198" i="6" s="1"/>
  <c r="H199" i="6" a="1"/>
  <c r="H199" i="6" s="1"/>
  <c r="T199" i="5" s="1"/>
  <c r="G199" i="12" s="1" a="1"/>
  <c r="G199" i="12" s="1"/>
  <c r="BG198" i="6" a="1"/>
  <c r="BG198" i="6" s="1"/>
  <c r="AP198" i="6"/>
  <c r="AQ198" i="6"/>
  <c r="AB198" i="6"/>
  <c r="AZ198" i="6" a="1"/>
  <c r="AZ198" i="6" s="1"/>
  <c r="AJ198" i="6"/>
  <c r="AR198" i="6"/>
  <c r="BC198" i="6" a="1"/>
  <c r="BC198" i="6" s="1"/>
  <c r="J199" i="12" a="1"/>
  <c r="J199" i="12" s="1"/>
  <c r="L199" i="12" a="1"/>
  <c r="L199" i="12" s="1"/>
  <c r="BA198" i="6" a="1"/>
  <c r="BA198" i="6" s="1"/>
  <c r="K199" i="12" l="1"/>
  <c r="L202" i="6"/>
  <c r="B201" i="6"/>
  <c r="S200" i="5" a="1"/>
  <c r="S200" i="5" s="1"/>
  <c r="F200" i="12" s="1" a="1"/>
  <c r="F200" i="12" s="1"/>
  <c r="AG200" i="5" a="1"/>
  <c r="AG200" i="5" s="1"/>
  <c r="N200" i="6"/>
  <c r="H200" i="6" a="1"/>
  <c r="H200" i="6" s="1"/>
  <c r="T200" i="5" s="1"/>
  <c r="G200" i="12" s="1" a="1"/>
  <c r="G200" i="12" s="1"/>
  <c r="M200" i="6"/>
  <c r="BG200" i="6" s="1" a="1"/>
  <c r="BG200" i="6" s="1"/>
  <c r="G200" i="6"/>
  <c r="M199" i="6"/>
  <c r="J200" i="6" a="1"/>
  <c r="J200" i="6" s="1"/>
  <c r="A200" i="6"/>
  <c r="J201" i="5"/>
  <c r="A201" i="12"/>
  <c r="AD201" i="5"/>
  <c r="C202" i="5"/>
  <c r="G201" i="5"/>
  <c r="AE201" i="5" a="1"/>
  <c r="AE201" i="5" s="1"/>
  <c r="E201" i="5"/>
  <c r="K201" i="5"/>
  <c r="D201" i="5"/>
  <c r="B201" i="12" s="1"/>
  <c r="F201" i="5"/>
  <c r="N201" i="5"/>
  <c r="D201" i="6" s="1"/>
  <c r="B201" i="5"/>
  <c r="H201" i="5"/>
  <c r="AU200" i="6" l="1"/>
  <c r="AB200" i="6"/>
  <c r="AD200" i="6"/>
  <c r="BF200" i="6" a="1"/>
  <c r="BF200" i="6" s="1"/>
  <c r="AI200" i="6"/>
  <c r="BC200" i="6" a="1"/>
  <c r="BC200" i="6" s="1"/>
  <c r="AJ200" i="6"/>
  <c r="AX200" i="6" a="1"/>
  <c r="AX200" i="6" s="1"/>
  <c r="AO200" i="6"/>
  <c r="AV200" i="6"/>
  <c r="AF200" i="6"/>
  <c r="AP200" i="6"/>
  <c r="AK200" i="6"/>
  <c r="AT200" i="6"/>
  <c r="H201" i="6" a="1"/>
  <c r="H201" i="6" s="1"/>
  <c r="T201" i="5" s="1"/>
  <c r="G201" i="12" s="1" a="1"/>
  <c r="G201" i="12" s="1"/>
  <c r="BD200" i="6" a="1"/>
  <c r="BD200" i="6" s="1"/>
  <c r="AN200" i="6"/>
  <c r="AE202" i="5" a="1"/>
  <c r="AE202" i="5" s="1"/>
  <c r="B202" i="5"/>
  <c r="C203" i="5" s="1"/>
  <c r="G202" i="5"/>
  <c r="F202" i="5"/>
  <c r="K202" i="5"/>
  <c r="H202" i="5"/>
  <c r="AD202" i="5"/>
  <c r="J202" i="5"/>
  <c r="A202" i="12"/>
  <c r="E202" i="5"/>
  <c r="N202" i="5"/>
  <c r="D202" i="6" s="1"/>
  <c r="D202" i="5"/>
  <c r="B202" i="12" s="1"/>
  <c r="AR200" i="6"/>
  <c r="BE200" i="6" a="1"/>
  <c r="BE200" i="6" s="1"/>
  <c r="AE200" i="6"/>
  <c r="AH200" i="6"/>
  <c r="AY200" i="6" a="1"/>
  <c r="AY200" i="6" s="1"/>
  <c r="L201" i="12" a="1"/>
  <c r="L201" i="12" s="1"/>
  <c r="J201" i="12" a="1"/>
  <c r="J201" i="12" s="1"/>
  <c r="AM200" i="6"/>
  <c r="AX199" i="6" a="1"/>
  <c r="AX199" i="6" s="1"/>
  <c r="AN199" i="6"/>
  <c r="AZ199" i="6" a="1"/>
  <c r="AZ199" i="6" s="1"/>
  <c r="AP199" i="6"/>
  <c r="AQ199" i="6"/>
  <c r="AM199" i="6"/>
  <c r="BA199" i="6" a="1"/>
  <c r="BA199" i="6" s="1"/>
  <c r="BD199" i="6" a="1"/>
  <c r="BD199" i="6" s="1"/>
  <c r="BE199" i="6" a="1"/>
  <c r="BE199" i="6" s="1"/>
  <c r="BB199" i="6" a="1"/>
  <c r="BB199" i="6" s="1"/>
  <c r="AK199" i="6"/>
  <c r="AF199" i="6"/>
  <c r="AG199" i="6"/>
  <c r="AV199" i="6"/>
  <c r="AD199" i="6"/>
  <c r="BC199" i="6" a="1"/>
  <c r="BC199" i="6" s="1"/>
  <c r="AE199" i="6"/>
  <c r="AY199" i="6" a="1"/>
  <c r="AY199" i="6" s="1"/>
  <c r="AO199" i="6"/>
  <c r="AJ199" i="6"/>
  <c r="AB199" i="6"/>
  <c r="AH199" i="6"/>
  <c r="BG199" i="6" a="1"/>
  <c r="BG199" i="6" s="1"/>
  <c r="AU199" i="6"/>
  <c r="BF199" i="6" a="1"/>
  <c r="BF199" i="6" s="1"/>
  <c r="AR199" i="6"/>
  <c r="AI199" i="6"/>
  <c r="AS199" i="6"/>
  <c r="AT199" i="6"/>
  <c r="AC199" i="6"/>
  <c r="BA200" i="6" a="1"/>
  <c r="BA200" i="6" s="1"/>
  <c r="A201" i="6"/>
  <c r="M201" i="6" s="1"/>
  <c r="AY201" i="6" s="1" a="1"/>
  <c r="AY201" i="6" s="1"/>
  <c r="J201" i="6" a="1"/>
  <c r="J201" i="6" s="1"/>
  <c r="AG200" i="6"/>
  <c r="AZ200" i="6" a="1"/>
  <c r="AZ200" i="6" s="1"/>
  <c r="AS200" i="6"/>
  <c r="L203" i="6"/>
  <c r="B202" i="6"/>
  <c r="AC200" i="6"/>
  <c r="AQ200" i="6"/>
  <c r="BB200" i="6" a="1"/>
  <c r="BB200" i="6" s="1"/>
  <c r="K201" i="12" l="1"/>
  <c r="BG201" i="6" a="1"/>
  <c r="BG201" i="6" s="1"/>
  <c r="BF201" i="6" a="1"/>
  <c r="BF201" i="6" s="1"/>
  <c r="AX201" i="6" a="1"/>
  <c r="AX201" i="6" s="1"/>
  <c r="AR201" i="6"/>
  <c r="AH201" i="6"/>
  <c r="AQ201" i="6"/>
  <c r="AK201" i="6"/>
  <c r="AF203" i="5" a="1"/>
  <c r="AF203" i="5" s="1"/>
  <c r="N203" i="5"/>
  <c r="D203" i="6" s="1"/>
  <c r="W203" i="5" a="1"/>
  <c r="W203" i="5" s="1"/>
  <c r="H203" i="12" s="1" a="1"/>
  <c r="H203" i="12" s="1"/>
  <c r="I203" i="5"/>
  <c r="B203" i="5"/>
  <c r="C204" i="5" s="1"/>
  <c r="G203" i="5"/>
  <c r="AD203" i="5"/>
  <c r="E203" i="5"/>
  <c r="F203" i="5"/>
  <c r="A203" i="12"/>
  <c r="AE203" i="5" a="1"/>
  <c r="AE203" i="5" s="1"/>
  <c r="H203" i="5"/>
  <c r="AD201" i="6"/>
  <c r="BD201" i="6" a="1"/>
  <c r="BD201" i="6" s="1"/>
  <c r="N201" i="6"/>
  <c r="AU201" i="6"/>
  <c r="AE201" i="6"/>
  <c r="AZ201" i="6" a="1"/>
  <c r="AZ201" i="6" s="1"/>
  <c r="AG201" i="6"/>
  <c r="BA201" i="6" a="1"/>
  <c r="BA201" i="6" s="1"/>
  <c r="BC201" i="6" a="1"/>
  <c r="BC201" i="6" s="1"/>
  <c r="AC201" i="6"/>
  <c r="AT201" i="6"/>
  <c r="H202" i="6" a="1"/>
  <c r="H202" i="6" s="1"/>
  <c r="T202" i="5" s="1"/>
  <c r="G202" i="12" s="1" a="1"/>
  <c r="G202" i="12" s="1"/>
  <c r="AF201" i="6"/>
  <c r="AS201" i="6"/>
  <c r="AB201" i="6"/>
  <c r="L204" i="6"/>
  <c r="B203" i="6"/>
  <c r="F203" i="6"/>
  <c r="BB201" i="6" a="1"/>
  <c r="BB201" i="6" s="1"/>
  <c r="AP201" i="6"/>
  <c r="AM201" i="6"/>
  <c r="L202" i="12" a="1"/>
  <c r="L202" i="12" s="1"/>
  <c r="J202" i="12" a="1"/>
  <c r="J202" i="12" s="1"/>
  <c r="AV201" i="6"/>
  <c r="AI201" i="6"/>
  <c r="A202" i="6"/>
  <c r="N202" i="6" s="1"/>
  <c r="J202" i="6" a="1"/>
  <c r="J202" i="6" s="1"/>
  <c r="AN201" i="6"/>
  <c r="BE201" i="6" a="1"/>
  <c r="BE201" i="6" s="1"/>
  <c r="AO201" i="6"/>
  <c r="AJ201" i="6"/>
  <c r="M202" i="6" l="1"/>
  <c r="AZ202" i="6" s="1" a="1"/>
  <c r="AZ202" i="6" s="1"/>
  <c r="AD204" i="5"/>
  <c r="AF204" i="5" a="1"/>
  <c r="AF204" i="5" s="1"/>
  <c r="A204" i="12"/>
  <c r="F204" i="5"/>
  <c r="E204" i="5"/>
  <c r="W204" i="5" a="1"/>
  <c r="W204" i="5" s="1"/>
  <c r="H204" i="12" s="1" a="1"/>
  <c r="H204" i="12" s="1"/>
  <c r="AE204" i="5" a="1"/>
  <c r="AE204" i="5" s="1"/>
  <c r="G204" i="5"/>
  <c r="B204" i="5"/>
  <c r="H204" i="5"/>
  <c r="I204" i="5"/>
  <c r="N204" i="5"/>
  <c r="D204" i="6" s="1"/>
  <c r="C205" i="5"/>
  <c r="H203" i="6" a="1"/>
  <c r="H203" i="6" s="1"/>
  <c r="T203" i="5" s="1"/>
  <c r="G203" i="12" s="1" a="1"/>
  <c r="G203" i="12" s="1"/>
  <c r="M203" i="6"/>
  <c r="AQ203" i="6" s="1"/>
  <c r="N203" i="6"/>
  <c r="G203" i="6"/>
  <c r="S203" i="5" a="1"/>
  <c r="S203" i="5" s="1"/>
  <c r="F203" i="12" s="1" a="1"/>
  <c r="F203" i="12" s="1"/>
  <c r="AG203" i="5" a="1"/>
  <c r="AG203" i="5" s="1"/>
  <c r="J203" i="6" a="1"/>
  <c r="J203" i="6" s="1"/>
  <c r="A203" i="6"/>
  <c r="F204" i="6"/>
  <c r="L205" i="6"/>
  <c r="B204" i="6"/>
  <c r="K202" i="12"/>
  <c r="AI202" i="6" l="1"/>
  <c r="AX203" i="6" a="1"/>
  <c r="AX203" i="6" s="1"/>
  <c r="AT203" i="6"/>
  <c r="BA202" i="6" a="1"/>
  <c r="BA202" i="6" s="1"/>
  <c r="AX202" i="6" a="1"/>
  <c r="AX202" i="6" s="1"/>
  <c r="AI203" i="6"/>
  <c r="AO203" i="6"/>
  <c r="AP202" i="6"/>
  <c r="AG203" i="6"/>
  <c r="AV202" i="6"/>
  <c r="AD202" i="6"/>
  <c r="BC202" i="6" a="1"/>
  <c r="BC202" i="6" s="1"/>
  <c r="AJ202" i="6"/>
  <c r="BG202" i="6" a="1"/>
  <c r="BG202" i="6" s="1"/>
  <c r="AQ202" i="6"/>
  <c r="AS202" i="6"/>
  <c r="BE202" i="6" a="1"/>
  <c r="BE202" i="6" s="1"/>
  <c r="AB202" i="6"/>
  <c r="BF202" i="6" a="1"/>
  <c r="BF202" i="6" s="1"/>
  <c r="AO202" i="6"/>
  <c r="BB202" i="6" a="1"/>
  <c r="BB202" i="6" s="1"/>
  <c r="AH202" i="6"/>
  <c r="AU202" i="6"/>
  <c r="BD202" i="6" a="1"/>
  <c r="BD202" i="6" s="1"/>
  <c r="AY202" i="6" a="1"/>
  <c r="AY202" i="6" s="1"/>
  <c r="AN202" i="6"/>
  <c r="AF202" i="6"/>
  <c r="AK202" i="6"/>
  <c r="AT202" i="6"/>
  <c r="AM202" i="6"/>
  <c r="AR202" i="6"/>
  <c r="AE202" i="6"/>
  <c r="AG202" i="6"/>
  <c r="AC202" i="6"/>
  <c r="N204" i="6"/>
  <c r="H204" i="6" a="1"/>
  <c r="H204" i="6" s="1"/>
  <c r="T204" i="5" s="1"/>
  <c r="G204" i="12" s="1" a="1"/>
  <c r="G204" i="12" s="1"/>
  <c r="M204" i="6"/>
  <c r="BB204" i="6" s="1" a="1"/>
  <c r="BB204" i="6" s="1"/>
  <c r="G204" i="6"/>
  <c r="BD203" i="6" a="1"/>
  <c r="BD203" i="6" s="1"/>
  <c r="AV203" i="6"/>
  <c r="BA203" i="6" a="1"/>
  <c r="BA203" i="6" s="1"/>
  <c r="BG203" i="6" a="1"/>
  <c r="BG203" i="6" s="1"/>
  <c r="AR203" i="6"/>
  <c r="AJ203" i="6"/>
  <c r="F205" i="5"/>
  <c r="AD205" i="5"/>
  <c r="E205" i="5"/>
  <c r="D205" i="5"/>
  <c r="B205" i="12" s="1"/>
  <c r="AE205" i="5" a="1"/>
  <c r="AE205" i="5" s="1"/>
  <c r="N205" i="5"/>
  <c r="D205" i="6" s="1"/>
  <c r="K205" i="5"/>
  <c r="G205" i="5"/>
  <c r="H205" i="5"/>
  <c r="B205" i="5"/>
  <c r="C206" i="5" s="1"/>
  <c r="J205" i="5"/>
  <c r="A205" i="12"/>
  <c r="BF203" i="6" a="1"/>
  <c r="BF203" i="6" s="1"/>
  <c r="A204" i="6"/>
  <c r="J204" i="6" a="1"/>
  <c r="J204" i="6" s="1"/>
  <c r="AP203" i="6"/>
  <c r="BC203" i="6" a="1"/>
  <c r="BC203" i="6" s="1"/>
  <c r="AY203" i="6" a="1"/>
  <c r="AY203" i="6" s="1"/>
  <c r="AG204" i="5" a="1"/>
  <c r="AG204" i="5" s="1"/>
  <c r="S204" i="5" a="1"/>
  <c r="S204" i="5" s="1"/>
  <c r="F204" i="12" s="1" a="1"/>
  <c r="F204" i="12" s="1"/>
  <c r="BE203" i="6" a="1"/>
  <c r="BE203" i="6" s="1"/>
  <c r="AD203" i="6"/>
  <c r="AS203" i="6"/>
  <c r="B205" i="6"/>
  <c r="L206" i="6"/>
  <c r="AZ203" i="6" a="1"/>
  <c r="AZ203" i="6" s="1"/>
  <c r="AF203" i="6"/>
  <c r="AK203" i="6"/>
  <c r="AC203" i="6"/>
  <c r="AU203" i="6"/>
  <c r="AE203" i="6"/>
  <c r="AH203" i="6"/>
  <c r="AB203" i="6"/>
  <c r="AN203" i="6"/>
  <c r="AM203" i="6"/>
  <c r="BB203" i="6" a="1"/>
  <c r="BB203" i="6" s="1"/>
  <c r="AH204" i="6" l="1"/>
  <c r="BG204" i="6" a="1"/>
  <c r="BG204" i="6" s="1"/>
  <c r="BD204" i="6" a="1"/>
  <c r="BD204" i="6" s="1"/>
  <c r="AP204" i="6"/>
  <c r="AO204" i="6"/>
  <c r="BC204" i="6" a="1"/>
  <c r="BC204" i="6" s="1"/>
  <c r="AF204" i="6"/>
  <c r="AT204" i="6"/>
  <c r="AZ204" i="6" a="1"/>
  <c r="AZ204" i="6" s="1"/>
  <c r="AM204" i="6"/>
  <c r="AG204" i="6"/>
  <c r="AX204" i="6" a="1"/>
  <c r="AX204" i="6" s="1"/>
  <c r="AY204" i="6" a="1"/>
  <c r="AY204" i="6" s="1"/>
  <c r="AS204" i="6"/>
  <c r="BF204" i="6" a="1"/>
  <c r="BF204" i="6" s="1"/>
  <c r="AE204" i="6"/>
  <c r="AR204" i="6"/>
  <c r="AU204" i="6"/>
  <c r="AJ204" i="6"/>
  <c r="AV204" i="6"/>
  <c r="AB204" i="6"/>
  <c r="AI204" i="6"/>
  <c r="AD204" i="6"/>
  <c r="L205" i="12" a="1"/>
  <c r="L205" i="12" s="1"/>
  <c r="J205" i="12" a="1"/>
  <c r="J205" i="12" s="1"/>
  <c r="H205" i="6" a="1"/>
  <c r="H205" i="6" s="1"/>
  <c r="T205" i="5" s="1"/>
  <c r="G205" i="12" s="1" a="1"/>
  <c r="G205" i="12" s="1"/>
  <c r="BA204" i="6" a="1"/>
  <c r="BA204" i="6" s="1"/>
  <c r="BE204" i="6" a="1"/>
  <c r="BE204" i="6" s="1"/>
  <c r="A205" i="6"/>
  <c r="N205" i="6" s="1"/>
  <c r="J205" i="6" a="1"/>
  <c r="J205" i="6" s="1"/>
  <c r="AQ204" i="6"/>
  <c r="F206" i="6"/>
  <c r="L207" i="6"/>
  <c r="B206" i="6"/>
  <c r="AN204" i="6"/>
  <c r="AK204" i="6"/>
  <c r="AE206" i="5" a="1"/>
  <c r="AE206" i="5" s="1"/>
  <c r="A206" i="12"/>
  <c r="W206" i="5" a="1"/>
  <c r="W206" i="5" s="1"/>
  <c r="H206" i="12" s="1" a="1"/>
  <c r="H206" i="12" s="1"/>
  <c r="N206" i="5"/>
  <c r="D206" i="6" s="1"/>
  <c r="H206" i="5"/>
  <c r="F206" i="5"/>
  <c r="E206" i="5"/>
  <c r="C207" i="5"/>
  <c r="B206" i="5"/>
  <c r="AF206" i="5" a="1"/>
  <c r="AF206" i="5" s="1"/>
  <c r="AD206" i="5"/>
  <c r="G206" i="5"/>
  <c r="AC204" i="6"/>
  <c r="K205" i="12" l="1"/>
  <c r="B207" i="6"/>
  <c r="L208" i="6"/>
  <c r="M205" i="6"/>
  <c r="AK205" i="6" s="1"/>
  <c r="A206" i="6"/>
  <c r="N206" i="6" s="1"/>
  <c r="J206" i="6" a="1"/>
  <c r="J206" i="6" s="1"/>
  <c r="AD207" i="5"/>
  <c r="N207" i="5"/>
  <c r="D207" i="6" s="1"/>
  <c r="C208" i="5"/>
  <c r="D207" i="5"/>
  <c r="B207" i="12" s="1"/>
  <c r="J207" i="5"/>
  <c r="E207" i="5"/>
  <c r="A207" i="12"/>
  <c r="F207" i="5"/>
  <c r="K207" i="5"/>
  <c r="AE207" i="5" a="1"/>
  <c r="AE207" i="5" s="1"/>
  <c r="B207" i="5"/>
  <c r="H207" i="5"/>
  <c r="G207" i="5"/>
  <c r="AG206" i="5" a="1"/>
  <c r="AG206" i="5" s="1"/>
  <c r="S206" i="5" a="1"/>
  <c r="S206" i="5" s="1"/>
  <c r="F206" i="12" s="1" a="1"/>
  <c r="F206" i="12" s="1"/>
  <c r="M206" i="6"/>
  <c r="BE206" i="6" s="1" a="1"/>
  <c r="BE206" i="6" s="1"/>
  <c r="H206" i="6" a="1"/>
  <c r="H206" i="6" s="1"/>
  <c r="T206" i="5" s="1"/>
  <c r="G206" i="12" s="1" a="1"/>
  <c r="G206" i="12" s="1"/>
  <c r="G206" i="6"/>
  <c r="AD205" i="6" l="1"/>
  <c r="AX206" i="6" a="1"/>
  <c r="AX206" i="6" s="1"/>
  <c r="AU206" i="6"/>
  <c r="AB206" i="6"/>
  <c r="BG206" i="6" a="1"/>
  <c r="BG206" i="6" s="1"/>
  <c r="BD206" i="6" a="1"/>
  <c r="BD206" i="6" s="1"/>
  <c r="AH206" i="6"/>
  <c r="BC206" i="6" a="1"/>
  <c r="BC206" i="6" s="1"/>
  <c r="AQ206" i="6"/>
  <c r="BF206" i="6" a="1"/>
  <c r="BF206" i="6" s="1"/>
  <c r="AZ206" i="6" a="1"/>
  <c r="AZ206" i="6" s="1"/>
  <c r="AS206" i="6"/>
  <c r="AI206" i="6"/>
  <c r="AP206" i="6"/>
  <c r="BB206" i="6" a="1"/>
  <c r="BB206" i="6" s="1"/>
  <c r="AM206" i="6"/>
  <c r="AO206" i="6"/>
  <c r="AE206" i="6"/>
  <c r="AF206" i="6"/>
  <c r="AK206" i="6"/>
  <c r="AH205" i="6"/>
  <c r="AD206" i="6"/>
  <c r="AC206" i="6"/>
  <c r="AJ206" i="6"/>
  <c r="AR206" i="6"/>
  <c r="AN206" i="6"/>
  <c r="AG206" i="6"/>
  <c r="BA206" i="6" a="1"/>
  <c r="BA206" i="6" s="1"/>
  <c r="AY206" i="6" a="1"/>
  <c r="AY206" i="6" s="1"/>
  <c r="AV206" i="6"/>
  <c r="AT206" i="6"/>
  <c r="AB205" i="6"/>
  <c r="BD205" i="6" a="1"/>
  <c r="BD205" i="6" s="1"/>
  <c r="AZ205" i="6" a="1"/>
  <c r="AZ205" i="6" s="1"/>
  <c r="AV205" i="6"/>
  <c r="BB205" i="6" a="1"/>
  <c r="BB205" i="6" s="1"/>
  <c r="BG205" i="6" a="1"/>
  <c r="BG205" i="6" s="1"/>
  <c r="AE205" i="6"/>
  <c r="AG205" i="6"/>
  <c r="AY205" i="6" a="1"/>
  <c r="AY205" i="6" s="1"/>
  <c r="BC205" i="6" a="1"/>
  <c r="BC205" i="6" s="1"/>
  <c r="AX205" i="6" a="1"/>
  <c r="AX205" i="6" s="1"/>
  <c r="AP205" i="6"/>
  <c r="AR205" i="6"/>
  <c r="BF205" i="6" a="1"/>
  <c r="BF205" i="6" s="1"/>
  <c r="AF205" i="6"/>
  <c r="BE205" i="6" a="1"/>
  <c r="BE205" i="6" s="1"/>
  <c r="AU205" i="6"/>
  <c r="AC205" i="6"/>
  <c r="AO205" i="6"/>
  <c r="AS205" i="6"/>
  <c r="AM205" i="6"/>
  <c r="BA205" i="6" a="1"/>
  <c r="BA205" i="6" s="1"/>
  <c r="AJ205" i="6"/>
  <c r="AQ205" i="6"/>
  <c r="AN205" i="6"/>
  <c r="AI205" i="6"/>
  <c r="AT205" i="6"/>
  <c r="L209" i="6"/>
  <c r="B208" i="6"/>
  <c r="J207" i="12" a="1"/>
  <c r="J207" i="12" s="1"/>
  <c r="L207" i="12" a="1"/>
  <c r="L207" i="12" s="1"/>
  <c r="D208" i="5"/>
  <c r="B208" i="12" s="1"/>
  <c r="B208" i="5"/>
  <c r="C209" i="5"/>
  <c r="N208" i="5"/>
  <c r="D208" i="6" s="1"/>
  <c r="J208" i="5"/>
  <c r="A208" i="12"/>
  <c r="E208" i="5"/>
  <c r="H208" i="5"/>
  <c r="AE208" i="5" a="1"/>
  <c r="AE208" i="5" s="1"/>
  <c r="F208" i="5"/>
  <c r="K208" i="5"/>
  <c r="G208" i="5"/>
  <c r="AD208" i="5"/>
  <c r="H207" i="6" a="1"/>
  <c r="H207" i="6" s="1"/>
  <c r="T207" i="5" s="1"/>
  <c r="G207" i="12" s="1" a="1"/>
  <c r="G207" i="12" s="1"/>
  <c r="A207" i="6"/>
  <c r="N207" i="6" s="1"/>
  <c r="J207" i="6" a="1"/>
  <c r="J207" i="6" s="1"/>
  <c r="K207" i="12" l="1"/>
  <c r="L210" i="6"/>
  <c r="B209" i="6"/>
  <c r="H208" i="6" a="1"/>
  <c r="H208" i="6" s="1"/>
  <c r="T208" i="5" s="1"/>
  <c r="G208" i="12" s="1" a="1"/>
  <c r="G208" i="12" s="1"/>
  <c r="J208" i="12" a="1"/>
  <c r="J208" i="12" s="1"/>
  <c r="L208" i="12" a="1"/>
  <c r="L208" i="12" s="1"/>
  <c r="B209" i="5"/>
  <c r="AE209" i="5" a="1"/>
  <c r="AE209" i="5" s="1"/>
  <c r="N209" i="5"/>
  <c r="D209" i="6" s="1"/>
  <c r="F209" i="5"/>
  <c r="E209" i="5"/>
  <c r="C210" i="5"/>
  <c r="AD209" i="5"/>
  <c r="H209" i="5"/>
  <c r="J209" i="5"/>
  <c r="A209" i="12"/>
  <c r="G209" i="5"/>
  <c r="D209" i="5"/>
  <c r="B209" i="12" s="1"/>
  <c r="K209" i="5"/>
  <c r="A208" i="6"/>
  <c r="M208" i="6" s="1"/>
  <c r="AS208" i="6" s="1"/>
  <c r="J208" i="6" a="1"/>
  <c r="J208" i="6" s="1"/>
  <c r="M207" i="6"/>
  <c r="AH207" i="6" s="1"/>
  <c r="AT208" i="6" l="1"/>
  <c r="AN208" i="6"/>
  <c r="AC208" i="6"/>
  <c r="K208" i="12"/>
  <c r="J209" i="12" a="1"/>
  <c r="J209" i="12" s="1"/>
  <c r="L209" i="12" a="1"/>
  <c r="L209" i="12" s="1"/>
  <c r="BC208" i="6" a="1"/>
  <c r="BC208" i="6" s="1"/>
  <c r="AZ208" i="6" a="1"/>
  <c r="AZ208" i="6" s="1"/>
  <c r="AE207" i="6"/>
  <c r="AK207" i="6"/>
  <c r="AH208" i="6"/>
  <c r="AI208" i="6"/>
  <c r="AD208" i="6"/>
  <c r="AG207" i="6"/>
  <c r="AG208" i="6"/>
  <c r="AE208" i="6"/>
  <c r="N210" i="5"/>
  <c r="D210" i="6" s="1"/>
  <c r="AE210" i="5" a="1"/>
  <c r="AE210" i="5" s="1"/>
  <c r="AD210" i="5"/>
  <c r="E210" i="5"/>
  <c r="G210" i="5"/>
  <c r="B210" i="5"/>
  <c r="C211" i="5" s="1"/>
  <c r="A210" i="12"/>
  <c r="K210" i="5"/>
  <c r="H210" i="5"/>
  <c r="J210" i="5"/>
  <c r="F210" i="5"/>
  <c r="D210" i="5"/>
  <c r="B210" i="12" s="1"/>
  <c r="AM208" i="6"/>
  <c r="BE208" i="6" a="1"/>
  <c r="BE208" i="6" s="1"/>
  <c r="H209" i="6" a="1"/>
  <c r="H209" i="6" s="1"/>
  <c r="T209" i="5" s="1"/>
  <c r="G209" i="12" s="1" a="1"/>
  <c r="G209" i="12" s="1"/>
  <c r="AT207" i="6"/>
  <c r="BE207" i="6" a="1"/>
  <c r="BE207" i="6" s="1"/>
  <c r="AO207" i="6"/>
  <c r="BC207" i="6" a="1"/>
  <c r="BC207" i="6" s="1"/>
  <c r="AX207" i="6" a="1"/>
  <c r="AX207" i="6" s="1"/>
  <c r="BB207" i="6" a="1"/>
  <c r="BB207" i="6" s="1"/>
  <c r="AY207" i="6" a="1"/>
  <c r="AY207" i="6" s="1"/>
  <c r="AZ207" i="6" a="1"/>
  <c r="AZ207" i="6" s="1"/>
  <c r="AQ207" i="6"/>
  <c r="AP207" i="6"/>
  <c r="BG207" i="6" a="1"/>
  <c r="BG207" i="6" s="1"/>
  <c r="BA207" i="6" a="1"/>
  <c r="BA207" i="6" s="1"/>
  <c r="BF207" i="6" a="1"/>
  <c r="BF207" i="6" s="1"/>
  <c r="AV207" i="6"/>
  <c r="AM207" i="6"/>
  <c r="AN207" i="6"/>
  <c r="AS207" i="6"/>
  <c r="BD207" i="6" a="1"/>
  <c r="BD207" i="6" s="1"/>
  <c r="AR207" i="6"/>
  <c r="AU207" i="6"/>
  <c r="AJ207" i="6"/>
  <c r="AF208" i="6"/>
  <c r="AK208" i="6"/>
  <c r="AI207" i="6"/>
  <c r="AO208" i="6"/>
  <c r="AF207" i="6"/>
  <c r="BA208" i="6" a="1"/>
  <c r="BA208" i="6" s="1"/>
  <c r="BB208" i="6" a="1"/>
  <c r="BB208" i="6" s="1"/>
  <c r="AV208" i="6"/>
  <c r="BG208" i="6" a="1"/>
  <c r="BG208" i="6" s="1"/>
  <c r="AB208" i="6"/>
  <c r="AR208" i="6"/>
  <c r="AJ208" i="6"/>
  <c r="AU208" i="6"/>
  <c r="N208" i="6"/>
  <c r="AQ208" i="6"/>
  <c r="AB207" i="6"/>
  <c r="BF208" i="6" a="1"/>
  <c r="BF208" i="6" s="1"/>
  <c r="A209" i="6"/>
  <c r="M209" i="6" s="1"/>
  <c r="AO209" i="6" s="1"/>
  <c r="J209" i="6" a="1"/>
  <c r="J209" i="6" s="1"/>
  <c r="AP208" i="6"/>
  <c r="AC207" i="6"/>
  <c r="AD207" i="6"/>
  <c r="AX208" i="6" a="1"/>
  <c r="AX208" i="6" s="1"/>
  <c r="BD208" i="6" a="1"/>
  <c r="BD208" i="6" s="1"/>
  <c r="AY208" i="6" a="1"/>
  <c r="AY208" i="6" s="1"/>
  <c r="L211" i="6"/>
  <c r="B210" i="6"/>
  <c r="K209" i="12" l="1"/>
  <c r="AC209" i="6"/>
  <c r="AM209" i="6"/>
  <c r="AK209" i="6"/>
  <c r="AB209" i="6"/>
  <c r="AG209" i="6"/>
  <c r="AR209" i="6"/>
  <c r="AI209" i="6"/>
  <c r="H210" i="6" a="1"/>
  <c r="H210" i="6" s="1"/>
  <c r="T210" i="5" s="1"/>
  <c r="G210" i="12" s="1" a="1"/>
  <c r="G210" i="12" s="1"/>
  <c r="B211" i="6"/>
  <c r="F211" i="6"/>
  <c r="L212" i="6"/>
  <c r="BG209" i="6" a="1"/>
  <c r="BG209" i="6" s="1"/>
  <c r="AP209" i="6"/>
  <c r="AS209" i="6"/>
  <c r="BD209" i="6" a="1"/>
  <c r="BD209" i="6" s="1"/>
  <c r="AQ209" i="6"/>
  <c r="J210" i="6" a="1"/>
  <c r="J210" i="6" s="1"/>
  <c r="A210" i="6"/>
  <c r="N210" i="6" s="1"/>
  <c r="AJ209" i="6"/>
  <c r="AZ209" i="6" a="1"/>
  <c r="AZ209" i="6" s="1"/>
  <c r="AE209" i="6"/>
  <c r="BF209" i="6" a="1"/>
  <c r="BF209" i="6" s="1"/>
  <c r="AF209" i="6"/>
  <c r="BE209" i="6" a="1"/>
  <c r="BE209" i="6" s="1"/>
  <c r="BC209" i="6" a="1"/>
  <c r="BC209" i="6" s="1"/>
  <c r="BB209" i="6" a="1"/>
  <c r="BB209" i="6" s="1"/>
  <c r="AD209" i="6"/>
  <c r="AN209" i="6"/>
  <c r="N209" i="6"/>
  <c r="J210" i="12" a="1"/>
  <c r="J210" i="12" s="1"/>
  <c r="L210" i="12" a="1"/>
  <c r="L210" i="12" s="1"/>
  <c r="AH209" i="6"/>
  <c r="AU209" i="6"/>
  <c r="AV209" i="6"/>
  <c r="BA209" i="6" a="1"/>
  <c r="BA209" i="6" s="1"/>
  <c r="AY209" i="6" a="1"/>
  <c r="AY209" i="6" s="1"/>
  <c r="AX209" i="6" a="1"/>
  <c r="AX209" i="6" s="1"/>
  <c r="AT209" i="6"/>
  <c r="A211" i="12"/>
  <c r="H211" i="5"/>
  <c r="K206" i="5" s="1"/>
  <c r="W211" i="5" a="1"/>
  <c r="W211" i="5" s="1"/>
  <c r="H211" i="12" s="1" a="1"/>
  <c r="H211" i="12" s="1"/>
  <c r="N211" i="5"/>
  <c r="D211" i="6" s="1"/>
  <c r="I211" i="5"/>
  <c r="G211" i="5"/>
  <c r="AE211" i="5" a="1"/>
  <c r="AE211" i="5" s="1"/>
  <c r="C212" i="5"/>
  <c r="B211" i="5"/>
  <c r="F211" i="5"/>
  <c r="E211" i="5"/>
  <c r="AD211" i="5"/>
  <c r="AF211" i="5" a="1"/>
  <c r="AF211" i="5" s="1"/>
  <c r="K210" i="12" l="1"/>
  <c r="J211" i="6" a="1"/>
  <c r="J211" i="6" s="1"/>
  <c r="A211" i="6"/>
  <c r="M210" i="6"/>
  <c r="AG210" i="6" s="1"/>
  <c r="AG211" i="5" a="1"/>
  <c r="AG211" i="5" s="1"/>
  <c r="S211" i="5" a="1"/>
  <c r="S211" i="5" s="1"/>
  <c r="F211" i="12" s="1" a="1"/>
  <c r="F211" i="12" s="1"/>
  <c r="G212" i="5"/>
  <c r="AD212" i="5"/>
  <c r="D212" i="5"/>
  <c r="B212" i="12" s="1"/>
  <c r="AE212" i="5" a="1"/>
  <c r="AE212" i="5" s="1"/>
  <c r="F212" i="5"/>
  <c r="E212" i="5"/>
  <c r="B212" i="5"/>
  <c r="K212" i="5"/>
  <c r="H212" i="5"/>
  <c r="N212" i="5"/>
  <c r="D212" i="6" s="1"/>
  <c r="J212" i="5"/>
  <c r="C213" i="5"/>
  <c r="A212" i="12"/>
  <c r="M211" i="6"/>
  <c r="AR211" i="6" s="1"/>
  <c r="N211" i="6"/>
  <c r="G211" i="6"/>
  <c r="H211" i="6" a="1"/>
  <c r="H211" i="6" s="1"/>
  <c r="T211" i="5" s="1"/>
  <c r="G211" i="12" s="1" a="1"/>
  <c r="G211" i="12" s="1"/>
  <c r="B212" i="6"/>
  <c r="L213" i="6"/>
  <c r="AX211" i="6" l="1" a="1"/>
  <c r="AX211" i="6" s="1"/>
  <c r="AS211" i="6"/>
  <c r="AY211" i="6" a="1"/>
  <c r="AY211" i="6" s="1"/>
  <c r="AQ211" i="6"/>
  <c r="AG211" i="6"/>
  <c r="AN211" i="6"/>
  <c r="BB211" i="6" a="1"/>
  <c r="BB211" i="6" s="1"/>
  <c r="AU211" i="6"/>
  <c r="AP211" i="6"/>
  <c r="AK211" i="6"/>
  <c r="BE211" i="6" a="1"/>
  <c r="BE211" i="6" s="1"/>
  <c r="BG211" i="6" a="1"/>
  <c r="BG211" i="6" s="1"/>
  <c r="AC211" i="6"/>
  <c r="AI210" i="6"/>
  <c r="AV210" i="6"/>
  <c r="BB210" i="6" a="1"/>
  <c r="BB210" i="6" s="1"/>
  <c r="AB210" i="6"/>
  <c r="AQ210" i="6"/>
  <c r="AM210" i="6"/>
  <c r="AR210" i="6"/>
  <c r="BF210" i="6" a="1"/>
  <c r="BF210" i="6" s="1"/>
  <c r="AU210" i="6"/>
  <c r="AP210" i="6"/>
  <c r="AY210" i="6" a="1"/>
  <c r="AY210" i="6" s="1"/>
  <c r="AF210" i="6"/>
  <c r="AE210" i="6"/>
  <c r="AS210" i="6"/>
  <c r="BG210" i="6" a="1"/>
  <c r="BG210" i="6" s="1"/>
  <c r="AO210" i="6"/>
  <c r="BE210" i="6" a="1"/>
  <c r="BE210" i="6" s="1"/>
  <c r="AT210" i="6"/>
  <c r="AJ210" i="6"/>
  <c r="BC210" i="6" a="1"/>
  <c r="BC210" i="6" s="1"/>
  <c r="AZ210" i="6" a="1"/>
  <c r="AZ210" i="6" s="1"/>
  <c r="AX210" i="6" a="1"/>
  <c r="AX210" i="6" s="1"/>
  <c r="AN210" i="6"/>
  <c r="AH210" i="6"/>
  <c r="BA210" i="6" a="1"/>
  <c r="BA210" i="6" s="1"/>
  <c r="AC210" i="6"/>
  <c r="AD210" i="6"/>
  <c r="BD210" i="6" a="1"/>
  <c r="BD210" i="6" s="1"/>
  <c r="AK210" i="6"/>
  <c r="L214" i="6"/>
  <c r="B213" i="6"/>
  <c r="A212" i="6"/>
  <c r="M212" i="6" s="1"/>
  <c r="AM212" i="6" s="1"/>
  <c r="J212" i="6" a="1"/>
  <c r="J212" i="6" s="1"/>
  <c r="AB211" i="6"/>
  <c r="AV211" i="6"/>
  <c r="AI211" i="6"/>
  <c r="BD211" i="6" a="1"/>
  <c r="BD211" i="6" s="1"/>
  <c r="AD211" i="6"/>
  <c r="L212" i="12" a="1"/>
  <c r="L212" i="12" s="1"/>
  <c r="J212" i="12" a="1"/>
  <c r="J212" i="12" s="1"/>
  <c r="AH211" i="6"/>
  <c r="BA211" i="6" a="1"/>
  <c r="BA211" i="6" s="1"/>
  <c r="BF211" i="6" a="1"/>
  <c r="BF211" i="6" s="1"/>
  <c r="AE213" i="5" a="1"/>
  <c r="AE213" i="5" s="1"/>
  <c r="AD213" i="5"/>
  <c r="E213" i="5"/>
  <c r="K213" i="5"/>
  <c r="N213" i="5"/>
  <c r="D213" i="6" s="1"/>
  <c r="A213" i="12"/>
  <c r="B213" i="5"/>
  <c r="C214" i="5" s="1"/>
  <c r="F213" i="5"/>
  <c r="H213" i="5"/>
  <c r="G213" i="5"/>
  <c r="D213" i="5"/>
  <c r="B213" i="12" s="1"/>
  <c r="J213" i="5"/>
  <c r="BC211" i="6" a="1"/>
  <c r="BC211" i="6" s="1"/>
  <c r="AO211" i="6"/>
  <c r="AJ211" i="6"/>
  <c r="AT211" i="6"/>
  <c r="AE211" i="6"/>
  <c r="AZ211" i="6" a="1"/>
  <c r="AZ211" i="6" s="1"/>
  <c r="AM211" i="6"/>
  <c r="AF211" i="6"/>
  <c r="H212" i="6" a="1"/>
  <c r="H212" i="6" s="1"/>
  <c r="T212" i="5" s="1"/>
  <c r="G212" i="12" s="1" a="1"/>
  <c r="G212" i="12" s="1"/>
  <c r="K212" i="12" l="1"/>
  <c r="BB212" i="6" a="1"/>
  <c r="BB212" i="6" s="1"/>
  <c r="AQ212" i="6"/>
  <c r="AK212" i="6"/>
  <c r="N212" i="6"/>
  <c r="AE214" i="5" a="1"/>
  <c r="AE214" i="5" s="1"/>
  <c r="H214" i="5"/>
  <c r="F214" i="5"/>
  <c r="E214" i="5"/>
  <c r="AF214" i="5" a="1"/>
  <c r="AF214" i="5" s="1"/>
  <c r="C215" i="5"/>
  <c r="I214" i="5"/>
  <c r="AD214" i="5"/>
  <c r="B214" i="5"/>
  <c r="G214" i="5"/>
  <c r="A214" i="12"/>
  <c r="N214" i="5"/>
  <c r="D214" i="6" s="1"/>
  <c r="W214" i="5" a="1"/>
  <c r="W214" i="5" s="1"/>
  <c r="H214" i="12" s="1" a="1"/>
  <c r="H214" i="12" s="1"/>
  <c r="AY212" i="6" a="1"/>
  <c r="AY212" i="6" s="1"/>
  <c r="AO212" i="6"/>
  <c r="AX212" i="6" a="1"/>
  <c r="AX212" i="6" s="1"/>
  <c r="AZ212" i="6" a="1"/>
  <c r="AZ212" i="6" s="1"/>
  <c r="AI212" i="6"/>
  <c r="BG212" i="6" a="1"/>
  <c r="BG212" i="6" s="1"/>
  <c r="AG212" i="6"/>
  <c r="AV212" i="6"/>
  <c r="A213" i="6"/>
  <c r="M213" i="6" s="1"/>
  <c r="AV213" i="6" s="1"/>
  <c r="J213" i="6" a="1"/>
  <c r="J213" i="6" s="1"/>
  <c r="B214" i="6"/>
  <c r="F214" i="6"/>
  <c r="L215" i="6"/>
  <c r="AS212" i="6"/>
  <c r="H213" i="6" a="1"/>
  <c r="H213" i="6" s="1"/>
  <c r="T213" i="5" s="1"/>
  <c r="G213" i="12" s="1" a="1"/>
  <c r="G213" i="12" s="1"/>
  <c r="AT212" i="6"/>
  <c r="AN212" i="6"/>
  <c r="AH212" i="6"/>
  <c r="J213" i="12" a="1"/>
  <c r="J213" i="12" s="1"/>
  <c r="L213" i="12" a="1"/>
  <c r="L213" i="12" s="1"/>
  <c r="AD212" i="6"/>
  <c r="AR212" i="6"/>
  <c r="BF212" i="6" a="1"/>
  <c r="BF212" i="6" s="1"/>
  <c r="BC212" i="6" a="1"/>
  <c r="BC212" i="6" s="1"/>
  <c r="BE212" i="6" a="1"/>
  <c r="BE212" i="6" s="1"/>
  <c r="AJ212" i="6"/>
  <c r="AE212" i="6"/>
  <c r="BD212" i="6" a="1"/>
  <c r="BD212" i="6" s="1"/>
  <c r="AP212" i="6"/>
  <c r="AF212" i="6"/>
  <c r="AB212" i="6"/>
  <c r="BA212" i="6" a="1"/>
  <c r="BA212" i="6" s="1"/>
  <c r="AU212" i="6"/>
  <c r="AC212" i="6"/>
  <c r="AX213" i="6" l="1" a="1"/>
  <c r="AX213" i="6" s="1"/>
  <c r="N213" i="6"/>
  <c r="AO213" i="6"/>
  <c r="AZ213" i="6" a="1"/>
  <c r="AZ213" i="6" s="1"/>
  <c r="AE213" i="6"/>
  <c r="AN213" i="6"/>
  <c r="BB213" i="6" a="1"/>
  <c r="BB213" i="6" s="1"/>
  <c r="K213" i="12"/>
  <c r="AS213" i="6"/>
  <c r="AU213" i="6"/>
  <c r="AY213" i="6" a="1"/>
  <c r="AY213" i="6" s="1"/>
  <c r="BD213" i="6" a="1"/>
  <c r="BD213" i="6" s="1"/>
  <c r="AF213" i="6"/>
  <c r="AG213" i="6"/>
  <c r="AB213" i="6"/>
  <c r="AJ213" i="6"/>
  <c r="AQ213" i="6"/>
  <c r="BG213" i="6" a="1"/>
  <c r="BG213" i="6" s="1"/>
  <c r="BE213" i="6" a="1"/>
  <c r="BE213" i="6" s="1"/>
  <c r="AP213" i="6"/>
  <c r="BC213" i="6" a="1"/>
  <c r="BC213" i="6" s="1"/>
  <c r="AM213" i="6"/>
  <c r="AI213" i="6"/>
  <c r="AK213" i="6"/>
  <c r="S214" i="5" a="1"/>
  <c r="S214" i="5" s="1"/>
  <c r="F214" i="12" s="1" a="1"/>
  <c r="F214" i="12" s="1"/>
  <c r="AG214" i="5" a="1"/>
  <c r="AG214" i="5" s="1"/>
  <c r="D215" i="5"/>
  <c r="B215" i="12" s="1"/>
  <c r="F215" i="5"/>
  <c r="N215" i="5"/>
  <c r="D215" i="6" s="1"/>
  <c r="B215" i="5"/>
  <c r="C216" i="5" s="1"/>
  <c r="G215" i="5"/>
  <c r="H215" i="5"/>
  <c r="J215" i="5"/>
  <c r="E215" i="5"/>
  <c r="AE215" i="5" a="1"/>
  <c r="AE215" i="5" s="1"/>
  <c r="K215" i="5"/>
  <c r="AD215" i="5"/>
  <c r="A215" i="12"/>
  <c r="AD213" i="6"/>
  <c r="L216" i="6"/>
  <c r="B215" i="6"/>
  <c r="AR213" i="6"/>
  <c r="BF213" i="6" a="1"/>
  <c r="BF213" i="6" s="1"/>
  <c r="A214" i="6"/>
  <c r="J214" i="6" a="1"/>
  <c r="J214" i="6" s="1"/>
  <c r="AT213" i="6"/>
  <c r="M214" i="6"/>
  <c r="BF214" i="6" s="1" a="1"/>
  <c r="BF214" i="6" s="1"/>
  <c r="G214" i="6"/>
  <c r="H214" i="6" a="1"/>
  <c r="H214" i="6" s="1"/>
  <c r="T214" i="5" s="1"/>
  <c r="G214" i="12" s="1" a="1"/>
  <c r="G214" i="12" s="1"/>
  <c r="N214" i="6"/>
  <c r="AH213" i="6"/>
  <c r="AC213" i="6"/>
  <c r="BA213" i="6" a="1"/>
  <c r="BA213" i="6" s="1"/>
  <c r="AR214" i="6" l="1"/>
  <c r="AO214" i="6"/>
  <c r="AY214" i="6" a="1"/>
  <c r="AY214" i="6" s="1"/>
  <c r="AJ214" i="6"/>
  <c r="AU214" i="6"/>
  <c r="BA214" i="6" a="1"/>
  <c r="BA214" i="6" s="1"/>
  <c r="AF214" i="6"/>
  <c r="BE214" i="6" a="1"/>
  <c r="BE214" i="6" s="1"/>
  <c r="BC214" i="6" a="1"/>
  <c r="BC214" i="6" s="1"/>
  <c r="BB214" i="6" a="1"/>
  <c r="BB214" i="6" s="1"/>
  <c r="AE214" i="6"/>
  <c r="AS214" i="6"/>
  <c r="AT214" i="6"/>
  <c r="AK214" i="6"/>
  <c r="AP214" i="6"/>
  <c r="AN214" i="6"/>
  <c r="AI214" i="6"/>
  <c r="AX214" i="6" a="1"/>
  <c r="AX214" i="6" s="1"/>
  <c r="BD214" i="6" a="1"/>
  <c r="BD214" i="6" s="1"/>
  <c r="BG214" i="6" a="1"/>
  <c r="BG214" i="6" s="1"/>
  <c r="AZ214" i="6" a="1"/>
  <c r="AZ214" i="6" s="1"/>
  <c r="AB214" i="6"/>
  <c r="AC214" i="6"/>
  <c r="AV214" i="6"/>
  <c r="AG214" i="6"/>
  <c r="AM214" i="6"/>
  <c r="AH214" i="6"/>
  <c r="AQ214" i="6"/>
  <c r="AD214" i="6"/>
  <c r="E216" i="5"/>
  <c r="I216" i="5"/>
  <c r="B216" i="5"/>
  <c r="W216" i="5" a="1"/>
  <c r="W216" i="5" s="1"/>
  <c r="H216" i="12" s="1" a="1"/>
  <c r="H216" i="12" s="1"/>
  <c r="H216" i="5"/>
  <c r="AD216" i="5"/>
  <c r="A216" i="12"/>
  <c r="G216" i="5"/>
  <c r="C217" i="5"/>
  <c r="N216" i="5"/>
  <c r="D216" i="6" s="1"/>
  <c r="AE216" i="5" a="1"/>
  <c r="AE216" i="5" s="1"/>
  <c r="AF216" i="5" a="1"/>
  <c r="AF216" i="5" s="1"/>
  <c r="F216" i="5"/>
  <c r="H215" i="6" a="1"/>
  <c r="H215" i="6" s="1"/>
  <c r="T215" i="5" s="1"/>
  <c r="G215" i="12" s="1" a="1"/>
  <c r="G215" i="12" s="1"/>
  <c r="B216" i="6"/>
  <c r="L217" i="6"/>
  <c r="F216" i="6"/>
  <c r="A215" i="6"/>
  <c r="M215" i="6" s="1"/>
  <c r="BF215" i="6" s="1" a="1"/>
  <c r="BF215" i="6" s="1"/>
  <c r="J215" i="6" a="1"/>
  <c r="J215" i="6" s="1"/>
  <c r="J215" i="12" a="1"/>
  <c r="J215" i="12" s="1"/>
  <c r="L215" i="12" a="1"/>
  <c r="L215" i="12" s="1"/>
  <c r="K215" i="12" l="1"/>
  <c r="N215" i="6"/>
  <c r="AY215" i="6" a="1"/>
  <c r="AY215" i="6" s="1"/>
  <c r="AE215" i="6"/>
  <c r="AO215" i="6"/>
  <c r="AX215" i="6" a="1"/>
  <c r="AX215" i="6" s="1"/>
  <c r="AC215" i="6"/>
  <c r="S216" i="5" a="1"/>
  <c r="S216" i="5" s="1"/>
  <c r="F216" i="12" s="1" a="1"/>
  <c r="F216" i="12" s="1"/>
  <c r="AG216" i="5" a="1"/>
  <c r="AG216" i="5" s="1"/>
  <c r="AQ215" i="6"/>
  <c r="AD215" i="6"/>
  <c r="AR215" i="6"/>
  <c r="AU215" i="6"/>
  <c r="BD215" i="6" a="1"/>
  <c r="BD215" i="6" s="1"/>
  <c r="BC215" i="6" a="1"/>
  <c r="BC215" i="6" s="1"/>
  <c r="AS215" i="6"/>
  <c r="AH215" i="6"/>
  <c r="B217" i="6"/>
  <c r="L218" i="6"/>
  <c r="AT215" i="6"/>
  <c r="AG215" i="6"/>
  <c r="BE215" i="6" a="1"/>
  <c r="BE215" i="6" s="1"/>
  <c r="AN215" i="6"/>
  <c r="AK215" i="6"/>
  <c r="AJ215" i="6"/>
  <c r="A216" i="6"/>
  <c r="N216" i="6" s="1"/>
  <c r="J216" i="6" a="1"/>
  <c r="J216" i="6" s="1"/>
  <c r="AZ215" i="6" a="1"/>
  <c r="AZ215" i="6" s="1"/>
  <c r="AI215" i="6"/>
  <c r="BG215" i="6" a="1"/>
  <c r="BG215" i="6" s="1"/>
  <c r="AB215" i="6"/>
  <c r="AF215" i="6"/>
  <c r="AV215" i="6"/>
  <c r="BA215" i="6" a="1"/>
  <c r="BA215" i="6" s="1"/>
  <c r="AP215" i="6"/>
  <c r="M216" i="6"/>
  <c r="AM216" i="6" s="1"/>
  <c r="H216" i="6" a="1"/>
  <c r="H216" i="6" s="1"/>
  <c r="T216" i="5" s="1"/>
  <c r="G216" i="12" s="1" a="1"/>
  <c r="G216" i="12" s="1"/>
  <c r="G216" i="6"/>
  <c r="J217" i="5"/>
  <c r="E217" i="5"/>
  <c r="K217" i="5"/>
  <c r="AD217" i="5"/>
  <c r="F217" i="5"/>
  <c r="D217" i="5"/>
  <c r="B217" i="12" s="1"/>
  <c r="N217" i="5"/>
  <c r="D217" i="6" s="1"/>
  <c r="G217" i="5"/>
  <c r="H217" i="5"/>
  <c r="B217" i="5"/>
  <c r="AE217" i="5" a="1"/>
  <c r="AE217" i="5" s="1"/>
  <c r="A217" i="12"/>
  <c r="C218" i="5"/>
  <c r="BB215" i="6" a="1"/>
  <c r="BB215" i="6" s="1"/>
  <c r="AM215" i="6"/>
  <c r="BC216" i="6" l="1" a="1"/>
  <c r="BC216" i="6" s="1"/>
  <c r="BE216" i="6" a="1"/>
  <c r="BE216" i="6" s="1"/>
  <c r="AE216" i="6"/>
  <c r="AC216" i="6"/>
  <c r="AZ216" i="6" a="1"/>
  <c r="AZ216" i="6" s="1"/>
  <c r="AJ216" i="6"/>
  <c r="AV216" i="6"/>
  <c r="AI216" i="6"/>
  <c r="AK216" i="6"/>
  <c r="BD216" i="6" a="1"/>
  <c r="BD216" i="6" s="1"/>
  <c r="AU216" i="6"/>
  <c r="AF216" i="6"/>
  <c r="AG216" i="6"/>
  <c r="BG216" i="6" a="1"/>
  <c r="BG216" i="6" s="1"/>
  <c r="AB216" i="6"/>
  <c r="BF216" i="6" a="1"/>
  <c r="BF216" i="6" s="1"/>
  <c r="J217" i="6" a="1"/>
  <c r="J217" i="6" s="1"/>
  <c r="A217" i="6"/>
  <c r="N217" i="6" s="1"/>
  <c r="BA216" i="6" a="1"/>
  <c r="BA216" i="6" s="1"/>
  <c r="D218" i="5"/>
  <c r="B218" i="12" s="1"/>
  <c r="B218" i="5"/>
  <c r="C219" i="5" s="1"/>
  <c r="F218" i="5"/>
  <c r="A218" i="12"/>
  <c r="K218" i="5"/>
  <c r="H218" i="5"/>
  <c r="AE218" i="5" a="1"/>
  <c r="AE218" i="5" s="1"/>
  <c r="G218" i="5"/>
  <c r="J218" i="5"/>
  <c r="N218" i="5"/>
  <c r="D218" i="6" s="1"/>
  <c r="AD218" i="5"/>
  <c r="E218" i="5"/>
  <c r="AY216" i="6" a="1"/>
  <c r="AY216" i="6" s="1"/>
  <c r="L217" i="12" a="1"/>
  <c r="L217" i="12" s="1"/>
  <c r="J217" i="12" a="1"/>
  <c r="J217" i="12" s="1"/>
  <c r="AN216" i="6"/>
  <c r="BB216" i="6" a="1"/>
  <c r="BB216" i="6" s="1"/>
  <c r="AX216" i="6" a="1"/>
  <c r="AX216" i="6" s="1"/>
  <c r="AR216" i="6"/>
  <c r="H217" i="6" a="1"/>
  <c r="H217" i="6" s="1"/>
  <c r="T217" i="5" s="1"/>
  <c r="G217" i="12" s="1" a="1"/>
  <c r="G217" i="12" s="1"/>
  <c r="AD216" i="6"/>
  <c r="AS216" i="6"/>
  <c r="AO216" i="6"/>
  <c r="AP216" i="6"/>
  <c r="AT216" i="6"/>
  <c r="AQ216" i="6"/>
  <c r="AH216" i="6"/>
  <c r="L219" i="6"/>
  <c r="B218" i="6"/>
  <c r="K217" i="12" l="1"/>
  <c r="M217" i="6"/>
  <c r="AE217" i="6" s="1"/>
  <c r="B219" i="6"/>
  <c r="F219" i="6"/>
  <c r="L220" i="6"/>
  <c r="N219" i="5"/>
  <c r="D219" i="6" s="1"/>
  <c r="AD219" i="5"/>
  <c r="AF219" i="5" a="1"/>
  <c r="AF219" i="5" s="1"/>
  <c r="G219" i="5"/>
  <c r="AE219" i="5" a="1"/>
  <c r="AE219" i="5" s="1"/>
  <c r="C220" i="5"/>
  <c r="B219" i="5"/>
  <c r="H219" i="5"/>
  <c r="J216" i="5" s="1"/>
  <c r="W219" i="5" a="1"/>
  <c r="W219" i="5" s="1"/>
  <c r="H219" i="12" s="1" a="1"/>
  <c r="H219" i="12" s="1"/>
  <c r="A219" i="12"/>
  <c r="E219" i="5"/>
  <c r="F219" i="5"/>
  <c r="I219" i="5"/>
  <c r="J218" i="6" a="1"/>
  <c r="J218" i="6" s="1"/>
  <c r="A218" i="6"/>
  <c r="M218" i="6" s="1"/>
  <c r="AN218" i="6" s="1"/>
  <c r="L218" i="12" a="1"/>
  <c r="L218" i="12" s="1"/>
  <c r="J218" i="12" a="1"/>
  <c r="J218" i="12" s="1"/>
  <c r="H218" i="6" a="1"/>
  <c r="H218" i="6" s="1"/>
  <c r="T218" i="5" s="1"/>
  <c r="G218" i="12" s="1" a="1"/>
  <c r="G218" i="12" s="1"/>
  <c r="AU217" i="6" l="1"/>
  <c r="AF217" i="6"/>
  <c r="BF217" i="6" a="1"/>
  <c r="BF217" i="6" s="1"/>
  <c r="AZ217" i="6" a="1"/>
  <c r="AZ217" i="6" s="1"/>
  <c r="AK217" i="6"/>
  <c r="AB217" i="6"/>
  <c r="AO217" i="6"/>
  <c r="AC217" i="6"/>
  <c r="AH217" i="6"/>
  <c r="AG217" i="6"/>
  <c r="AP217" i="6"/>
  <c r="AS217" i="6"/>
  <c r="AQ217" i="6"/>
  <c r="AY217" i="6" a="1"/>
  <c r="AY217" i="6" s="1"/>
  <c r="AT217" i="6"/>
  <c r="BB217" i="6" a="1"/>
  <c r="BB217" i="6" s="1"/>
  <c r="AR217" i="6"/>
  <c r="BC217" i="6" a="1"/>
  <c r="BC217" i="6" s="1"/>
  <c r="BE217" i="6" a="1"/>
  <c r="BE217" i="6" s="1"/>
  <c r="AM217" i="6"/>
  <c r="AX217" i="6" a="1"/>
  <c r="AX217" i="6" s="1"/>
  <c r="AV217" i="6"/>
  <c r="BD217" i="6" a="1"/>
  <c r="BD217" i="6" s="1"/>
  <c r="BG217" i="6" a="1"/>
  <c r="BG217" i="6" s="1"/>
  <c r="AJ217" i="6"/>
  <c r="AI217" i="6"/>
  <c r="BA217" i="6" a="1"/>
  <c r="BA217" i="6" s="1"/>
  <c r="AN217" i="6"/>
  <c r="AD217" i="6"/>
  <c r="AP218" i="6"/>
  <c r="AG219" i="5" a="1"/>
  <c r="AG219" i="5" s="1"/>
  <c r="S219" i="5" a="1"/>
  <c r="S219" i="5" s="1"/>
  <c r="F219" i="12" s="1" a="1"/>
  <c r="F219" i="12" s="1"/>
  <c r="BE218" i="6" a="1"/>
  <c r="BE218" i="6" s="1"/>
  <c r="BG218" i="6" a="1"/>
  <c r="BG218" i="6" s="1"/>
  <c r="AR218" i="6"/>
  <c r="AZ218" i="6" a="1"/>
  <c r="AZ218" i="6" s="1"/>
  <c r="AY218" i="6" a="1"/>
  <c r="AY218" i="6" s="1"/>
  <c r="BC218" i="6" a="1"/>
  <c r="BC218" i="6" s="1"/>
  <c r="AD218" i="6"/>
  <c r="BF218" i="6" a="1"/>
  <c r="BF218" i="6" s="1"/>
  <c r="N219" i="6"/>
  <c r="G219" i="6"/>
  <c r="M219" i="6"/>
  <c r="AY219" i="6" s="1" a="1"/>
  <c r="AY219" i="6" s="1"/>
  <c r="H219" i="6" a="1"/>
  <c r="H219" i="6" s="1"/>
  <c r="T219" i="5" s="1"/>
  <c r="G219" i="12" s="1" a="1"/>
  <c r="G219" i="12" s="1"/>
  <c r="AE218" i="6"/>
  <c r="AO218" i="6"/>
  <c r="A220" i="12"/>
  <c r="N220" i="5"/>
  <c r="D220" i="6" s="1"/>
  <c r="E220" i="5"/>
  <c r="F220" i="5"/>
  <c r="H220" i="5"/>
  <c r="B220" i="5"/>
  <c r="J220" i="5"/>
  <c r="K220" i="5"/>
  <c r="G220" i="5"/>
  <c r="C221" i="5"/>
  <c r="D220" i="5"/>
  <c r="B220" i="12" s="1"/>
  <c r="AE220" i="5" a="1"/>
  <c r="AE220" i="5" s="1"/>
  <c r="AD220" i="5"/>
  <c r="AU218" i="6"/>
  <c r="AV218" i="6"/>
  <c r="AG218" i="6"/>
  <c r="N218" i="6"/>
  <c r="B220" i="6"/>
  <c r="L221" i="6"/>
  <c r="AX218" i="6" a="1"/>
  <c r="AX218" i="6" s="1"/>
  <c r="AK218" i="6"/>
  <c r="AH218" i="6"/>
  <c r="AM218" i="6"/>
  <c r="AI218" i="6"/>
  <c r="AJ218" i="6"/>
  <c r="AT218" i="6"/>
  <c r="K218" i="12"/>
  <c r="BB218" i="6" a="1"/>
  <c r="BB218" i="6" s="1"/>
  <c r="AB218" i="6"/>
  <c r="BA218" i="6" a="1"/>
  <c r="BA218" i="6" s="1"/>
  <c r="AC218" i="6"/>
  <c r="BD218" i="6" a="1"/>
  <c r="BD218" i="6" s="1"/>
  <c r="AS218" i="6"/>
  <c r="AQ218" i="6"/>
  <c r="AF218" i="6"/>
  <c r="A219" i="6"/>
  <c r="J219" i="6" a="1"/>
  <c r="J219" i="6" s="1"/>
  <c r="AN219" i="6" l="1"/>
  <c r="AO219" i="6"/>
  <c r="AI219" i="6"/>
  <c r="AB219" i="6"/>
  <c r="AP219" i="6"/>
  <c r="AV219" i="6"/>
  <c r="BG219" i="6" a="1"/>
  <c r="BG219" i="6" s="1"/>
  <c r="AG219" i="6"/>
  <c r="AH219" i="6"/>
  <c r="AJ219" i="6"/>
  <c r="AC219" i="6"/>
  <c r="BC219" i="6" a="1"/>
  <c r="BC219" i="6" s="1"/>
  <c r="AX219" i="6" a="1"/>
  <c r="AX219" i="6" s="1"/>
  <c r="BF219" i="6" a="1"/>
  <c r="BF219" i="6" s="1"/>
  <c r="AT219" i="6"/>
  <c r="BA219" i="6" a="1"/>
  <c r="BA219" i="6" s="1"/>
  <c r="AD219" i="6"/>
  <c r="AZ219" i="6" a="1"/>
  <c r="AZ219" i="6" s="1"/>
  <c r="AQ219" i="6"/>
  <c r="BD219" i="6" a="1"/>
  <c r="BD219" i="6" s="1"/>
  <c r="AR219" i="6"/>
  <c r="AS219" i="6"/>
  <c r="L222" i="6"/>
  <c r="B221" i="6"/>
  <c r="BB219" i="6" a="1"/>
  <c r="BB219" i="6" s="1"/>
  <c r="J220" i="6" a="1"/>
  <c r="J220" i="6" s="1"/>
  <c r="A220" i="6"/>
  <c r="N220" i="6" s="1"/>
  <c r="BE219" i="6" a="1"/>
  <c r="BE219" i="6" s="1"/>
  <c r="AE219" i="6"/>
  <c r="AK219" i="6"/>
  <c r="H220" i="6" a="1"/>
  <c r="H220" i="6" s="1"/>
  <c r="T220" i="5" s="1"/>
  <c r="G220" i="12" s="1" a="1"/>
  <c r="G220" i="12" s="1"/>
  <c r="AU219" i="6"/>
  <c r="K221" i="5"/>
  <c r="B221" i="5"/>
  <c r="C222" i="5" s="1"/>
  <c r="J221" i="5"/>
  <c r="F221" i="5"/>
  <c r="H221" i="5"/>
  <c r="E221" i="5"/>
  <c r="A221" i="12"/>
  <c r="AE221" i="5" a="1"/>
  <c r="AE221" i="5" s="1"/>
  <c r="D221" i="5"/>
  <c r="B221" i="12" s="1"/>
  <c r="G221" i="5"/>
  <c r="N221" i="5"/>
  <c r="D221" i="6" s="1"/>
  <c r="AD221" i="5"/>
  <c r="AF219" i="6"/>
  <c r="L220" i="12" a="1"/>
  <c r="L220" i="12" s="1"/>
  <c r="J220" i="12" a="1"/>
  <c r="J220" i="12" s="1"/>
  <c r="AM219" i="6"/>
  <c r="K220" i="12" l="1"/>
  <c r="A221" i="6"/>
  <c r="N221" i="6" s="1"/>
  <c r="J221" i="6" a="1"/>
  <c r="J221" i="6" s="1"/>
  <c r="F222" i="6"/>
  <c r="L223" i="6"/>
  <c r="B222" i="6"/>
  <c r="A222" i="12"/>
  <c r="N222" i="5"/>
  <c r="D222" i="6" s="1"/>
  <c r="AE222" i="5" a="1"/>
  <c r="AE222" i="5" s="1"/>
  <c r="AD222" i="5"/>
  <c r="H222" i="5"/>
  <c r="I222" i="5"/>
  <c r="F222" i="5"/>
  <c r="B222" i="5"/>
  <c r="C223" i="5" s="1"/>
  <c r="G222" i="5"/>
  <c r="AF222" i="5" a="1"/>
  <c r="AF222" i="5" s="1"/>
  <c r="E222" i="5"/>
  <c r="W222" i="5" a="1"/>
  <c r="W222" i="5" s="1"/>
  <c r="H222" i="12" s="1" a="1"/>
  <c r="H222" i="12" s="1"/>
  <c r="J221" i="12" a="1"/>
  <c r="J221" i="12" s="1"/>
  <c r="L221" i="12" a="1"/>
  <c r="L221" i="12" s="1"/>
  <c r="M220" i="6"/>
  <c r="H221" i="6" a="1"/>
  <c r="H221" i="6" s="1"/>
  <c r="T221" i="5" s="1"/>
  <c r="G221" i="12" s="1" a="1"/>
  <c r="G221" i="12" s="1"/>
  <c r="M221" i="6" l="1"/>
  <c r="BF221" i="6" s="1" a="1"/>
  <c r="BF221" i="6" s="1"/>
  <c r="K221" i="12"/>
  <c r="AF220" i="6"/>
  <c r="A222" i="6"/>
  <c r="J222" i="6" a="1"/>
  <c r="J222" i="6" s="1"/>
  <c r="L224" i="6"/>
  <c r="B223" i="6"/>
  <c r="F223" i="6"/>
  <c r="S222" i="5" a="1"/>
  <c r="S222" i="5" s="1"/>
  <c r="F222" i="12" s="1" a="1"/>
  <c r="F222" i="12" s="1"/>
  <c r="AG222" i="5" a="1"/>
  <c r="AG222" i="5" s="1"/>
  <c r="AE223" i="5" a="1"/>
  <c r="AE223" i="5" s="1"/>
  <c r="A223" i="12"/>
  <c r="C224" i="5"/>
  <c r="N223" i="5"/>
  <c r="D223" i="6" s="1"/>
  <c r="H223" i="5"/>
  <c r="G223" i="5"/>
  <c r="B223" i="5"/>
  <c r="AD223" i="5"/>
  <c r="W223" i="5" a="1"/>
  <c r="W223" i="5" s="1"/>
  <c r="H223" i="12" s="1" a="1"/>
  <c r="H223" i="12" s="1"/>
  <c r="I223" i="5"/>
  <c r="AF223" i="5" a="1"/>
  <c r="AF223" i="5" s="1"/>
  <c r="F223" i="5"/>
  <c r="E223" i="5"/>
  <c r="AK220" i="6"/>
  <c r="M222" i="6"/>
  <c r="AT222" i="6" s="1"/>
  <c r="H222" i="6" a="1"/>
  <c r="H222" i="6" s="1"/>
  <c r="T222" i="5" s="1"/>
  <c r="G222" i="12" s="1" a="1"/>
  <c r="G222" i="12" s="1"/>
  <c r="G222" i="6"/>
  <c r="N222" i="6"/>
  <c r="BB220" i="6" a="1"/>
  <c r="BB220" i="6" s="1"/>
  <c r="BA220" i="6" a="1"/>
  <c r="BA220" i="6" s="1"/>
  <c r="AC220" i="6"/>
  <c r="AH220" i="6"/>
  <c r="BC220" i="6" a="1"/>
  <c r="BC220" i="6" s="1"/>
  <c r="AQ220" i="6"/>
  <c r="AO220" i="6"/>
  <c r="AE220" i="6"/>
  <c r="AI220" i="6"/>
  <c r="AY220" i="6" a="1"/>
  <c r="AY220" i="6" s="1"/>
  <c r="BE220" i="6" a="1"/>
  <c r="BE220" i="6" s="1"/>
  <c r="BD220" i="6" a="1"/>
  <c r="BD220" i="6" s="1"/>
  <c r="AG220" i="6"/>
  <c r="AJ220" i="6"/>
  <c r="AT220" i="6"/>
  <c r="AN220" i="6"/>
  <c r="AZ220" i="6" a="1"/>
  <c r="AZ220" i="6" s="1"/>
  <c r="AU220" i="6"/>
  <c r="AM220" i="6"/>
  <c r="BG220" i="6" a="1"/>
  <c r="BG220" i="6" s="1"/>
  <c r="BF220" i="6" a="1"/>
  <c r="BF220" i="6" s="1"/>
  <c r="AS220" i="6"/>
  <c r="AP220" i="6"/>
  <c r="AV220" i="6"/>
  <c r="AD220" i="6"/>
  <c r="AB220" i="6"/>
  <c r="AX220" i="6" a="1"/>
  <c r="AX220" i="6" s="1"/>
  <c r="AR220" i="6"/>
  <c r="BC221" i="6" l="1" a="1"/>
  <c r="BC221" i="6" s="1"/>
  <c r="AV221" i="6"/>
  <c r="AU221" i="6"/>
  <c r="AX221" i="6" a="1"/>
  <c r="AX221" i="6" s="1"/>
  <c r="AC221" i="6"/>
  <c r="BE221" i="6" a="1"/>
  <c r="BE221" i="6" s="1"/>
  <c r="AT221" i="6"/>
  <c r="BG221" i="6" a="1"/>
  <c r="BG221" i="6" s="1"/>
  <c r="AJ221" i="6"/>
  <c r="AQ221" i="6"/>
  <c r="AY221" i="6" a="1"/>
  <c r="AY221" i="6" s="1"/>
  <c r="AF221" i="6"/>
  <c r="AM221" i="6"/>
  <c r="AN221" i="6"/>
  <c r="AO221" i="6"/>
  <c r="AD221" i="6"/>
  <c r="AZ221" i="6" a="1"/>
  <c r="AZ221" i="6" s="1"/>
  <c r="AK221" i="6"/>
  <c r="BD221" i="6" a="1"/>
  <c r="BD221" i="6" s="1"/>
  <c r="AG221" i="6"/>
  <c r="AH221" i="6"/>
  <c r="BA221" i="6" a="1"/>
  <c r="BA221" i="6" s="1"/>
  <c r="AI221" i="6"/>
  <c r="AB221" i="6"/>
  <c r="AE221" i="6"/>
  <c r="AS221" i="6"/>
  <c r="BB221" i="6" a="1"/>
  <c r="BB221" i="6" s="1"/>
  <c r="AR221" i="6"/>
  <c r="AP221" i="6"/>
  <c r="AH222" i="6"/>
  <c r="AD222" i="6"/>
  <c r="BE222" i="6" a="1"/>
  <c r="BE222" i="6" s="1"/>
  <c r="AO222" i="6"/>
  <c r="BD222" i="6" a="1"/>
  <c r="BD222" i="6" s="1"/>
  <c r="AN222" i="6"/>
  <c r="AD224" i="5"/>
  <c r="D224" i="5"/>
  <c r="B224" i="12" s="1"/>
  <c r="B224" i="5"/>
  <c r="C225" i="5"/>
  <c r="N224" i="5"/>
  <c r="D224" i="6" s="1"/>
  <c r="A224" i="12"/>
  <c r="F224" i="5"/>
  <c r="J224" i="5"/>
  <c r="AE224" i="5" a="1"/>
  <c r="AE224" i="5" s="1"/>
  <c r="K224" i="5"/>
  <c r="H224" i="5"/>
  <c r="E224" i="5"/>
  <c r="G224" i="5"/>
  <c r="AK222" i="6"/>
  <c r="BC222" i="6" a="1"/>
  <c r="BC222" i="6" s="1"/>
  <c r="AZ222" i="6" a="1"/>
  <c r="AZ222" i="6" s="1"/>
  <c r="AV222" i="6"/>
  <c r="AX222" i="6" a="1"/>
  <c r="AX222" i="6" s="1"/>
  <c r="AJ222" i="6"/>
  <c r="AG223" i="5" a="1"/>
  <c r="AG223" i="5" s="1"/>
  <c r="S223" i="5" a="1"/>
  <c r="S223" i="5" s="1"/>
  <c r="F223" i="12" s="1" a="1"/>
  <c r="F223" i="12" s="1"/>
  <c r="AP222" i="6"/>
  <c r="AB222" i="6"/>
  <c r="AS222" i="6"/>
  <c r="BG222" i="6" a="1"/>
  <c r="BG222" i="6" s="1"/>
  <c r="AY222" i="6" a="1"/>
  <c r="AY222" i="6" s="1"/>
  <c r="AR222" i="6"/>
  <c r="BA222" i="6" a="1"/>
  <c r="BA222" i="6" s="1"/>
  <c r="AU222" i="6"/>
  <c r="AI222" i="6"/>
  <c r="AG222" i="6"/>
  <c r="AE222" i="6"/>
  <c r="H223" i="6" a="1"/>
  <c r="H223" i="6" s="1"/>
  <c r="T223" i="5" s="1"/>
  <c r="G223" i="12" s="1" a="1"/>
  <c r="G223" i="12" s="1"/>
  <c r="N223" i="6"/>
  <c r="G223" i="6"/>
  <c r="M223" i="6"/>
  <c r="AY223" i="6" s="1" a="1"/>
  <c r="AY223" i="6" s="1"/>
  <c r="BB222" i="6" a="1"/>
  <c r="BB222" i="6" s="1"/>
  <c r="BF222" i="6" a="1"/>
  <c r="BF222" i="6" s="1"/>
  <c r="AF222" i="6"/>
  <c r="AC222" i="6"/>
  <c r="AQ222" i="6"/>
  <c r="A223" i="6"/>
  <c r="J223" i="6" a="1"/>
  <c r="J223" i="6" s="1"/>
  <c r="AM222" i="6"/>
  <c r="B224" i="6"/>
  <c r="L225" i="6"/>
  <c r="AU223" i="6" l="1"/>
  <c r="BE223" i="6" a="1"/>
  <c r="BE223" i="6" s="1"/>
  <c r="AT223" i="6"/>
  <c r="AI223" i="6"/>
  <c r="BF223" i="6" a="1"/>
  <c r="BF223" i="6" s="1"/>
  <c r="AZ223" i="6" a="1"/>
  <c r="AZ223" i="6" s="1"/>
  <c r="AG223" i="6"/>
  <c r="AE223" i="6"/>
  <c r="AX223" i="6" a="1"/>
  <c r="AX223" i="6" s="1"/>
  <c r="AD223" i="6"/>
  <c r="AH223" i="6"/>
  <c r="AC223" i="6"/>
  <c r="AN223" i="6"/>
  <c r="AB223" i="6"/>
  <c r="AP223" i="6"/>
  <c r="BD223" i="6" a="1"/>
  <c r="BD223" i="6" s="1"/>
  <c r="J224" i="6" a="1"/>
  <c r="J224" i="6" s="1"/>
  <c r="A224" i="6"/>
  <c r="M224" i="6" s="1"/>
  <c r="AN224" i="6" s="1"/>
  <c r="B225" i="6"/>
  <c r="L226" i="6"/>
  <c r="K225" i="5"/>
  <c r="AE225" i="5" a="1"/>
  <c r="AE225" i="5" s="1"/>
  <c r="AD225" i="5"/>
  <c r="H225" i="5"/>
  <c r="E225" i="5"/>
  <c r="B225" i="5"/>
  <c r="C226" i="5" s="1"/>
  <c r="D225" i="5"/>
  <c r="B225" i="12" s="1"/>
  <c r="N225" i="5"/>
  <c r="D225" i="6" s="1"/>
  <c r="J225" i="5"/>
  <c r="F225" i="5"/>
  <c r="G225" i="5"/>
  <c r="A225" i="12"/>
  <c r="BC223" i="6" a="1"/>
  <c r="BC223" i="6" s="1"/>
  <c r="BG223" i="6" a="1"/>
  <c r="BG223" i="6" s="1"/>
  <c r="J224" i="12" a="1"/>
  <c r="J224" i="12" s="1"/>
  <c r="L224" i="12" a="1"/>
  <c r="L224" i="12" s="1"/>
  <c r="AV223" i="6"/>
  <c r="BA223" i="6" a="1"/>
  <c r="BA223" i="6" s="1"/>
  <c r="H224" i="6" a="1"/>
  <c r="H224" i="6" s="1"/>
  <c r="T224" i="5" s="1"/>
  <c r="G224" i="12" s="1" a="1"/>
  <c r="G224" i="12" s="1"/>
  <c r="AJ223" i="6"/>
  <c r="AR223" i="6"/>
  <c r="AO223" i="6"/>
  <c r="AK223" i="6"/>
  <c r="AF223" i="6"/>
  <c r="AS223" i="6"/>
  <c r="AM223" i="6"/>
  <c r="AQ223" i="6"/>
  <c r="BB223" i="6" a="1"/>
  <c r="BB223" i="6" s="1"/>
  <c r="K224" i="12" l="1"/>
  <c r="AK224" i="6"/>
  <c r="N224" i="6"/>
  <c r="AY224" i="6" a="1"/>
  <c r="AY224" i="6" s="1"/>
  <c r="AS224" i="6"/>
  <c r="BC224" i="6" a="1"/>
  <c r="BC224" i="6" s="1"/>
  <c r="AQ224" i="6"/>
  <c r="AO224" i="6"/>
  <c r="AM224" i="6"/>
  <c r="A225" i="6"/>
  <c r="N225" i="6" s="1"/>
  <c r="J225" i="6" a="1"/>
  <c r="J225" i="6" s="1"/>
  <c r="H225" i="6" a="1"/>
  <c r="H225" i="6" s="1"/>
  <c r="T225" i="5" s="1"/>
  <c r="G225" i="12" s="1" a="1"/>
  <c r="G225" i="12" s="1"/>
  <c r="AG224" i="6"/>
  <c r="AF224" i="6"/>
  <c r="AU224" i="6"/>
  <c r="A226" i="12"/>
  <c r="AF226" i="5" a="1"/>
  <c r="AF226" i="5" s="1"/>
  <c r="W226" i="5" a="1"/>
  <c r="W226" i="5" s="1"/>
  <c r="H226" i="12" s="1" a="1"/>
  <c r="H226" i="12" s="1"/>
  <c r="E226" i="5"/>
  <c r="AD226" i="5"/>
  <c r="B226" i="5"/>
  <c r="C227" i="5" s="1"/>
  <c r="G226" i="5"/>
  <c r="AE226" i="5" a="1"/>
  <c r="AE226" i="5" s="1"/>
  <c r="F226" i="5"/>
  <c r="H226" i="5"/>
  <c r="N226" i="5"/>
  <c r="D226" i="6" s="1"/>
  <c r="I226" i="5"/>
  <c r="AB224" i="6"/>
  <c r="BA224" i="6" a="1"/>
  <c r="BA224" i="6" s="1"/>
  <c r="BF224" i="6" a="1"/>
  <c r="BF224" i="6" s="1"/>
  <c r="AE224" i="6"/>
  <c r="BG224" i="6" a="1"/>
  <c r="BG224" i="6" s="1"/>
  <c r="L225" i="12" a="1"/>
  <c r="L225" i="12" s="1"/>
  <c r="J225" i="12" a="1"/>
  <c r="J225" i="12" s="1"/>
  <c r="AJ224" i="6"/>
  <c r="AH224" i="6"/>
  <c r="BD224" i="6" a="1"/>
  <c r="BD224" i="6" s="1"/>
  <c r="BE224" i="6" a="1"/>
  <c r="BE224" i="6" s="1"/>
  <c r="AI224" i="6"/>
  <c r="AC224" i="6"/>
  <c r="AZ224" i="6" a="1"/>
  <c r="AZ224" i="6" s="1"/>
  <c r="B226" i="6"/>
  <c r="F226" i="6"/>
  <c r="L227" i="6"/>
  <c r="AP224" i="6"/>
  <c r="BB224" i="6" a="1"/>
  <c r="BB224" i="6" s="1"/>
  <c r="AD224" i="6"/>
  <c r="AX224" i="6" a="1"/>
  <c r="AX224" i="6" s="1"/>
  <c r="AV224" i="6"/>
  <c r="AR224" i="6"/>
  <c r="AT224" i="6"/>
  <c r="M225" i="6" l="1"/>
  <c r="AG225" i="6" s="1"/>
  <c r="B227" i="6"/>
  <c r="L228" i="6"/>
  <c r="F227" i="6"/>
  <c r="A226" i="6"/>
  <c r="J226" i="6" a="1"/>
  <c r="J226" i="6" s="1"/>
  <c r="G226" i="6"/>
  <c r="M226" i="6"/>
  <c r="AU226" i="6" s="1"/>
  <c r="N226" i="6"/>
  <c r="H226" i="6" a="1"/>
  <c r="H226" i="6" s="1"/>
  <c r="T226" i="5" s="1"/>
  <c r="G226" i="12" s="1" a="1"/>
  <c r="G226" i="12" s="1"/>
  <c r="F227" i="5"/>
  <c r="E227" i="5"/>
  <c r="B227" i="5"/>
  <c r="I227" i="5"/>
  <c r="AE227" i="5" a="1"/>
  <c r="AE227" i="5" s="1"/>
  <c r="G227" i="5"/>
  <c r="N227" i="5"/>
  <c r="D227" i="6" s="1"/>
  <c r="A227" i="12"/>
  <c r="H227" i="5"/>
  <c r="AD227" i="5"/>
  <c r="C228" i="5"/>
  <c r="W227" i="5" a="1"/>
  <c r="W227" i="5" s="1"/>
  <c r="H227" i="12" s="1" a="1"/>
  <c r="H227" i="12" s="1"/>
  <c r="AF227" i="5" a="1"/>
  <c r="AF227" i="5" s="1"/>
  <c r="S226" i="5" a="1"/>
  <c r="S226" i="5" s="1"/>
  <c r="F226" i="12" s="1" a="1"/>
  <c r="F226" i="12" s="1"/>
  <c r="AG226" i="5" a="1"/>
  <c r="AG226" i="5" s="1"/>
  <c r="K225" i="12"/>
  <c r="AQ225" i="6" l="1"/>
  <c r="BE225" i="6" a="1"/>
  <c r="BE225" i="6" s="1"/>
  <c r="AP225" i="6"/>
  <c r="AO226" i="6"/>
  <c r="AR226" i="6"/>
  <c r="BA225" i="6" a="1"/>
  <c r="BA225" i="6" s="1"/>
  <c r="AF225" i="6"/>
  <c r="BB225" i="6" a="1"/>
  <c r="BB225" i="6" s="1"/>
  <c r="AK225" i="6"/>
  <c r="BC225" i="6" a="1"/>
  <c r="BC225" i="6" s="1"/>
  <c r="AN225" i="6"/>
  <c r="BG225" i="6" a="1"/>
  <c r="BG225" i="6" s="1"/>
  <c r="AV225" i="6"/>
  <c r="AI225" i="6"/>
  <c r="BB226" i="6" a="1"/>
  <c r="BB226" i="6" s="1"/>
  <c r="BF225" i="6" a="1"/>
  <c r="BF225" i="6" s="1"/>
  <c r="AR225" i="6"/>
  <c r="AC225" i="6"/>
  <c r="AD225" i="6"/>
  <c r="AT225" i="6"/>
  <c r="BE226" i="6" a="1"/>
  <c r="BE226" i="6" s="1"/>
  <c r="AJ225" i="6"/>
  <c r="AX225" i="6" a="1"/>
  <c r="AX225" i="6" s="1"/>
  <c r="AE225" i="6"/>
  <c r="AY225" i="6" a="1"/>
  <c r="AY225" i="6" s="1"/>
  <c r="AH225" i="6"/>
  <c r="AU225" i="6"/>
  <c r="BD225" i="6" a="1"/>
  <c r="BD225" i="6" s="1"/>
  <c r="AB225" i="6"/>
  <c r="AZ225" i="6" a="1"/>
  <c r="AZ225" i="6" s="1"/>
  <c r="AO225" i="6"/>
  <c r="AS225" i="6"/>
  <c r="AM225" i="6"/>
  <c r="H227" i="6" a="1"/>
  <c r="H227" i="6" s="1"/>
  <c r="T227" i="5" s="1"/>
  <c r="G227" i="12" s="1" a="1"/>
  <c r="G227" i="12" s="1"/>
  <c r="N227" i="6"/>
  <c r="G227" i="6"/>
  <c r="M227" i="6"/>
  <c r="AY227" i="6" s="1" a="1"/>
  <c r="AY227" i="6" s="1"/>
  <c r="AY226" i="6" a="1"/>
  <c r="AY226" i="6" s="1"/>
  <c r="AZ226" i="6" a="1"/>
  <c r="AZ226" i="6" s="1"/>
  <c r="AG226" i="6"/>
  <c r="BC226" i="6" a="1"/>
  <c r="BC226" i="6" s="1"/>
  <c r="BF226" i="6" a="1"/>
  <c r="BF226" i="6" s="1"/>
  <c r="AH226" i="6"/>
  <c r="AD226" i="6"/>
  <c r="AM226" i="6"/>
  <c r="BG226" i="6" a="1"/>
  <c r="BG226" i="6" s="1"/>
  <c r="AK226" i="6"/>
  <c r="AC226" i="6"/>
  <c r="BD226" i="6" a="1"/>
  <c r="BD226" i="6" s="1"/>
  <c r="BA226" i="6" a="1"/>
  <c r="BA226" i="6" s="1"/>
  <c r="AN226" i="6"/>
  <c r="AV226" i="6"/>
  <c r="AT226" i="6"/>
  <c r="B228" i="6"/>
  <c r="L229" i="6"/>
  <c r="AG227" i="5" a="1"/>
  <c r="AG227" i="5" s="1"/>
  <c r="S227" i="5" a="1"/>
  <c r="S227" i="5" s="1"/>
  <c r="F227" i="12" s="1" a="1"/>
  <c r="F227" i="12" s="1"/>
  <c r="AP226" i="6"/>
  <c r="AE226" i="6"/>
  <c r="A227" i="6"/>
  <c r="J227" i="6" a="1"/>
  <c r="J227" i="6" s="1"/>
  <c r="AF226" i="6"/>
  <c r="AQ226" i="6"/>
  <c r="AX226" i="6" a="1"/>
  <c r="AX226" i="6" s="1"/>
  <c r="AJ226" i="6"/>
  <c r="AI226" i="6"/>
  <c r="AD228" i="5"/>
  <c r="AE228" i="5" a="1"/>
  <c r="AE228" i="5" s="1"/>
  <c r="A228" i="12"/>
  <c r="E228" i="5"/>
  <c r="K228" i="5"/>
  <c r="J228" i="5"/>
  <c r="N228" i="5"/>
  <c r="D228" i="6" s="1"/>
  <c r="H228" i="5"/>
  <c r="C229" i="5"/>
  <c r="D228" i="5"/>
  <c r="B228" i="12" s="1"/>
  <c r="F228" i="5"/>
  <c r="G228" i="5"/>
  <c r="B228" i="5"/>
  <c r="AS226" i="6"/>
  <c r="AB226" i="6"/>
  <c r="AR227" i="6" l="1"/>
  <c r="BG227" i="6" a="1"/>
  <c r="BG227" i="6" s="1"/>
  <c r="AM227" i="6"/>
  <c r="BF227" i="6" a="1"/>
  <c r="BF227" i="6" s="1"/>
  <c r="AZ227" i="6" a="1"/>
  <c r="AZ227" i="6" s="1"/>
  <c r="AN227" i="6"/>
  <c r="AJ227" i="6"/>
  <c r="BB227" i="6" a="1"/>
  <c r="BB227" i="6" s="1"/>
  <c r="AU227" i="6"/>
  <c r="BC227" i="6" a="1"/>
  <c r="BC227" i="6" s="1"/>
  <c r="AP227" i="6"/>
  <c r="AB227" i="6"/>
  <c r="AK227" i="6"/>
  <c r="AF227" i="6"/>
  <c r="BE227" i="6" a="1"/>
  <c r="BE227" i="6" s="1"/>
  <c r="AV227" i="6"/>
  <c r="AS227" i="6"/>
  <c r="AT227" i="6"/>
  <c r="AQ227" i="6"/>
  <c r="AX227" i="6" a="1"/>
  <c r="AX227" i="6" s="1"/>
  <c r="AE227" i="6"/>
  <c r="AD227" i="6"/>
  <c r="AI227" i="6"/>
  <c r="AC227" i="6"/>
  <c r="AG227" i="6"/>
  <c r="AO227" i="6"/>
  <c r="BD227" i="6" a="1"/>
  <c r="BD227" i="6" s="1"/>
  <c r="E229" i="5"/>
  <c r="AE229" i="5" a="1"/>
  <c r="AE229" i="5" s="1"/>
  <c r="H229" i="5"/>
  <c r="N229" i="5"/>
  <c r="D229" i="6" s="1"/>
  <c r="B229" i="5"/>
  <c r="C230" i="5" s="1"/>
  <c r="J229" i="5"/>
  <c r="G229" i="5"/>
  <c r="F229" i="5"/>
  <c r="A229" i="12"/>
  <c r="AD229" i="5"/>
  <c r="K229" i="5"/>
  <c r="D229" i="5"/>
  <c r="B229" i="12" s="1"/>
  <c r="J228" i="12" a="1"/>
  <c r="J228" i="12" s="1"/>
  <c r="L228" i="12" a="1"/>
  <c r="L228" i="12" s="1"/>
  <c r="L230" i="6"/>
  <c r="B229" i="6"/>
  <c r="A228" i="6"/>
  <c r="M228" i="6" s="1"/>
  <c r="AX228" i="6" s="1" a="1"/>
  <c r="AX228" i="6" s="1"/>
  <c r="J228" i="6" a="1"/>
  <c r="J228" i="6" s="1"/>
  <c r="BA227" i="6" a="1"/>
  <c r="BA227" i="6" s="1"/>
  <c r="AH227" i="6"/>
  <c r="H228" i="6" a="1"/>
  <c r="H228" i="6" s="1"/>
  <c r="T228" i="5" s="1"/>
  <c r="G228" i="12" s="1" a="1"/>
  <c r="G228" i="12" s="1"/>
  <c r="BG228" i="6" l="1" a="1"/>
  <c r="BG228" i="6" s="1"/>
  <c r="BD228" i="6" a="1"/>
  <c r="BD228" i="6" s="1"/>
  <c r="N228" i="6"/>
  <c r="AH228" i="6"/>
  <c r="AI228" i="6"/>
  <c r="AT228" i="6"/>
  <c r="BB228" i="6" a="1"/>
  <c r="BB228" i="6" s="1"/>
  <c r="AK228" i="6"/>
  <c r="AS228" i="6"/>
  <c r="AE228" i="6"/>
  <c r="AV228" i="6"/>
  <c r="BE228" i="6" a="1"/>
  <c r="BE228" i="6" s="1"/>
  <c r="AR228" i="6"/>
  <c r="AF228" i="6"/>
  <c r="AJ228" i="6"/>
  <c r="AU228" i="6"/>
  <c r="AB228" i="6"/>
  <c r="AD228" i="6"/>
  <c r="AQ228" i="6"/>
  <c r="AY228" i="6" a="1"/>
  <c r="AY228" i="6" s="1"/>
  <c r="AZ228" i="6" a="1"/>
  <c r="AZ228" i="6" s="1"/>
  <c r="BC228" i="6" a="1"/>
  <c r="BC228" i="6" s="1"/>
  <c r="AO228" i="6"/>
  <c r="AG228" i="6"/>
  <c r="J229" i="12" a="1"/>
  <c r="J229" i="12" s="1"/>
  <c r="L229" i="12" a="1"/>
  <c r="L229" i="12" s="1"/>
  <c r="F230" i="6"/>
  <c r="L231" i="6"/>
  <c r="B230" i="6"/>
  <c r="H230" i="5"/>
  <c r="E230" i="5"/>
  <c r="A230" i="12"/>
  <c r="F230" i="5"/>
  <c r="B230" i="5"/>
  <c r="I230" i="5"/>
  <c r="C231" i="5"/>
  <c r="AF230" i="5" a="1"/>
  <c r="AF230" i="5" s="1"/>
  <c r="W230" i="5" a="1"/>
  <c r="W230" i="5" s="1"/>
  <c r="H230" i="12" s="1" a="1"/>
  <c r="H230" i="12" s="1"/>
  <c r="N230" i="5"/>
  <c r="D230" i="6" s="1"/>
  <c r="G230" i="5"/>
  <c r="AD230" i="5"/>
  <c r="AE230" i="5" a="1"/>
  <c r="AE230" i="5" s="1"/>
  <c r="H229" i="6" a="1"/>
  <c r="H229" i="6" s="1"/>
  <c r="T229" i="5" s="1"/>
  <c r="G229" i="12" s="1" a="1"/>
  <c r="G229" i="12" s="1"/>
  <c r="BA228" i="6" a="1"/>
  <c r="BA228" i="6" s="1"/>
  <c r="J229" i="6" a="1"/>
  <c r="J229" i="6" s="1"/>
  <c r="A229" i="6"/>
  <c r="M229" i="6" s="1"/>
  <c r="BB229" i="6" s="1" a="1"/>
  <c r="BB229" i="6" s="1"/>
  <c r="AP228" i="6"/>
  <c r="AC228" i="6"/>
  <c r="AN228" i="6"/>
  <c r="K228" i="12"/>
  <c r="BF228" i="6" a="1"/>
  <c r="BF228" i="6" s="1"/>
  <c r="AM228" i="6"/>
  <c r="K229" i="12" l="1"/>
  <c r="AB229" i="6"/>
  <c r="BD229" i="6" a="1"/>
  <c r="BD229" i="6" s="1"/>
  <c r="AP229" i="6"/>
  <c r="G230" i="6"/>
  <c r="H230" i="6" a="1"/>
  <c r="H230" i="6" s="1"/>
  <c r="T230" i="5" s="1"/>
  <c r="G230" i="12" s="1" a="1"/>
  <c r="G230" i="12" s="1"/>
  <c r="M230" i="6"/>
  <c r="AS230" i="6" s="1"/>
  <c r="N230" i="6"/>
  <c r="AK229" i="6"/>
  <c r="AY229" i="6" a="1"/>
  <c r="AY229" i="6" s="1"/>
  <c r="AD229" i="6"/>
  <c r="AC229" i="6"/>
  <c r="AG229" i="6"/>
  <c r="AI229" i="6"/>
  <c r="AU229" i="6"/>
  <c r="B231" i="6"/>
  <c r="L232" i="6"/>
  <c r="N229" i="6"/>
  <c r="BC229" i="6" a="1"/>
  <c r="BC229" i="6" s="1"/>
  <c r="BE229" i="6" a="1"/>
  <c r="BE229" i="6" s="1"/>
  <c r="S230" i="5" a="1"/>
  <c r="S230" i="5" s="1"/>
  <c r="F230" i="12" s="1" a="1"/>
  <c r="F230" i="12" s="1"/>
  <c r="AG230" i="5" a="1"/>
  <c r="AG230" i="5" s="1"/>
  <c r="AN229" i="6"/>
  <c r="AZ229" i="6" a="1"/>
  <c r="AZ229" i="6" s="1"/>
  <c r="AH229" i="6"/>
  <c r="B231" i="5"/>
  <c r="E231" i="5"/>
  <c r="N231" i="5"/>
  <c r="D231" i="6" s="1"/>
  <c r="F231" i="5"/>
  <c r="H231" i="5"/>
  <c r="C232" i="5"/>
  <c r="J231" i="5"/>
  <c r="D231" i="5"/>
  <c r="B231" i="12" s="1"/>
  <c r="AD231" i="5"/>
  <c r="AE231" i="5" a="1"/>
  <c r="AE231" i="5" s="1"/>
  <c r="G231" i="5"/>
  <c r="A231" i="12"/>
  <c r="K231" i="5"/>
  <c r="BG229" i="6" a="1"/>
  <c r="BG229" i="6" s="1"/>
  <c r="AO229" i="6"/>
  <c r="AJ229" i="6"/>
  <c r="AM229" i="6"/>
  <c r="AF229" i="6"/>
  <c r="BF229" i="6" a="1"/>
  <c r="BF229" i="6" s="1"/>
  <c r="BA229" i="6" a="1"/>
  <c r="BA229" i="6" s="1"/>
  <c r="AV229" i="6"/>
  <c r="AT229" i="6"/>
  <c r="AE229" i="6"/>
  <c r="AS229" i="6"/>
  <c r="A230" i="6"/>
  <c r="J230" i="6" a="1"/>
  <c r="J230" i="6" s="1"/>
  <c r="AQ229" i="6"/>
  <c r="AX229" i="6" a="1"/>
  <c r="AX229" i="6" s="1"/>
  <c r="AR229" i="6"/>
  <c r="AZ230" i="6" l="1" a="1"/>
  <c r="AZ230" i="6" s="1"/>
  <c r="AH230" i="6"/>
  <c r="AJ230" i="6"/>
  <c r="AX230" i="6" a="1"/>
  <c r="AX230" i="6" s="1"/>
  <c r="AQ230" i="6"/>
  <c r="AE230" i="6"/>
  <c r="AV230" i="6"/>
  <c r="BG230" i="6" a="1"/>
  <c r="BG230" i="6" s="1"/>
  <c r="AO230" i="6"/>
  <c r="BC230" i="6" a="1"/>
  <c r="BC230" i="6" s="1"/>
  <c r="AD230" i="6"/>
  <c r="BA230" i="6" a="1"/>
  <c r="BA230" i="6" s="1"/>
  <c r="BB230" i="6" a="1"/>
  <c r="BB230" i="6" s="1"/>
  <c r="AB230" i="6"/>
  <c r="AF230" i="6"/>
  <c r="BD230" i="6" a="1"/>
  <c r="BD230" i="6" s="1"/>
  <c r="BE230" i="6" a="1"/>
  <c r="BE230" i="6" s="1"/>
  <c r="AP230" i="6"/>
  <c r="BF230" i="6" a="1"/>
  <c r="BF230" i="6" s="1"/>
  <c r="B232" i="6"/>
  <c r="L233" i="6"/>
  <c r="H232" i="5"/>
  <c r="K232" i="5"/>
  <c r="E232" i="5"/>
  <c r="J232" i="5"/>
  <c r="F232" i="5"/>
  <c r="C233" i="5"/>
  <c r="A232" i="12"/>
  <c r="AD232" i="5"/>
  <c r="B232" i="5"/>
  <c r="AE232" i="5" a="1"/>
  <c r="AE232" i="5" s="1"/>
  <c r="G232" i="5"/>
  <c r="N232" i="5"/>
  <c r="D232" i="6" s="1"/>
  <c r="D232" i="5"/>
  <c r="B232" i="12" s="1"/>
  <c r="AG230" i="6"/>
  <c r="A231" i="6"/>
  <c r="M231" i="6" s="1"/>
  <c r="BD231" i="6" s="1" a="1"/>
  <c r="BD231" i="6" s="1"/>
  <c r="J231" i="6" a="1"/>
  <c r="J231" i="6" s="1"/>
  <c r="AR230" i="6"/>
  <c r="AT230" i="6"/>
  <c r="AK230" i="6"/>
  <c r="J231" i="12" a="1"/>
  <c r="J231" i="12" s="1"/>
  <c r="L231" i="12" a="1"/>
  <c r="L231" i="12" s="1"/>
  <c r="AI230" i="6"/>
  <c r="AM230" i="6"/>
  <c r="AC230" i="6"/>
  <c r="H231" i="6" a="1"/>
  <c r="H231" i="6" s="1"/>
  <c r="T231" i="5" s="1"/>
  <c r="G231" i="12" s="1" a="1"/>
  <c r="G231" i="12" s="1"/>
  <c r="AU230" i="6"/>
  <c r="AN230" i="6"/>
  <c r="AY230" i="6" a="1"/>
  <c r="AY230" i="6" s="1"/>
  <c r="K231" i="12" l="1"/>
  <c r="AJ231" i="6"/>
  <c r="BC231" i="6" a="1"/>
  <c r="BC231" i="6" s="1"/>
  <c r="AN231" i="6"/>
  <c r="AC231" i="6"/>
  <c r="AU231" i="6"/>
  <c r="BG231" i="6" a="1"/>
  <c r="BG231" i="6" s="1"/>
  <c r="AG231" i="6"/>
  <c r="AX231" i="6" a="1"/>
  <c r="AX231" i="6" s="1"/>
  <c r="AP231" i="6"/>
  <c r="L232" i="12" a="1"/>
  <c r="L232" i="12" s="1"/>
  <c r="J232" i="12" a="1"/>
  <c r="J232" i="12" s="1"/>
  <c r="AI231" i="6"/>
  <c r="AR231" i="6"/>
  <c r="AV231" i="6"/>
  <c r="AY231" i="6" a="1"/>
  <c r="AY231" i="6" s="1"/>
  <c r="AD231" i="6"/>
  <c r="AM231" i="6"/>
  <c r="BB231" i="6" a="1"/>
  <c r="BB231" i="6" s="1"/>
  <c r="AS231" i="6"/>
  <c r="N231" i="6"/>
  <c r="AH231" i="6"/>
  <c r="AK231" i="6"/>
  <c r="AB231" i="6"/>
  <c r="BA231" i="6" a="1"/>
  <c r="BA231" i="6" s="1"/>
  <c r="AZ231" i="6" a="1"/>
  <c r="AZ231" i="6" s="1"/>
  <c r="AE231" i="6"/>
  <c r="L234" i="6"/>
  <c r="B233" i="6"/>
  <c r="H232" i="6" a="1"/>
  <c r="H232" i="6" s="1"/>
  <c r="T232" i="5" s="1"/>
  <c r="G232" i="12" s="1" a="1"/>
  <c r="G232" i="12" s="1"/>
  <c r="BE231" i="6" a="1"/>
  <c r="BE231" i="6" s="1"/>
  <c r="AO231" i="6"/>
  <c r="AQ231" i="6"/>
  <c r="AE233" i="5" a="1"/>
  <c r="AE233" i="5" s="1"/>
  <c r="A233" i="12"/>
  <c r="H233" i="5"/>
  <c r="D233" i="5"/>
  <c r="B233" i="12" s="1"/>
  <c r="N233" i="5"/>
  <c r="D233" i="6" s="1"/>
  <c r="B233" i="5"/>
  <c r="C234" i="5" s="1"/>
  <c r="F233" i="5"/>
  <c r="J233" i="5"/>
  <c r="K233" i="5"/>
  <c r="E233" i="5"/>
  <c r="AD233" i="5"/>
  <c r="G233" i="5"/>
  <c r="BF231" i="6" a="1"/>
  <c r="BF231" i="6" s="1"/>
  <c r="AF231" i="6"/>
  <c r="AT231" i="6"/>
  <c r="A232" i="6"/>
  <c r="N232" i="6" s="1"/>
  <c r="J232" i="6" a="1"/>
  <c r="J232" i="6" s="1"/>
  <c r="M232" i="6" l="1"/>
  <c r="AC232" i="6" s="1"/>
  <c r="J233" i="6" a="1"/>
  <c r="J233" i="6" s="1"/>
  <c r="A233" i="6"/>
  <c r="N233" i="6" s="1"/>
  <c r="AE234" i="5" a="1"/>
  <c r="AE234" i="5" s="1"/>
  <c r="I234" i="5"/>
  <c r="AF234" i="5" a="1"/>
  <c r="AF234" i="5" s="1"/>
  <c r="B234" i="5"/>
  <c r="A234" i="12"/>
  <c r="G234" i="5"/>
  <c r="W234" i="5" a="1"/>
  <c r="W234" i="5" s="1"/>
  <c r="H234" i="12" s="1" a="1"/>
  <c r="H234" i="12" s="1"/>
  <c r="N234" i="5"/>
  <c r="D234" i="6" s="1"/>
  <c r="F234" i="5"/>
  <c r="K222" i="5" s="1"/>
  <c r="AD234" i="5"/>
  <c r="H234" i="5"/>
  <c r="C235" i="5"/>
  <c r="E234" i="5"/>
  <c r="B234" i="6"/>
  <c r="F234" i="6"/>
  <c r="L235" i="6"/>
  <c r="L233" i="12" a="1"/>
  <c r="L233" i="12" s="1"/>
  <c r="J233" i="12" a="1"/>
  <c r="J233" i="12" s="1"/>
  <c r="H233" i="6" a="1"/>
  <c r="H233" i="6" s="1"/>
  <c r="T233" i="5" s="1"/>
  <c r="G233" i="12" s="1" a="1"/>
  <c r="G233" i="12" s="1"/>
  <c r="K232" i="12"/>
  <c r="M233" i="6" l="1"/>
  <c r="AM233" i="6" s="1"/>
  <c r="AY232" i="6" a="1"/>
  <c r="AY232" i="6" s="1"/>
  <c r="AD232" i="6"/>
  <c r="AV232" i="6"/>
  <c r="AE232" i="6"/>
  <c r="AJ232" i="6"/>
  <c r="AX232" i="6" a="1"/>
  <c r="AX232" i="6" s="1"/>
  <c r="BC232" i="6" a="1"/>
  <c r="BC232" i="6" s="1"/>
  <c r="AB232" i="6"/>
  <c r="AF232" i="6"/>
  <c r="AT232" i="6"/>
  <c r="AU232" i="6"/>
  <c r="AZ232" i="6" a="1"/>
  <c r="AZ232" i="6" s="1"/>
  <c r="BB232" i="6" a="1"/>
  <c r="BB232" i="6" s="1"/>
  <c r="AK232" i="6"/>
  <c r="AM232" i="6"/>
  <c r="BF232" i="6" a="1"/>
  <c r="BF232" i="6" s="1"/>
  <c r="AG232" i="6"/>
  <c r="BA232" i="6" a="1"/>
  <c r="BA232" i="6" s="1"/>
  <c r="BD232" i="6" a="1"/>
  <c r="BD232" i="6" s="1"/>
  <c r="AN232" i="6"/>
  <c r="AQ232" i="6"/>
  <c r="AP232" i="6"/>
  <c r="AH232" i="6"/>
  <c r="AR232" i="6"/>
  <c r="AO232" i="6"/>
  <c r="BG232" i="6" a="1"/>
  <c r="BG232" i="6" s="1"/>
  <c r="AS232" i="6"/>
  <c r="BE232" i="6" a="1"/>
  <c r="BE232" i="6" s="1"/>
  <c r="AI232" i="6"/>
  <c r="E235" i="5"/>
  <c r="D235" i="5"/>
  <c r="B235" i="12" s="1"/>
  <c r="N235" i="5"/>
  <c r="D235" i="6" s="1"/>
  <c r="F235" i="5"/>
  <c r="J235" i="5"/>
  <c r="AE235" i="5" a="1"/>
  <c r="AE235" i="5" s="1"/>
  <c r="A235" i="12"/>
  <c r="K235" i="5"/>
  <c r="B235" i="5"/>
  <c r="AD235" i="5"/>
  <c r="G235" i="5"/>
  <c r="C236" i="5"/>
  <c r="H235" i="5"/>
  <c r="M234" i="6"/>
  <c r="AZ234" i="6" s="1" a="1"/>
  <c r="AZ234" i="6" s="1"/>
  <c r="H234" i="6" a="1"/>
  <c r="H234" i="6" s="1"/>
  <c r="T234" i="5" s="1"/>
  <c r="G234" i="12" s="1" a="1"/>
  <c r="G234" i="12" s="1"/>
  <c r="N234" i="6"/>
  <c r="G234" i="6"/>
  <c r="J234" i="6" a="1"/>
  <c r="J234" i="6" s="1"/>
  <c r="A234" i="6"/>
  <c r="S234" i="5" a="1"/>
  <c r="S234" i="5" s="1"/>
  <c r="F234" i="12" s="1" a="1"/>
  <c r="F234" i="12" s="1"/>
  <c r="AG234" i="5" a="1"/>
  <c r="AG234" i="5" s="1"/>
  <c r="K233" i="12"/>
  <c r="B235" i="6"/>
  <c r="L236" i="6"/>
  <c r="AC233" i="6" l="1"/>
  <c r="AP233" i="6"/>
  <c r="AG233" i="6"/>
  <c r="BB233" i="6" a="1"/>
  <c r="BB233" i="6" s="1"/>
  <c r="AN233" i="6"/>
  <c r="AT233" i="6"/>
  <c r="AD233" i="6"/>
  <c r="AE233" i="6"/>
  <c r="AJ233" i="6"/>
  <c r="BE233" i="6" a="1"/>
  <c r="BE233" i="6" s="1"/>
  <c r="BA233" i="6" a="1"/>
  <c r="BA233" i="6" s="1"/>
  <c r="AS233" i="6"/>
  <c r="AI233" i="6"/>
  <c r="AR233" i="6"/>
  <c r="AV233" i="6"/>
  <c r="BG233" i="6" a="1"/>
  <c r="BG233" i="6" s="1"/>
  <c r="BF233" i="6" a="1"/>
  <c r="BF233" i="6" s="1"/>
  <c r="AQ233" i="6"/>
  <c r="AZ233" i="6" a="1"/>
  <c r="AZ233" i="6" s="1"/>
  <c r="AK233" i="6"/>
  <c r="AH233" i="6"/>
  <c r="BD233" i="6" a="1"/>
  <c r="BD233" i="6" s="1"/>
  <c r="AY233" i="6" a="1"/>
  <c r="AY233" i="6" s="1"/>
  <c r="BC233" i="6" a="1"/>
  <c r="BC233" i="6" s="1"/>
  <c r="AO233" i="6"/>
  <c r="AU233" i="6"/>
  <c r="AF233" i="6"/>
  <c r="AB233" i="6"/>
  <c r="AX233" i="6" a="1"/>
  <c r="AX233" i="6" s="1"/>
  <c r="BF234" i="6" a="1"/>
  <c r="BF234" i="6" s="1"/>
  <c r="AP234" i="6"/>
  <c r="AF234" i="6"/>
  <c r="BC234" i="6" a="1"/>
  <c r="BC234" i="6" s="1"/>
  <c r="AE234" i="6"/>
  <c r="AX234" i="6" a="1"/>
  <c r="AX234" i="6" s="1"/>
  <c r="AQ234" i="6"/>
  <c r="BD234" i="6" a="1"/>
  <c r="BD234" i="6" s="1"/>
  <c r="AC234" i="6"/>
  <c r="AT234" i="6"/>
  <c r="AY234" i="6" a="1"/>
  <c r="AY234" i="6" s="1"/>
  <c r="AS234" i="6"/>
  <c r="A235" i="6"/>
  <c r="N235" i="6" s="1"/>
  <c r="J235" i="6" a="1"/>
  <c r="J235" i="6" s="1"/>
  <c r="AV234" i="6"/>
  <c r="BA234" i="6" a="1"/>
  <c r="BA234" i="6" s="1"/>
  <c r="J235" i="12" a="1"/>
  <c r="J235" i="12" s="1"/>
  <c r="L235" i="12" a="1"/>
  <c r="L235" i="12" s="1"/>
  <c r="AJ234" i="6"/>
  <c r="J236" i="5"/>
  <c r="D236" i="5"/>
  <c r="B236" i="12" s="1"/>
  <c r="AD236" i="5"/>
  <c r="G236" i="5"/>
  <c r="B236" i="5"/>
  <c r="AE236" i="5" a="1"/>
  <c r="AE236" i="5" s="1"/>
  <c r="F236" i="5"/>
  <c r="C237" i="5"/>
  <c r="K236" i="5"/>
  <c r="E236" i="5"/>
  <c r="H236" i="5"/>
  <c r="N236" i="5"/>
  <c r="D236" i="6" s="1"/>
  <c r="A236" i="12"/>
  <c r="BE234" i="6" a="1"/>
  <c r="BE234" i="6" s="1"/>
  <c r="AK234" i="6"/>
  <c r="AB234" i="6"/>
  <c r="BB234" i="6" a="1"/>
  <c r="BB234" i="6" s="1"/>
  <c r="AO234" i="6"/>
  <c r="H235" i="6" a="1"/>
  <c r="H235" i="6" s="1"/>
  <c r="T235" i="5" s="1"/>
  <c r="G235" i="12" s="1" a="1"/>
  <c r="G235" i="12" s="1"/>
  <c r="AG234" i="6"/>
  <c r="AD234" i="6"/>
  <c r="BG234" i="6" a="1"/>
  <c r="BG234" i="6" s="1"/>
  <c r="AI234" i="6"/>
  <c r="AM234" i="6"/>
  <c r="AU234" i="6"/>
  <c r="B236" i="6"/>
  <c r="L237" i="6"/>
  <c r="AH234" i="6"/>
  <c r="AN234" i="6"/>
  <c r="AR234" i="6"/>
  <c r="K219" i="5"/>
  <c r="K193" i="5"/>
  <c r="K175" i="5"/>
  <c r="K132" i="5"/>
  <c r="K121" i="5"/>
  <c r="K111" i="5"/>
  <c r="K103" i="5"/>
  <c r="K24" i="5"/>
  <c r="K22" i="5"/>
  <c r="K17" i="5"/>
  <c r="K235" i="12" l="1"/>
  <c r="M235" i="6"/>
  <c r="AB235" i="6" s="1"/>
  <c r="H236" i="6" a="1"/>
  <c r="H236" i="6" s="1"/>
  <c r="T236" i="5" s="1"/>
  <c r="G236" i="12" s="1" a="1"/>
  <c r="G236" i="12" s="1"/>
  <c r="J236" i="6" a="1"/>
  <c r="J236" i="6" s="1"/>
  <c r="A236" i="6"/>
  <c r="N236" i="6" s="1"/>
  <c r="B237" i="5"/>
  <c r="J237" i="5"/>
  <c r="H237" i="5"/>
  <c r="E237" i="5"/>
  <c r="AE237" i="5" a="1"/>
  <c r="AE237" i="5" s="1"/>
  <c r="N237" i="5"/>
  <c r="D237" i="6" s="1"/>
  <c r="K237" i="5"/>
  <c r="D237" i="5"/>
  <c r="B237" i="12" s="1"/>
  <c r="A237" i="12"/>
  <c r="C238" i="5"/>
  <c r="F237" i="5"/>
  <c r="G237" i="5"/>
  <c r="AD237" i="5"/>
  <c r="J236" i="12" a="1"/>
  <c r="J236" i="12" s="1"/>
  <c r="L236" i="12" a="1"/>
  <c r="L236" i="12" s="1"/>
  <c r="B237" i="6"/>
  <c r="L238" i="6"/>
  <c r="J45" i="5"/>
  <c r="D45" i="5" s="1"/>
  <c r="K31" i="5"/>
  <c r="J31" i="5"/>
  <c r="K25" i="5"/>
  <c r="J25" i="5"/>
  <c r="AO235" i="6" l="1"/>
  <c r="AD235" i="6"/>
  <c r="AV235" i="6"/>
  <c r="AN235" i="6"/>
  <c r="BG235" i="6" a="1"/>
  <c r="BG235" i="6" s="1"/>
  <c r="AG235" i="6"/>
  <c r="BB235" i="6" a="1"/>
  <c r="BB235" i="6" s="1"/>
  <c r="AH235" i="6"/>
  <c r="AP235" i="6"/>
  <c r="AU235" i="6"/>
  <c r="BD235" i="6" a="1"/>
  <c r="BD235" i="6" s="1"/>
  <c r="AT235" i="6"/>
  <c r="BC235" i="6" a="1"/>
  <c r="BC235" i="6" s="1"/>
  <c r="BE235" i="6" a="1"/>
  <c r="BE235" i="6" s="1"/>
  <c r="AM235" i="6"/>
  <c r="AQ235" i="6"/>
  <c r="AF235" i="6"/>
  <c r="AS235" i="6"/>
  <c r="AY235" i="6" a="1"/>
  <c r="AY235" i="6" s="1"/>
  <c r="AR235" i="6"/>
  <c r="AC235" i="6"/>
  <c r="AK235" i="6"/>
  <c r="AX235" i="6" a="1"/>
  <c r="AX235" i="6" s="1"/>
  <c r="AZ235" i="6" a="1"/>
  <c r="AZ235" i="6" s="1"/>
  <c r="BF235" i="6" a="1"/>
  <c r="BF235" i="6" s="1"/>
  <c r="BA235" i="6" a="1"/>
  <c r="BA235" i="6" s="1"/>
  <c r="AE235" i="6"/>
  <c r="AJ235" i="6"/>
  <c r="AI235" i="6"/>
  <c r="K236" i="12"/>
  <c r="H237" i="6" a="1"/>
  <c r="H237" i="6" s="1"/>
  <c r="T237" i="5" s="1"/>
  <c r="G237" i="12" s="1" a="1"/>
  <c r="G237" i="12" s="1"/>
  <c r="A238" i="12"/>
  <c r="AE238" i="5" a="1"/>
  <c r="AE238" i="5" s="1"/>
  <c r="C239" i="5"/>
  <c r="D238" i="5"/>
  <c r="B238" i="12" s="1"/>
  <c r="K238" i="5"/>
  <c r="G238" i="5"/>
  <c r="AD238" i="5"/>
  <c r="J238" i="5"/>
  <c r="B238" i="5"/>
  <c r="F238" i="5"/>
  <c r="H238" i="5"/>
  <c r="N238" i="5"/>
  <c r="D238" i="6" s="1"/>
  <c r="E238" i="5"/>
  <c r="J237" i="12" a="1"/>
  <c r="J237" i="12" s="1"/>
  <c r="L237" i="12" a="1"/>
  <c r="L237" i="12" s="1"/>
  <c r="M236" i="6"/>
  <c r="L239" i="6"/>
  <c r="B238" i="6"/>
  <c r="J237" i="6" a="1"/>
  <c r="J237" i="6" s="1"/>
  <c r="A237" i="6"/>
  <c r="M237" i="6" s="1"/>
  <c r="BG237" i="6" s="1" a="1"/>
  <c r="BG237" i="6" s="1"/>
  <c r="D31" i="5"/>
  <c r="B31" i="12" s="1"/>
  <c r="B45" i="12"/>
  <c r="D25" i="5"/>
  <c r="K237" i="12" l="1"/>
  <c r="AZ237" i="6" a="1"/>
  <c r="AZ237" i="6" s="1"/>
  <c r="J238" i="6" a="1"/>
  <c r="J238" i="6" s="1"/>
  <c r="A238" i="6"/>
  <c r="N238" i="6" s="1"/>
  <c r="AI237" i="6"/>
  <c r="AO237" i="6"/>
  <c r="AE237" i="6"/>
  <c r="AQ237" i="6"/>
  <c r="AF237" i="6"/>
  <c r="AK237" i="6"/>
  <c r="BA237" i="6" a="1"/>
  <c r="BA237" i="6" s="1"/>
  <c r="AT237" i="6"/>
  <c r="AM237" i="6"/>
  <c r="AV237" i="6"/>
  <c r="BD237" i="6" a="1"/>
  <c r="BD237" i="6" s="1"/>
  <c r="B239" i="6"/>
  <c r="AU237" i="6"/>
  <c r="AG237" i="6"/>
  <c r="AD237" i="6"/>
  <c r="AR237" i="6"/>
  <c r="AX237" i="6" a="1"/>
  <c r="AX237" i="6" s="1"/>
  <c r="N237" i="6"/>
  <c r="AS237" i="6"/>
  <c r="AC236" i="6"/>
  <c r="AV236" i="6"/>
  <c r="AP236" i="6"/>
  <c r="AE236" i="6"/>
  <c r="AY236" i="6" a="1"/>
  <c r="AY236" i="6" s="1"/>
  <c r="AH236" i="6"/>
  <c r="AU236" i="6"/>
  <c r="AG236" i="6"/>
  <c r="AT236" i="6"/>
  <c r="BB236" i="6" a="1"/>
  <c r="BB236" i="6" s="1"/>
  <c r="BA236" i="6" a="1"/>
  <c r="BA236" i="6" s="1"/>
  <c r="AZ236" i="6" a="1"/>
  <c r="AZ236" i="6" s="1"/>
  <c r="AR236" i="6"/>
  <c r="AK236" i="6"/>
  <c r="AX236" i="6" a="1"/>
  <c r="AX236" i="6" s="1"/>
  <c r="AJ236" i="6"/>
  <c r="AF236" i="6"/>
  <c r="AO236" i="6"/>
  <c r="AM236" i="6"/>
  <c r="BG236" i="6" a="1"/>
  <c r="BG236" i="6" s="1"/>
  <c r="AD236" i="6"/>
  <c r="AQ236" i="6"/>
  <c r="AN236" i="6"/>
  <c r="AS236" i="6"/>
  <c r="BE236" i="6" a="1"/>
  <c r="BE236" i="6" s="1"/>
  <c r="BC236" i="6" a="1"/>
  <c r="BC236" i="6" s="1"/>
  <c r="BF236" i="6" a="1"/>
  <c r="BF236" i="6" s="1"/>
  <c r="AB236" i="6"/>
  <c r="AI236" i="6"/>
  <c r="BD236" i="6" a="1"/>
  <c r="BD236" i="6" s="1"/>
  <c r="AY237" i="6" a="1"/>
  <c r="AY237" i="6" s="1"/>
  <c r="G239" i="5"/>
  <c r="AD239" i="5"/>
  <c r="E239" i="5"/>
  <c r="B239" i="5"/>
  <c r="A239" i="12"/>
  <c r="F239" i="5"/>
  <c r="D239" i="5"/>
  <c r="B239" i="12" s="1"/>
  <c r="K239" i="5"/>
  <c r="N239" i="5"/>
  <c r="D239" i="6" s="1"/>
  <c r="J239" i="5"/>
  <c r="AE239" i="5" a="1"/>
  <c r="AE239" i="5" s="1"/>
  <c r="H239" i="5"/>
  <c r="BF237" i="6" a="1"/>
  <c r="BF237" i="6" s="1"/>
  <c r="AN237" i="6"/>
  <c r="BE237" i="6" a="1"/>
  <c r="BE237" i="6" s="1"/>
  <c r="AH237" i="6"/>
  <c r="H238" i="6" a="1"/>
  <c r="H238" i="6" s="1"/>
  <c r="T238" i="5" s="1"/>
  <c r="G238" i="12" s="1" a="1"/>
  <c r="G238" i="12" s="1"/>
  <c r="AB237" i="6"/>
  <c r="L238" i="12" a="1"/>
  <c r="L238" i="12" s="1"/>
  <c r="J238" i="12" a="1"/>
  <c r="J238" i="12" s="1"/>
  <c r="BC237" i="6" a="1"/>
  <c r="BC237" i="6" s="1"/>
  <c r="AP237" i="6"/>
  <c r="BB237" i="6" a="1"/>
  <c r="BB237" i="6" s="1"/>
  <c r="AC237" i="6"/>
  <c r="AJ237" i="6"/>
  <c r="B25" i="12"/>
  <c r="M238" i="6" l="1"/>
  <c r="AB238" i="6" s="1"/>
  <c r="H239" i="6" a="1"/>
  <c r="H239" i="6" s="1"/>
  <c r="T239" i="5" s="1"/>
  <c r="G239" i="12" s="1" a="1"/>
  <c r="G239" i="12" s="1"/>
  <c r="J239" i="6" a="1"/>
  <c r="J239" i="6" s="1"/>
  <c r="A239" i="6"/>
  <c r="M239" i="6" s="1"/>
  <c r="AY239" i="6" s="1" a="1"/>
  <c r="AY239" i="6" s="1"/>
  <c r="J239" i="12" a="1"/>
  <c r="J239" i="12" s="1"/>
  <c r="L239" i="12" a="1"/>
  <c r="L239" i="12" s="1"/>
  <c r="K238" i="12"/>
  <c r="BE238" i="6" l="1" a="1"/>
  <c r="BE238" i="6" s="1"/>
  <c r="BF238" i="6" a="1"/>
  <c r="BF238" i="6" s="1"/>
  <c r="AC238" i="6"/>
  <c r="BA238" i="6" a="1"/>
  <c r="BA238" i="6" s="1"/>
  <c r="AO238" i="6"/>
  <c r="BC238" i="6" a="1"/>
  <c r="BC238" i="6" s="1"/>
  <c r="AG238" i="6"/>
  <c r="AS238" i="6"/>
  <c r="AV238" i="6"/>
  <c r="AJ238" i="6"/>
  <c r="AI238" i="6"/>
  <c r="BB238" i="6" a="1"/>
  <c r="BB238" i="6" s="1"/>
  <c r="AY238" i="6" a="1"/>
  <c r="AY238" i="6" s="1"/>
  <c r="AD238" i="6"/>
  <c r="AR238" i="6"/>
  <c r="AQ238" i="6"/>
  <c r="AH238" i="6"/>
  <c r="AP238" i="6"/>
  <c r="AN238" i="6"/>
  <c r="BD238" i="6" a="1"/>
  <c r="BD238" i="6" s="1"/>
  <c r="AU238" i="6"/>
  <c r="AZ238" i="6" a="1"/>
  <c r="AZ238" i="6" s="1"/>
  <c r="AF238" i="6"/>
  <c r="AK238" i="6"/>
  <c r="AX238" i="6" a="1"/>
  <c r="AX238" i="6" s="1"/>
  <c r="BG238" i="6" a="1"/>
  <c r="BG238" i="6" s="1"/>
  <c r="AM238" i="6"/>
  <c r="AT238" i="6"/>
  <c r="AE238" i="6"/>
  <c r="K239" i="12"/>
  <c r="AC239" i="6"/>
  <c r="AR239" i="6"/>
  <c r="BD239" i="6" a="1"/>
  <c r="BD239" i="6" s="1"/>
  <c r="N239" i="6"/>
  <c r="AN239" i="6"/>
  <c r="BE239" i="6" a="1"/>
  <c r="BE239" i="6" s="1"/>
  <c r="AH239" i="6"/>
  <c r="AJ239" i="6"/>
  <c r="AM239" i="6"/>
  <c r="AP239" i="6"/>
  <c r="AK239" i="6"/>
  <c r="BA239" i="6" a="1"/>
  <c r="BA239" i="6" s="1"/>
  <c r="AZ239" i="6" a="1"/>
  <c r="AZ239" i="6" s="1"/>
  <c r="BF239" i="6" a="1"/>
  <c r="BF239" i="6" s="1"/>
  <c r="AO239" i="6"/>
  <c r="AF239" i="6"/>
  <c r="AD239" i="6"/>
  <c r="AI239" i="6"/>
  <c r="AQ239" i="6"/>
  <c r="BC239" i="6" a="1"/>
  <c r="BC239" i="6" s="1"/>
  <c r="AB239" i="6"/>
  <c r="AE239" i="6"/>
  <c r="AS239" i="6"/>
  <c r="BG239" i="6" a="1"/>
  <c r="BG239" i="6" s="1"/>
  <c r="BB239" i="6" a="1"/>
  <c r="BB239" i="6" s="1"/>
  <c r="AT239" i="6"/>
  <c r="AX239" i="6" a="1"/>
  <c r="AX239" i="6" s="1"/>
  <c r="AG239" i="6"/>
  <c r="AU239" i="6"/>
  <c r="AV239" i="6"/>
  <c r="J94" i="5" l="1"/>
  <c r="J82" i="5"/>
  <c r="K82" i="5"/>
  <c r="J55" i="5"/>
  <c r="D55" i="5" s="1"/>
  <c r="J62" i="5"/>
  <c r="K62" i="5"/>
  <c r="D82" i="5" l="1"/>
  <c r="D62" i="5"/>
  <c r="B55" i="12"/>
  <c r="B62" i="12" l="1"/>
  <c r="B82" i="12"/>
  <c r="J40" i="5" l="1"/>
  <c r="D40" i="5" s="1"/>
  <c r="K77" i="5"/>
  <c r="J77" i="5"/>
  <c r="B40" i="12" l="1"/>
  <c r="D77" i="5"/>
  <c r="B77" i="12" l="1"/>
  <c r="J50" i="5" l="1"/>
  <c r="D50" i="5" s="1"/>
  <c r="B50" i="12" s="1"/>
  <c r="J89" i="5"/>
  <c r="D89" i="5" s="1"/>
  <c r="J46" i="5"/>
  <c r="D46" i="5" s="1"/>
  <c r="B89" i="12" l="1"/>
  <c r="B46" i="12"/>
  <c r="I50" i="5" l="1"/>
  <c r="J46" i="12" a="1"/>
  <c r="J46" i="12" s="1"/>
  <c r="L46" i="12" a="1"/>
  <c r="L46" i="12" s="1"/>
  <c r="K106" i="5" l="1"/>
  <c r="K46" i="12"/>
  <c r="J71" i="5" l="1"/>
  <c r="D71" i="5" s="1"/>
  <c r="B71" i="12" s="1"/>
  <c r="K94" i="5"/>
  <c r="D94" i="5" s="1"/>
  <c r="B94" i="12" l="1"/>
  <c r="J116" i="5" l="1"/>
  <c r="J112" i="5"/>
  <c r="K112" i="5"/>
  <c r="D112" i="5" l="1"/>
  <c r="B112" i="12" s="1"/>
  <c r="J127" i="5" l="1"/>
  <c r="J122" i="5"/>
  <c r="K122" i="5"/>
  <c r="D122" i="5" l="1"/>
  <c r="B122" i="12" s="1"/>
  <c r="J160" i="5" l="1"/>
  <c r="D160" i="5" s="1"/>
  <c r="J153" i="5"/>
  <c r="K153" i="5"/>
  <c r="J140" i="5"/>
  <c r="K140" i="5"/>
  <c r="K108" i="5"/>
  <c r="J133" i="5"/>
  <c r="K133" i="5"/>
  <c r="K127" i="5"/>
  <c r="D127" i="5" s="1"/>
  <c r="K116" i="5"/>
  <c r="D116" i="5" s="1"/>
  <c r="D153" i="5" l="1"/>
  <c r="B153" i="12" s="1"/>
  <c r="D140" i="5"/>
  <c r="B140" i="12" s="1"/>
  <c r="B160" i="12"/>
  <c r="D133" i="5"/>
  <c r="B133" i="12" s="1"/>
  <c r="B116" i="12"/>
  <c r="B127" i="12"/>
  <c r="J166" i="5" l="1"/>
  <c r="J196" i="5" l="1"/>
  <c r="K196" i="5"/>
  <c r="J190" i="5"/>
  <c r="J185" i="5"/>
  <c r="D185" i="5" s="1"/>
  <c r="J180" i="5"/>
  <c r="K180" i="5"/>
  <c r="J176" i="5"/>
  <c r="K176" i="5"/>
  <c r="J162" i="5"/>
  <c r="D162" i="5" s="1"/>
  <c r="K194" i="5"/>
  <c r="D196" i="5" l="1"/>
  <c r="D180" i="5"/>
  <c r="D176" i="5"/>
  <c r="B185" i="12"/>
  <c r="B162" i="12"/>
  <c r="B196" i="12" l="1"/>
  <c r="B180" i="12"/>
  <c r="B176" i="12"/>
  <c r="J197" i="5" l="1"/>
  <c r="K197" i="5"/>
  <c r="D197" i="5" l="1"/>
  <c r="B197" i="12" s="1"/>
  <c r="J200" i="5" l="1"/>
  <c r="J214" i="5" l="1"/>
  <c r="K211" i="5"/>
  <c r="J211" i="5"/>
  <c r="K200" i="5"/>
  <c r="D200" i="5" s="1"/>
  <c r="B200" i="12" s="1"/>
  <c r="J204" i="5"/>
  <c r="K204" i="5"/>
  <c r="J194" i="5"/>
  <c r="D194" i="5" s="1"/>
  <c r="J203" i="5"/>
  <c r="D211" i="5" l="1"/>
  <c r="D204" i="5"/>
  <c r="B204" i="12" s="1"/>
  <c r="B194" i="12"/>
  <c r="B211" i="12" l="1"/>
  <c r="J206" i="5" l="1"/>
  <c r="D206" i="5" s="1"/>
  <c r="B206" i="12" s="1"/>
  <c r="J230" i="5"/>
  <c r="K214" i="5"/>
  <c r="D214" i="5" s="1"/>
  <c r="J227" i="5"/>
  <c r="K227" i="5"/>
  <c r="J226" i="5"/>
  <c r="K223" i="5"/>
  <c r="J223" i="5"/>
  <c r="B214" i="12" l="1"/>
  <c r="D227" i="5"/>
  <c r="D223" i="5"/>
  <c r="B227" i="12" l="1"/>
  <c r="B223" i="12"/>
  <c r="J172" i="5" l="1"/>
  <c r="K166" i="5"/>
  <c r="D166" i="5" s="1"/>
  <c r="B166" i="12" l="1"/>
  <c r="J158" i="5" l="1"/>
  <c r="D158" i="5" s="1"/>
  <c r="B158" i="12" l="1"/>
  <c r="J108" i="5" l="1"/>
  <c r="D108" i="5" s="1"/>
  <c r="J106" i="5"/>
  <c r="D106" i="5" s="1"/>
  <c r="B106" i="12" l="1"/>
  <c r="B108" i="12"/>
  <c r="J104" i="5" l="1"/>
  <c r="D104" i="5" s="1"/>
  <c r="B104" i="12" l="1"/>
  <c r="A5" i="5" l="1"/>
  <c r="F53" i="8" l="1" a="1"/>
  <c r="F53" i="8" s="1"/>
  <c r="F54" i="8" s="1"/>
  <c r="L240" i="6"/>
  <c r="A17" i="13"/>
  <c r="K226" i="5"/>
  <c r="D226" i="5" s="1"/>
  <c r="J219" i="5"/>
  <c r="D219" i="5" s="1"/>
  <c r="F14" i="8" a="1"/>
  <c r="F14" i="8" s="1"/>
  <c r="F15" i="8" s="1"/>
  <c r="F20" i="8" a="1"/>
  <c r="F20" i="8" s="1"/>
  <c r="F21" i="8" s="1"/>
  <c r="F38" i="8" a="1"/>
  <c r="F38" i="8" s="1"/>
  <c r="F39" i="8" s="1"/>
  <c r="F1" i="8" a="1"/>
  <c r="F1" i="8" s="1"/>
  <c r="F2" i="8" s="1"/>
  <c r="K203" i="5"/>
  <c r="D203" i="5" s="1"/>
  <c r="K190" i="5"/>
  <c r="D190" i="5" s="1"/>
  <c r="K100" i="5"/>
  <c r="D100" i="5" s="1"/>
  <c r="F29" i="8" a="1"/>
  <c r="F29" i="8" s="1"/>
  <c r="F30" i="8" s="1"/>
  <c r="AL17" i="13" l="1"/>
  <c r="AO17" i="13"/>
  <c r="F47" i="8" a="1"/>
  <c r="F47" i="8" s="1"/>
  <c r="F48" i="8" s="1"/>
  <c r="M47" i="8" s="1"/>
  <c r="S49" i="8" s="1"/>
  <c r="K172" i="5"/>
  <c r="D172" i="5" s="1"/>
  <c r="A22" i="13"/>
  <c r="A15" i="13"/>
  <c r="B20" i="11"/>
  <c r="AB20" i="11" s="1" a="1"/>
  <c r="AB20" i="11" s="1"/>
  <c r="N20" i="11" s="1"/>
  <c r="B21" i="11"/>
  <c r="O21" i="11" s="1" a="1"/>
  <c r="O21" i="11" s="1"/>
  <c r="B23" i="11"/>
  <c r="O23" i="11" s="1" a="1"/>
  <c r="O23" i="11" s="1"/>
  <c r="A20" i="13"/>
  <c r="B17" i="13"/>
  <c r="AF17" i="13" s="1" a="1"/>
  <c r="AF17" i="13" s="1"/>
  <c r="B219" i="12"/>
  <c r="A23" i="13"/>
  <c r="J22" i="5"/>
  <c r="D22" i="5" s="1"/>
  <c r="J103" i="5"/>
  <c r="D103" i="5" s="1"/>
  <c r="J111" i="5"/>
  <c r="D111" i="5" s="1"/>
  <c r="J175" i="5"/>
  <c r="D175" i="5" s="1"/>
  <c r="J121" i="5"/>
  <c r="D121" i="5" s="1"/>
  <c r="J132" i="5"/>
  <c r="D132" i="5" s="1"/>
  <c r="J222" i="5"/>
  <c r="D222" i="5" s="1"/>
  <c r="J24" i="5"/>
  <c r="D24" i="5" s="1"/>
  <c r="J17" i="5"/>
  <c r="D17" i="5" s="1"/>
  <c r="M29" i="8"/>
  <c r="J29" i="8"/>
  <c r="B18" i="11"/>
  <c r="J53" i="8"/>
  <c r="M53" i="8"/>
  <c r="B22" i="11"/>
  <c r="K16" i="5"/>
  <c r="J38" i="8"/>
  <c r="M38" i="8"/>
  <c r="S40" i="8" s="1"/>
  <c r="J234" i="5"/>
  <c r="B100" i="12"/>
  <c r="A19" i="13"/>
  <c r="J193" i="5"/>
  <c r="D193" i="5" s="1"/>
  <c r="M20" i="8"/>
  <c r="S22" i="8" s="1"/>
  <c r="J20" i="8"/>
  <c r="B203" i="12"/>
  <c r="J14" i="8"/>
  <c r="M14" i="8"/>
  <c r="F35" i="8" a="1"/>
  <c r="F35" i="8" s="1"/>
  <c r="F36" i="8" s="1"/>
  <c r="F17" i="8" a="1"/>
  <c r="F17" i="8" s="1"/>
  <c r="F18" i="8" s="1"/>
  <c r="F41" i="8" a="1"/>
  <c r="F41" i="8" s="1"/>
  <c r="F42" i="8" s="1"/>
  <c r="F44" i="8" a="1"/>
  <c r="F44" i="8" s="1"/>
  <c r="F45" i="8" s="1"/>
  <c r="F32" i="8" a="1"/>
  <c r="F32" i="8" s="1"/>
  <c r="F33" i="8" s="1"/>
  <c r="F50" i="8" a="1"/>
  <c r="F50" i="8" s="1"/>
  <c r="F51" i="8" s="1"/>
  <c r="A16" i="13"/>
  <c r="A21" i="13"/>
  <c r="B12" i="11"/>
  <c r="A12" i="13"/>
  <c r="B19" i="11"/>
  <c r="A18" i="13"/>
  <c r="B15" i="11"/>
  <c r="B17" i="11"/>
  <c r="J20" i="5"/>
  <c r="D20" i="5" s="1"/>
  <c r="N1" i="8"/>
  <c r="Q1" i="8"/>
  <c r="P1" i="8"/>
  <c r="I1" i="8"/>
  <c r="M1" i="8"/>
  <c r="S1" i="8"/>
  <c r="J1" i="8"/>
  <c r="O1" i="8"/>
  <c r="K234" i="5"/>
  <c r="B226" i="12"/>
  <c r="K230" i="5"/>
  <c r="D230" i="5" s="1"/>
  <c r="K216" i="5"/>
  <c r="D216" i="5" s="1"/>
  <c r="B16" i="11"/>
  <c r="B190" i="12"/>
  <c r="F26" i="8" a="1"/>
  <c r="F26" i="8" s="1"/>
  <c r="F27" i="8" s="1"/>
  <c r="J16" i="5"/>
  <c r="F23" i="8" a="1"/>
  <c r="F23" i="8" s="1"/>
  <c r="F24" i="8" s="1"/>
  <c r="Q14" i="8" l="1"/>
  <c r="B20" i="13"/>
  <c r="AD20" i="13" s="1" a="1"/>
  <c r="AD20" i="13" s="1"/>
  <c r="AO20" i="13"/>
  <c r="AL20" i="13"/>
  <c r="AL19" i="13"/>
  <c r="AO19" i="13"/>
  <c r="B15" i="13"/>
  <c r="AG15" i="13" s="1" a="1"/>
  <c r="AG15" i="13" s="1"/>
  <c r="AO15" i="13"/>
  <c r="AL15" i="13"/>
  <c r="B22" i="13"/>
  <c r="AG22" i="13" s="1" a="1"/>
  <c r="AG22" i="13" s="1"/>
  <c r="AL22" i="13"/>
  <c r="AO22" i="13"/>
  <c r="AL23" i="13"/>
  <c r="AO23" i="13"/>
  <c r="AJ17" i="13" a="1"/>
  <c r="AJ17" i="13" s="1"/>
  <c r="AO12" i="13"/>
  <c r="AL12" i="13"/>
  <c r="AL21" i="13"/>
  <c r="AO21" i="13"/>
  <c r="AN17" i="13" a="1"/>
  <c r="AN17" i="13" s="1"/>
  <c r="AL18" i="13"/>
  <c r="AO18" i="13"/>
  <c r="AL16" i="13"/>
  <c r="AO16" i="13"/>
  <c r="AK17" i="13" a="1"/>
  <c r="AK17" i="13" s="1"/>
  <c r="AM17" i="13" a="1"/>
  <c r="AM17" i="13" s="1"/>
  <c r="J47" i="8"/>
  <c r="B172" i="12"/>
  <c r="AG17" i="13" a="1"/>
  <c r="AG17" i="13" s="1"/>
  <c r="AD17" i="13" a="1"/>
  <c r="AD17" i="13" s="1"/>
  <c r="AH17" i="13"/>
  <c r="AC17" i="13" a="1"/>
  <c r="AC17" i="13" s="1"/>
  <c r="AE17" i="13"/>
  <c r="K23" i="11" a="1"/>
  <c r="K23" i="11" s="1"/>
  <c r="J23" i="13" s="1"/>
  <c r="C23" i="13"/>
  <c r="O23" i="13" s="1"/>
  <c r="AA23" i="11" a="1"/>
  <c r="AA23" i="11" s="1"/>
  <c r="D16" i="5"/>
  <c r="AB23" i="11" a="1"/>
  <c r="AB23" i="11" s="1"/>
  <c r="N23" i="11" s="1"/>
  <c r="G23" i="11"/>
  <c r="F23" i="13" s="1"/>
  <c r="AA20" i="11" a="1"/>
  <c r="AA20" i="11" s="1"/>
  <c r="G21" i="11"/>
  <c r="F21" i="13" s="1"/>
  <c r="O20" i="11" a="1"/>
  <c r="O20" i="11" s="1"/>
  <c r="C20" i="11" s="1"/>
  <c r="AA21" i="11" a="1"/>
  <c r="AA21" i="11" s="1"/>
  <c r="G20" i="11"/>
  <c r="F20" i="13" s="1"/>
  <c r="AB21" i="11" a="1"/>
  <c r="AB21" i="11" s="1"/>
  <c r="N21" i="11" s="1"/>
  <c r="C20" i="13"/>
  <c r="K20" i="13" s="1" a="1"/>
  <c r="K20" i="13" s="1"/>
  <c r="Q47" i="8"/>
  <c r="AH15" i="13"/>
  <c r="K20" i="11" a="1"/>
  <c r="K20" i="11" s="1"/>
  <c r="J20" i="13" s="1"/>
  <c r="D234" i="5"/>
  <c r="B234" i="12" s="1"/>
  <c r="C21" i="13"/>
  <c r="M21" i="13" s="1"/>
  <c r="K21" i="11" a="1"/>
  <c r="K21" i="11" s="1"/>
  <c r="J21" i="13" s="1"/>
  <c r="AC20" i="13" a="1"/>
  <c r="AC20" i="13" s="1"/>
  <c r="AE20" i="13"/>
  <c r="AF20" i="13" a="1"/>
  <c r="AF20" i="13" s="1"/>
  <c r="P23" i="11"/>
  <c r="C23" i="11"/>
  <c r="L23" i="13"/>
  <c r="D23" i="13" s="1"/>
  <c r="B103" i="12"/>
  <c r="B193" i="12"/>
  <c r="B22" i="12"/>
  <c r="B20" i="12"/>
  <c r="M44" i="8"/>
  <c r="P44" i="8" s="1"/>
  <c r="J44" i="8"/>
  <c r="Q38" i="8"/>
  <c r="J41" i="8"/>
  <c r="M41" i="8"/>
  <c r="C17" i="13"/>
  <c r="AB17" i="11" a="1"/>
  <c r="AB17" i="11" s="1"/>
  <c r="N17" i="11" s="1"/>
  <c r="AA17" i="11" a="1"/>
  <c r="AA17" i="11" s="1"/>
  <c r="K17" i="11" a="1"/>
  <c r="K17" i="11" s="1"/>
  <c r="J17" i="13" s="1"/>
  <c r="G17" i="11"/>
  <c r="F17" i="13" s="1"/>
  <c r="O17" i="11" a="1"/>
  <c r="O17" i="11" s="1"/>
  <c r="B19" i="13"/>
  <c r="AD19" i="13" s="1" a="1"/>
  <c r="AD19" i="13" s="1"/>
  <c r="B23" i="13"/>
  <c r="AD23" i="13" s="1" a="1"/>
  <c r="AD23" i="13" s="1"/>
  <c r="G1" i="8"/>
  <c r="G2" i="8" s="1" a="1"/>
  <c r="G2" i="8" s="1"/>
  <c r="H2" i="8" a="1"/>
  <c r="H2" i="8" s="1"/>
  <c r="H1" i="8" a="1"/>
  <c r="H1" i="8" s="1"/>
  <c r="J2" i="8" s="1"/>
  <c r="G15" i="11"/>
  <c r="F15" i="13" s="1"/>
  <c r="F10" i="8" a="1"/>
  <c r="F10" i="8" s="1"/>
  <c r="O15" i="11" a="1"/>
  <c r="O15" i="11" s="1"/>
  <c r="AB15" i="11" a="1"/>
  <c r="AB15" i="11" s="1"/>
  <c r="N15" i="11" s="1"/>
  <c r="AA15" i="11" a="1"/>
  <c r="AA15" i="11" s="1"/>
  <c r="C15" i="13"/>
  <c r="K15" i="11" a="1"/>
  <c r="K15" i="11" s="1"/>
  <c r="J15" i="13" s="1"/>
  <c r="J17" i="8"/>
  <c r="M17" i="8"/>
  <c r="AD22" i="13" a="1"/>
  <c r="AD22" i="13" s="1"/>
  <c r="J23" i="8"/>
  <c r="M23" i="8"/>
  <c r="Q23" i="8" s="1"/>
  <c r="R1" i="8"/>
  <c r="A1" i="8"/>
  <c r="S3" i="8"/>
  <c r="B18" i="13"/>
  <c r="AE18" i="13" s="1"/>
  <c r="M35" i="8"/>
  <c r="P35" i="8" s="1"/>
  <c r="J35" i="8"/>
  <c r="AH22" i="13"/>
  <c r="O19" i="11" a="1"/>
  <c r="O19" i="11" s="1"/>
  <c r="AB19" i="11" a="1"/>
  <c r="AB19" i="11" s="1"/>
  <c r="N19" i="11" s="1"/>
  <c r="AA19" i="11" a="1"/>
  <c r="AA19" i="11" s="1"/>
  <c r="K19" i="11" a="1"/>
  <c r="K19" i="11" s="1"/>
  <c r="J19" i="13" s="1"/>
  <c r="G19" i="11"/>
  <c r="F19" i="13" s="1"/>
  <c r="C19" i="13"/>
  <c r="C21" i="11"/>
  <c r="L21" i="13"/>
  <c r="D21" i="13" s="1"/>
  <c r="P21" i="11"/>
  <c r="AE22" i="13"/>
  <c r="J26" i="8"/>
  <c r="M26" i="8"/>
  <c r="Q26" i="8" s="1"/>
  <c r="B12" i="13"/>
  <c r="AG12" i="13" s="1" a="1"/>
  <c r="AG12" i="13" s="1"/>
  <c r="AF22" i="13" a="1"/>
  <c r="AF22" i="13" s="1"/>
  <c r="G18" i="11"/>
  <c r="F18" i="13" s="1"/>
  <c r="AA18" i="11" a="1"/>
  <c r="AA18" i="11" s="1"/>
  <c r="K18" i="11" a="1"/>
  <c r="K18" i="11" s="1"/>
  <c r="J18" i="13" s="1"/>
  <c r="AB18" i="11" a="1"/>
  <c r="AB18" i="11" s="1"/>
  <c r="N18" i="11" s="1"/>
  <c r="C18" i="13"/>
  <c r="O18" i="11" a="1"/>
  <c r="O18" i="11" s="1"/>
  <c r="AB12" i="11" a="1"/>
  <c r="AB12" i="11" s="1"/>
  <c r="N12" i="11" s="1"/>
  <c r="C12" i="13"/>
  <c r="K12" i="11" a="1"/>
  <c r="K12" i="11" s="1"/>
  <c r="J12" i="13" s="1"/>
  <c r="AA12" i="11" a="1"/>
  <c r="AA12" i="11" s="1"/>
  <c r="G12" i="11"/>
  <c r="F12" i="13" s="1"/>
  <c r="O12" i="11" a="1"/>
  <c r="O12" i="11" s="1"/>
  <c r="AC22" i="13" a="1"/>
  <c r="AC22" i="13" s="1"/>
  <c r="B21" i="13"/>
  <c r="AC21" i="13" s="1" a="1"/>
  <c r="AC21" i="13" s="1"/>
  <c r="B16" i="13"/>
  <c r="AG16" i="13" s="1" a="1"/>
  <c r="AG16" i="13" s="1"/>
  <c r="O22" i="11" a="1"/>
  <c r="O22" i="11" s="1"/>
  <c r="AA22" i="11" a="1"/>
  <c r="AA22" i="11" s="1"/>
  <c r="AB22" i="11" a="1"/>
  <c r="AB22" i="11" s="1"/>
  <c r="N22" i="11" s="1"/>
  <c r="G22" i="11"/>
  <c r="F22" i="13" s="1"/>
  <c r="K22" i="11" a="1"/>
  <c r="K22" i="11" s="1"/>
  <c r="J22" i="13" s="1"/>
  <c r="C22" i="13"/>
  <c r="Q29" i="8"/>
  <c r="S31" i="8"/>
  <c r="G16" i="11"/>
  <c r="F16" i="13" s="1"/>
  <c r="C16" i="13"/>
  <c r="AB16" i="11" a="1"/>
  <c r="AB16" i="11" s="1"/>
  <c r="N16" i="11" s="1"/>
  <c r="K16" i="11" a="1"/>
  <c r="K16" i="11" s="1"/>
  <c r="J16" i="13" s="1"/>
  <c r="AA16" i="11" a="1"/>
  <c r="AA16" i="11" s="1"/>
  <c r="O16" i="11" a="1"/>
  <c r="O16" i="11" s="1"/>
  <c r="B17" i="12"/>
  <c r="Q53" i="8"/>
  <c r="S55" i="8"/>
  <c r="B24" i="12"/>
  <c r="AC15" i="13" a="1"/>
  <c r="AC15" i="13" s="1"/>
  <c r="O14" i="8"/>
  <c r="B222" i="12"/>
  <c r="AE15" i="13"/>
  <c r="M32" i="8"/>
  <c r="J32" i="8"/>
  <c r="B132" i="12"/>
  <c r="B216" i="12"/>
  <c r="AF15" i="13" a="1"/>
  <c r="AF15" i="13" s="1"/>
  <c r="P14" i="8"/>
  <c r="A14" i="8"/>
  <c r="S16" i="8"/>
  <c r="Q20" i="8"/>
  <c r="B121" i="12"/>
  <c r="M50" i="8"/>
  <c r="P47" i="8" s="1"/>
  <c r="J50" i="8"/>
  <c r="B230" i="12"/>
  <c r="AD15" i="13" a="1"/>
  <c r="AD15" i="13" s="1"/>
  <c r="P20" i="8"/>
  <c r="B175" i="12"/>
  <c r="AH20" i="13"/>
  <c r="B111" i="12"/>
  <c r="AG20" i="13" a="1"/>
  <c r="AG20" i="13" s="1"/>
  <c r="AK20" i="13" l="1" a="1"/>
  <c r="AK20" i="13" s="1"/>
  <c r="AM20" i="13" a="1"/>
  <c r="AM20" i="13" s="1"/>
  <c r="AJ20" i="13" a="1"/>
  <c r="AJ20" i="13" s="1"/>
  <c r="AN20" i="13" a="1"/>
  <c r="AN20" i="13" s="1"/>
  <c r="P41" i="8"/>
  <c r="AM15" i="13" a="1"/>
  <c r="AM15" i="13" s="1"/>
  <c r="P38" i="8"/>
  <c r="P29" i="8"/>
  <c r="AJ22" i="13" a="1"/>
  <c r="AJ22" i="13" s="1"/>
  <c r="AM22" i="13" a="1"/>
  <c r="AM22" i="13" s="1"/>
  <c r="AK15" i="13" a="1"/>
  <c r="AK15" i="13" s="1"/>
  <c r="AK22" i="13" a="1"/>
  <c r="AK22" i="13" s="1"/>
  <c r="AN16" i="13" a="1"/>
  <c r="AN16" i="13" s="1"/>
  <c r="AM16" i="13" a="1"/>
  <c r="AM16" i="13" s="1"/>
  <c r="AK16" i="13" a="1"/>
  <c r="AK16" i="13" s="1"/>
  <c r="AJ16" i="13" a="1"/>
  <c r="AJ16" i="13" s="1"/>
  <c r="AN22" i="13" a="1"/>
  <c r="AN22" i="13" s="1"/>
  <c r="AJ12" i="13" a="1"/>
  <c r="AJ12" i="13" s="1"/>
  <c r="AN15" i="13" a="1"/>
  <c r="AN15" i="13" s="1"/>
  <c r="AJ15" i="13" a="1"/>
  <c r="AJ15" i="13" s="1"/>
  <c r="AK12" i="13" a="1"/>
  <c r="AK12" i="13" s="1"/>
  <c r="AJ18" i="13" a="1"/>
  <c r="AJ18" i="13" s="1"/>
  <c r="AM19" i="13" a="1"/>
  <c r="AM19" i="13" s="1"/>
  <c r="AN18" i="13" a="1"/>
  <c r="AN18" i="13" s="1"/>
  <c r="AM23" i="13" a="1"/>
  <c r="AM23" i="13" s="1"/>
  <c r="AN19" i="13" a="1"/>
  <c r="AN19" i="13" s="1"/>
  <c r="AM18" i="13" a="1"/>
  <c r="AM18" i="13" s="1"/>
  <c r="AN12" i="13" a="1"/>
  <c r="AN12" i="13" s="1"/>
  <c r="AK18" i="13" a="1"/>
  <c r="AK18" i="13" s="1"/>
  <c r="AK23" i="13" a="1"/>
  <c r="AK23" i="13" s="1"/>
  <c r="AK19" i="13" a="1"/>
  <c r="AK19" i="13" s="1"/>
  <c r="AN23" i="13" a="1"/>
  <c r="AN23" i="13" s="1"/>
  <c r="AJ19" i="13" a="1"/>
  <c r="AJ19" i="13" s="1"/>
  <c r="AJ23" i="13" a="1"/>
  <c r="AJ23" i="13" s="1"/>
  <c r="AJ21" i="13" a="1"/>
  <c r="AJ21" i="13" s="1"/>
  <c r="AK21" i="13" a="1"/>
  <c r="AK21" i="13" s="1"/>
  <c r="AM21" i="13" a="1"/>
  <c r="AM21" i="13" s="1"/>
  <c r="AN21" i="13" a="1"/>
  <c r="AN21" i="13" s="1"/>
  <c r="AM12" i="13" a="1"/>
  <c r="AM12" i="13" s="1"/>
  <c r="D15" i="5"/>
  <c r="K23" i="13" a="1"/>
  <c r="K23" i="13" s="1"/>
  <c r="M23" i="13"/>
  <c r="N23" i="13" s="1"/>
  <c r="U23" i="13"/>
  <c r="Z23" i="11"/>
  <c r="AC15" i="6"/>
  <c r="R15" i="6" s="1"/>
  <c r="R11" i="6" s="1"/>
  <c r="AK15" i="6"/>
  <c r="Z15" i="6" s="1"/>
  <c r="Z11" i="6" s="1"/>
  <c r="Z20" i="11"/>
  <c r="R23" i="13"/>
  <c r="T23" i="13"/>
  <c r="L20" i="13"/>
  <c r="D20" i="13" s="1"/>
  <c r="B16" i="12"/>
  <c r="Z21" i="11"/>
  <c r="B14" i="13"/>
  <c r="P20" i="11"/>
  <c r="R20" i="13"/>
  <c r="S20" i="13"/>
  <c r="M20" i="13"/>
  <c r="U20" i="13"/>
  <c r="O20" i="13"/>
  <c r="T20" i="13"/>
  <c r="S23" i="13"/>
  <c r="R21" i="13"/>
  <c r="T21" i="13"/>
  <c r="S21" i="13"/>
  <c r="AG23" i="13" a="1"/>
  <c r="AG23" i="13" s="1"/>
  <c r="P26" i="8"/>
  <c r="AF21" i="13" a="1"/>
  <c r="AF21" i="13" s="1"/>
  <c r="AC19" i="13" a="1"/>
  <c r="AC19" i="13" s="1"/>
  <c r="U21" i="13"/>
  <c r="O21" i="13"/>
  <c r="N21" i="13" s="1"/>
  <c r="K21" i="13" a="1"/>
  <c r="K21" i="13" s="1"/>
  <c r="AF19" i="13" a="1"/>
  <c r="AF19" i="13" s="1"/>
  <c r="P32" i="8"/>
  <c r="AC18" i="13" a="1"/>
  <c r="AC18" i="13" s="1"/>
  <c r="AF15" i="6"/>
  <c r="U15" i="6" s="1"/>
  <c r="U11" i="6" s="1"/>
  <c r="P23" i="8"/>
  <c r="AC23" i="13" a="1"/>
  <c r="AC23" i="13" s="1"/>
  <c r="AF23" i="13" a="1"/>
  <c r="AF23" i="13" s="1"/>
  <c r="AH23" i="13"/>
  <c r="AE23" i="13"/>
  <c r="AH19" i="13"/>
  <c r="AE12" i="13"/>
  <c r="O23" i="8"/>
  <c r="O20" i="8"/>
  <c r="Q50" i="8"/>
  <c r="S52" i="8"/>
  <c r="AC16" i="13" a="1"/>
  <c r="AC16" i="13" s="1"/>
  <c r="AG21" i="13" a="1"/>
  <c r="AG21" i="13" s="1"/>
  <c r="AH12" i="13"/>
  <c r="Z19" i="11"/>
  <c r="C19" i="11"/>
  <c r="L19" i="13"/>
  <c r="D19" i="13" s="1"/>
  <c r="P19" i="11"/>
  <c r="AH16" i="13"/>
  <c r="AF12" i="13" a="1"/>
  <c r="AF12" i="13" s="1"/>
  <c r="S43" i="8"/>
  <c r="Q17" i="8"/>
  <c r="S19" i="8"/>
  <c r="L16" i="13"/>
  <c r="D16" i="13" s="1"/>
  <c r="C16" i="11"/>
  <c r="Z16" i="11"/>
  <c r="P16" i="11"/>
  <c r="AE16" i="13"/>
  <c r="AC12" i="13" a="1"/>
  <c r="AC12" i="13" s="1"/>
  <c r="S37" i="8"/>
  <c r="R15" i="13"/>
  <c r="O15" i="13"/>
  <c r="M15" i="13"/>
  <c r="K15" i="13" a="1"/>
  <c r="K15" i="13" s="1"/>
  <c r="S15" i="13"/>
  <c r="T15" i="13"/>
  <c r="U15" i="13"/>
  <c r="AD16" i="13" a="1"/>
  <c r="AD16" i="13" s="1"/>
  <c r="AF16" i="13" a="1"/>
  <c r="AF16" i="13" s="1"/>
  <c r="C18" i="11"/>
  <c r="P18" i="11"/>
  <c r="Z18" i="11"/>
  <c r="L18" i="13"/>
  <c r="D18" i="13" s="1"/>
  <c r="C15" i="11"/>
  <c r="Z15" i="11"/>
  <c r="L15" i="13"/>
  <c r="D15" i="13" s="1"/>
  <c r="P15" i="11"/>
  <c r="K18" i="13" a="1"/>
  <c r="K18" i="13" s="1"/>
  <c r="U18" i="13"/>
  <c r="M18" i="13"/>
  <c r="O18" i="13"/>
  <c r="R18" i="13"/>
  <c r="S18" i="13"/>
  <c r="T18" i="13"/>
  <c r="Q32" i="8"/>
  <c r="U16" i="13"/>
  <c r="T16" i="13"/>
  <c r="O16" i="13"/>
  <c r="K16" i="13" a="1"/>
  <c r="K16" i="13" s="1"/>
  <c r="S16" i="13"/>
  <c r="M16" i="13"/>
  <c r="R16" i="13"/>
  <c r="S28" i="8"/>
  <c r="C17" i="11"/>
  <c r="L17" i="13"/>
  <c r="D17" i="13" s="1"/>
  <c r="P17" i="11"/>
  <c r="Z17" i="11"/>
  <c r="C33" i="9"/>
  <c r="F33" i="9" s="1"/>
  <c r="C29" i="9"/>
  <c r="F29" i="9" s="1"/>
  <c r="C58" i="10"/>
  <c r="A58" i="10" s="1"/>
  <c r="C49" i="10"/>
  <c r="A49" i="10" s="1"/>
  <c r="C57" i="9"/>
  <c r="F57" i="9" s="1"/>
  <c r="C43" i="9"/>
  <c r="F43" i="9" s="1"/>
  <c r="A17" i="9"/>
  <c r="C32" i="9"/>
  <c r="F32" i="9" s="1"/>
  <c r="C35" i="9"/>
  <c r="F35" i="9" s="1"/>
  <c r="C24" i="9"/>
  <c r="F24" i="9" s="1"/>
  <c r="C43" i="10"/>
  <c r="A43" i="10" s="1"/>
  <c r="C44" i="10"/>
  <c r="A44" i="10" s="1"/>
  <c r="A49" i="9"/>
  <c r="A52" i="9"/>
  <c r="A25" i="9"/>
  <c r="C25" i="10"/>
  <c r="A25" i="10" s="1"/>
  <c r="C34" i="10"/>
  <c r="A34" i="10" s="1"/>
  <c r="C29" i="10"/>
  <c r="A29" i="10" s="1"/>
  <c r="C61" i="10"/>
  <c r="A61" i="10" s="1"/>
  <c r="A46" i="9"/>
  <c r="C53" i="10"/>
  <c r="A53" i="10" s="1"/>
  <c r="C28" i="9"/>
  <c r="F28" i="9" s="1"/>
  <c r="C1" i="10"/>
  <c r="A1" i="10" s="1"/>
  <c r="C17" i="10"/>
  <c r="A17" i="10" s="1"/>
  <c r="C64" i="9"/>
  <c r="F64" i="9" s="1"/>
  <c r="C24" i="10"/>
  <c r="A24" i="10" s="1"/>
  <c r="C27" i="9"/>
  <c r="F27" i="9" s="1"/>
  <c r="C30" i="9"/>
  <c r="F30" i="9" s="1"/>
  <c r="C40" i="9"/>
  <c r="F40" i="9" s="1"/>
  <c r="C36" i="9"/>
  <c r="F36" i="9" s="1"/>
  <c r="A21" i="9"/>
  <c r="C18" i="9"/>
  <c r="F18" i="9" s="1"/>
  <c r="C50" i="9"/>
  <c r="F50" i="9" s="1"/>
  <c r="C36" i="10"/>
  <c r="A36" i="10" s="1"/>
  <c r="C59" i="10"/>
  <c r="A59" i="10" s="1"/>
  <c r="A38" i="9"/>
  <c r="C31" i="9"/>
  <c r="F31" i="9" s="1"/>
  <c r="C55" i="9"/>
  <c r="F55" i="9" s="1"/>
  <c r="C20" i="10"/>
  <c r="A20" i="10" s="1"/>
  <c r="C53" i="9"/>
  <c r="F53" i="9" s="1"/>
  <c r="A62" i="9"/>
  <c r="A20" i="9"/>
  <c r="A55" i="9"/>
  <c r="C22" i="9"/>
  <c r="F22" i="9" s="1"/>
  <c r="A60" i="9"/>
  <c r="C42" i="9"/>
  <c r="F42" i="9" s="1"/>
  <c r="A50" i="9"/>
  <c r="C35" i="10"/>
  <c r="A35" i="10" s="1"/>
  <c r="C57" i="10"/>
  <c r="A57" i="10" s="1"/>
  <c r="C56" i="10"/>
  <c r="A56" i="10" s="1"/>
  <c r="A29" i="9"/>
  <c r="A47" i="9"/>
  <c r="A42" i="9"/>
  <c r="C44" i="9"/>
  <c r="F44" i="9" s="1"/>
  <c r="C21" i="9"/>
  <c r="F21" i="9" s="1"/>
  <c r="C16" i="10"/>
  <c r="A16" i="10" s="1"/>
  <c r="C40" i="10"/>
  <c r="A40" i="10" s="1"/>
  <c r="C49" i="9"/>
  <c r="F49" i="9" s="1"/>
  <c r="A61" i="9"/>
  <c r="A36" i="9"/>
  <c r="C47" i="9"/>
  <c r="F47" i="9" s="1"/>
  <c r="C19" i="10"/>
  <c r="A19" i="10" s="1"/>
  <c r="C63" i="9"/>
  <c r="F63" i="9" s="1"/>
  <c r="C1" i="9"/>
  <c r="F1" i="9" s="1"/>
  <c r="A32" i="9"/>
  <c r="A64" i="9"/>
  <c r="C37" i="9"/>
  <c r="F37" i="9" s="1"/>
  <c r="C26" i="10"/>
  <c r="A26" i="10" s="1"/>
  <c r="C31" i="10"/>
  <c r="A31" i="10" s="1"/>
  <c r="A48" i="9"/>
  <c r="C37" i="10"/>
  <c r="A37" i="10" s="1"/>
  <c r="C60" i="9"/>
  <c r="F60" i="9" s="1"/>
  <c r="A30" i="9"/>
  <c r="C64" i="10"/>
  <c r="A64" i="10" s="1"/>
  <c r="C30" i="10"/>
  <c r="A30" i="10" s="1"/>
  <c r="A45" i="9"/>
  <c r="A53" i="9"/>
  <c r="A56" i="9"/>
  <c r="A27" i="9"/>
  <c r="AI15" i="6"/>
  <c r="X15" i="6" s="1"/>
  <c r="X11" i="6" s="1"/>
  <c r="C54" i="9"/>
  <c r="F54" i="9" s="1"/>
  <c r="C59" i="9"/>
  <c r="F59" i="9" s="1"/>
  <c r="A58" i="9"/>
  <c r="M12" i="6" a="1"/>
  <c r="M12" i="6" s="1"/>
  <c r="A15" i="9"/>
  <c r="AH15" i="6"/>
  <c r="W15" i="6" s="1"/>
  <c r="W11" i="6" s="1"/>
  <c r="C48" i="9"/>
  <c r="F48" i="9" s="1"/>
  <c r="C17" i="9"/>
  <c r="F17" i="9" s="1"/>
  <c r="C47" i="10"/>
  <c r="A47" i="10" s="1"/>
  <c r="A26" i="9"/>
  <c r="C41" i="10"/>
  <c r="A41" i="10" s="1"/>
  <c r="C20" i="9"/>
  <c r="F20" i="9" s="1"/>
  <c r="C46" i="10"/>
  <c r="A46" i="10" s="1"/>
  <c r="C34" i="9"/>
  <c r="F34" i="9" s="1"/>
  <c r="A28" i="9"/>
  <c r="C25" i="9"/>
  <c r="F25" i="9" s="1"/>
  <c r="C38" i="10"/>
  <c r="A38" i="10" s="1"/>
  <c r="A37" i="9"/>
  <c r="A34" i="9"/>
  <c r="C42" i="10"/>
  <c r="A42" i="10" s="1"/>
  <c r="A59" i="9"/>
  <c r="C63" i="10"/>
  <c r="A63" i="10" s="1"/>
  <c r="AG15" i="6"/>
  <c r="V15" i="6" s="1"/>
  <c r="V11" i="6" s="1"/>
  <c r="C23" i="9"/>
  <c r="F23" i="9" s="1"/>
  <c r="C60" i="10"/>
  <c r="A60" i="10" s="1"/>
  <c r="C32" i="10"/>
  <c r="A32" i="10" s="1"/>
  <c r="C45" i="9"/>
  <c r="F45" i="9" s="1"/>
  <c r="C16" i="9"/>
  <c r="F16" i="9" s="1"/>
  <c r="C46" i="9"/>
  <c r="F46" i="9" s="1"/>
  <c r="A51" i="9"/>
  <c r="A31" i="9"/>
  <c r="A19" i="9"/>
  <c r="A63" i="9"/>
  <c r="C39" i="10"/>
  <c r="A39" i="10" s="1"/>
  <c r="A18" i="9"/>
  <c r="C54" i="10"/>
  <c r="A54" i="10" s="1"/>
  <c r="A24" i="9"/>
  <c r="C39" i="9"/>
  <c r="F39" i="9" s="1"/>
  <c r="C48" i="10"/>
  <c r="A48" i="10" s="1"/>
  <c r="C51" i="9"/>
  <c r="F51" i="9" s="1"/>
  <c r="A44" i="9"/>
  <c r="A33" i="9"/>
  <c r="A43" i="9"/>
  <c r="C19" i="9"/>
  <c r="F19" i="9" s="1"/>
  <c r="C62" i="9"/>
  <c r="F62" i="9" s="1"/>
  <c r="C50" i="10"/>
  <c r="A50" i="10" s="1"/>
  <c r="C58" i="9"/>
  <c r="F58" i="9" s="1"/>
  <c r="C21" i="10"/>
  <c r="A21" i="10" s="1"/>
  <c r="A39" i="9"/>
  <c r="C23" i="10"/>
  <c r="A23" i="10" s="1"/>
  <c r="C27" i="10"/>
  <c r="A27" i="10" s="1"/>
  <c r="A57" i="9"/>
  <c r="A23" i="9"/>
  <c r="C56" i="9"/>
  <c r="F56" i="9" s="1"/>
  <c r="C38" i="9"/>
  <c r="F38" i="9" s="1"/>
  <c r="C18" i="10"/>
  <c r="A18" i="10" s="1"/>
  <c r="C61" i="9"/>
  <c r="F61" i="9" s="1"/>
  <c r="AJ15" i="6"/>
  <c r="Y15" i="6" s="1"/>
  <c r="Y11" i="6" s="1"/>
  <c r="C52" i="10"/>
  <c r="A52" i="10" s="1"/>
  <c r="C33" i="10"/>
  <c r="A33" i="10" s="1"/>
  <c r="A54" i="9"/>
  <c r="A16" i="9"/>
  <c r="C62" i="10"/>
  <c r="A62" i="10" s="1"/>
  <c r="C51" i="10"/>
  <c r="A51" i="10" s="1"/>
  <c r="A41" i="9"/>
  <c r="C22" i="10"/>
  <c r="A22" i="10" s="1"/>
  <c r="C55" i="10"/>
  <c r="A55" i="10" s="1"/>
  <c r="C26" i="9"/>
  <c r="F26" i="9" s="1"/>
  <c r="C45" i="10"/>
  <c r="A45" i="10" s="1"/>
  <c r="A1" i="9"/>
  <c r="A22" i="9"/>
  <c r="C28" i="10"/>
  <c r="A28" i="10" s="1"/>
  <c r="A40" i="9"/>
  <c r="A35" i="9"/>
  <c r="C41" i="9"/>
  <c r="F41" i="9" s="1"/>
  <c r="C52" i="9"/>
  <c r="F52" i="9" s="1"/>
  <c r="S25" i="8"/>
  <c r="AE15" i="6"/>
  <c r="T15" i="6" s="1"/>
  <c r="T11" i="6" s="1"/>
  <c r="AD15" i="6"/>
  <c r="S15" i="6" s="1"/>
  <c r="S11" i="6" s="1"/>
  <c r="AB15" i="6"/>
  <c r="Q15" i="6" s="1"/>
  <c r="Q11" i="6" s="1"/>
  <c r="AH18" i="13"/>
  <c r="Q44" i="8"/>
  <c r="P12" i="11"/>
  <c r="C12" i="11"/>
  <c r="Z12" i="11"/>
  <c r="L12" i="13"/>
  <c r="AF18" i="13" a="1"/>
  <c r="AF18" i="13" s="1"/>
  <c r="M17" i="13"/>
  <c r="K17" i="13" a="1"/>
  <c r="K17" i="13" s="1"/>
  <c r="O17" i="13"/>
  <c r="S17" i="13"/>
  <c r="R17" i="13"/>
  <c r="T17" i="13"/>
  <c r="U17" i="13"/>
  <c r="AG18" i="13" a="1"/>
  <c r="AG18" i="13" s="1"/>
  <c r="AD18" i="13" a="1"/>
  <c r="AD18" i="13" s="1"/>
  <c r="S46" i="8"/>
  <c r="P22" i="11"/>
  <c r="L22" i="13"/>
  <c r="D22" i="13" s="1"/>
  <c r="Z22" i="11"/>
  <c r="C22" i="11"/>
  <c r="O19" i="13"/>
  <c r="T19" i="13"/>
  <c r="K19" i="13" a="1"/>
  <c r="K19" i="13" s="1"/>
  <c r="U19" i="13"/>
  <c r="M19" i="13"/>
  <c r="R19" i="13"/>
  <c r="S19" i="13"/>
  <c r="P50" i="8"/>
  <c r="AD21" i="13" a="1"/>
  <c r="AD21" i="13" s="1"/>
  <c r="S12" i="13"/>
  <c r="U12" i="13"/>
  <c r="T12" i="13"/>
  <c r="R12" i="13"/>
  <c r="K12" i="13" a="1"/>
  <c r="K12" i="13" s="1"/>
  <c r="O12" i="13"/>
  <c r="M12" i="13"/>
  <c r="O22" i="13"/>
  <c r="R22" i="13"/>
  <c r="T22" i="13"/>
  <c r="U22" i="13"/>
  <c r="M22" i="13"/>
  <c r="S22" i="13"/>
  <c r="K22" i="13" a="1"/>
  <c r="K22" i="13" s="1"/>
  <c r="AH21" i="13"/>
  <c r="P17" i="8"/>
  <c r="AE19" i="13"/>
  <c r="S34" i="8"/>
  <c r="AE21" i="13"/>
  <c r="AD12" i="13" a="1"/>
  <c r="AD12" i="13" s="1"/>
  <c r="Q35" i="8"/>
  <c r="C1" i="8"/>
  <c r="X1" i="8" a="1"/>
  <c r="X1" i="8" s="1"/>
  <c r="Z3" i="8" a="1"/>
  <c r="Z3" i="8" s="1"/>
  <c r="Y1" i="8" a="1"/>
  <c r="Y1" i="8" s="1"/>
  <c r="AA1" i="8" a="1"/>
  <c r="AA1" i="8" s="1"/>
  <c r="AC3" i="8" a="1"/>
  <c r="AC3" i="8" s="1"/>
  <c r="AD3" i="8" a="1"/>
  <c r="AD3" i="8" s="1"/>
  <c r="W1" i="8" a="1"/>
  <c r="W1" i="8" s="1"/>
  <c r="V1" i="8" a="1"/>
  <c r="V1" i="8" s="1"/>
  <c r="AD1" i="8" a="1"/>
  <c r="AD1" i="8" s="1"/>
  <c r="U3" i="8" a="1"/>
  <c r="U3" i="8" s="1"/>
  <c r="AB3" i="8" a="1"/>
  <c r="AB3" i="8" s="1"/>
  <c r="U1" i="8" a="1"/>
  <c r="U1" i="8" s="1"/>
  <c r="E1" i="8" a="1"/>
  <c r="E1" i="8" s="1"/>
  <c r="AE3" i="8" a="1"/>
  <c r="AE3" i="8" s="1"/>
  <c r="AE1" i="8" a="1"/>
  <c r="AE1" i="8" s="1"/>
  <c r="AF1" i="8" a="1"/>
  <c r="AF1" i="8" s="1"/>
  <c r="V3" i="8" a="1"/>
  <c r="V3" i="8" s="1"/>
  <c r="AA3" i="8" a="1"/>
  <c r="AA3" i="8" s="1"/>
  <c r="AF3" i="8" a="1"/>
  <c r="AF3" i="8" s="1"/>
  <c r="F3" i="8"/>
  <c r="D1" i="8"/>
  <c r="Z1" i="8" a="1"/>
  <c r="Z1" i="8" s="1"/>
  <c r="AB1" i="8" a="1"/>
  <c r="AB1" i="8" s="1"/>
  <c r="AC1" i="8" a="1"/>
  <c r="AC1" i="8" s="1"/>
  <c r="W3" i="8" a="1"/>
  <c r="W3" i="8" s="1"/>
  <c r="E3" i="8" a="1"/>
  <c r="E3" i="8" s="1"/>
  <c r="X3" i="8" a="1"/>
  <c r="X3" i="8" s="1"/>
  <c r="Y3" i="8" a="1"/>
  <c r="Y3" i="8" s="1"/>
  <c r="O17" i="8"/>
  <c r="AG19" i="13" a="1"/>
  <c r="AG19" i="13" s="1"/>
  <c r="Q41" i="8"/>
  <c r="P23" i="13"/>
  <c r="F11" i="6" l="1"/>
  <c r="I12" i="6"/>
  <c r="N20" i="13"/>
  <c r="P20" i="13"/>
  <c r="P21" i="13"/>
  <c r="AH14" i="13"/>
  <c r="N11" i="6"/>
  <c r="V12" i="13"/>
  <c r="D12" i="13"/>
  <c r="P15" i="13"/>
  <c r="N15" i="13"/>
  <c r="N16" i="13"/>
  <c r="P16" i="13"/>
  <c r="Y73" i="10" a="1"/>
  <c r="Y73" i="10" s="1"/>
  <c r="AC73" i="10" a="1"/>
  <c r="AC73" i="10" s="1"/>
  <c r="M73" i="10" a="1"/>
  <c r="M73" i="10" s="1"/>
  <c r="W73" i="10" a="1"/>
  <c r="W73" i="10" s="1"/>
  <c r="S73" i="10" a="1"/>
  <c r="S73" i="10" s="1"/>
  <c r="AA73" i="10" a="1"/>
  <c r="AA73" i="10" s="1"/>
  <c r="O73" i="10" a="1"/>
  <c r="O73" i="10" s="1"/>
  <c r="I73" i="10" a="1"/>
  <c r="I73" i="10" s="1"/>
  <c r="K73" i="10" a="1"/>
  <c r="K73" i="10" s="1"/>
  <c r="AE73" i="10" a="1"/>
  <c r="AE73" i="10" s="1"/>
  <c r="U73" i="10" a="1"/>
  <c r="U73" i="10" s="1"/>
  <c r="Q73" i="10" a="1"/>
  <c r="Q73" i="10" s="1"/>
  <c r="N18" i="13"/>
  <c r="P18" i="13"/>
  <c r="N22" i="13"/>
  <c r="P22" i="13"/>
  <c r="P19" i="13"/>
  <c r="N19" i="13"/>
  <c r="N17" i="13"/>
  <c r="P17" i="13"/>
  <c r="AE14" i="13"/>
  <c r="N12" i="13"/>
  <c r="P12" i="13"/>
  <c r="P53" i="8" l="1"/>
  <c r="Q71" i="10"/>
  <c r="W71" i="10"/>
  <c r="U71" i="10"/>
  <c r="AE71" i="10"/>
  <c r="M71" i="10"/>
  <c r="K71" i="10"/>
  <c r="I71" i="10" a="1"/>
  <c r="I71" i="10" s="1"/>
  <c r="O71" i="10"/>
  <c r="AA71" i="10"/>
  <c r="S71" i="10"/>
  <c r="AC71" i="10"/>
  <c r="Y71" i="10"/>
  <c r="AC14" i="13" l="1" a="1"/>
  <c r="AC14" i="13" s="1"/>
  <c r="AF14" i="13" a="1"/>
  <c r="AF14" i="13" s="1"/>
  <c r="AG14" i="13" a="1"/>
  <c r="AG14" i="13" s="1"/>
  <c r="AD14" i="13" a="1"/>
  <c r="AD14" i="13" s="1"/>
  <c r="B6" i="9" l="1" a="1"/>
  <c r="B6" i="9" s="1"/>
  <c r="M13" i="9" s="1"/>
  <c r="O41" i="8" l="1"/>
  <c r="O32" i="8"/>
  <c r="O47" i="8"/>
  <c r="O29" i="8"/>
  <c r="O35" i="8"/>
  <c r="O44" i="8"/>
  <c r="O26" i="8"/>
  <c r="O38" i="8"/>
  <c r="O50" i="8"/>
  <c r="N26" i="8" l="1"/>
  <c r="R26" i="8" s="1"/>
  <c r="N41" i="8"/>
  <c r="R41" i="8" s="1"/>
  <c r="N23" i="8"/>
  <c r="R23" i="8" s="1"/>
  <c r="N35" i="8"/>
  <c r="R35" i="8" s="1"/>
  <c r="N20" i="8"/>
  <c r="R20" i="8" s="1"/>
  <c r="N47" i="8"/>
  <c r="R47" i="8" s="1"/>
  <c r="N50" i="8"/>
  <c r="R50" i="8" s="1"/>
  <c r="N17" i="8"/>
  <c r="R17" i="8" s="1"/>
  <c r="N38" i="8"/>
  <c r="R38" i="8" s="1"/>
  <c r="N32" i="8"/>
  <c r="R32" i="8" s="1"/>
  <c r="N44" i="8"/>
  <c r="R44" i="8" s="1"/>
  <c r="N29" i="8"/>
  <c r="R29" i="8" s="1"/>
  <c r="N14" i="8"/>
  <c r="R14" i="8" s="1"/>
  <c r="N53" i="8"/>
  <c r="O53" i="8"/>
  <c r="AF19" i="5" a="1"/>
  <c r="AF225" i="5" a="1"/>
  <c r="AF102" i="5" a="1"/>
  <c r="AF84" i="5" a="1"/>
  <c r="AF239" i="5" a="1"/>
  <c r="AF174" i="5" a="1"/>
  <c r="AF75" i="5" a="1"/>
  <c r="AF21" i="5" a="1"/>
  <c r="AF60" i="5" a="1"/>
  <c r="AF201" i="5" a="1"/>
  <c r="AF139" i="5" a="1"/>
  <c r="AF87" i="5" a="1"/>
  <c r="AF148" i="5" a="1"/>
  <c r="AF68" i="5" a="1"/>
  <c r="AF114" i="5" a="1"/>
  <c r="AF129" i="5" a="1"/>
  <c r="AF189" i="5" a="1"/>
  <c r="AF136" i="5" a="1"/>
  <c r="AF125" i="5" a="1"/>
  <c r="AF154" i="5" a="1"/>
  <c r="AF152" i="5" a="1"/>
  <c r="AF209" i="5" a="1"/>
  <c r="AF41" i="5" a="1"/>
  <c r="AF35" i="5" a="1"/>
  <c r="AF150" i="5" a="1"/>
  <c r="AF171" i="5" a="1"/>
  <c r="AF146" i="5" a="1"/>
  <c r="AF126" i="5" a="1"/>
  <c r="AF79" i="5" a="1"/>
  <c r="AF215" i="5" a="1"/>
  <c r="AF138" i="5" a="1"/>
  <c r="AF156" i="5" a="1"/>
  <c r="AF98" i="5" a="1"/>
  <c r="AF27" i="5" a="1"/>
  <c r="AF198" i="5" a="1"/>
  <c r="AF184" i="5" a="1"/>
  <c r="AF177" i="5" a="1"/>
  <c r="AF145" i="5" a="1"/>
  <c r="AF135" i="5" a="1"/>
  <c r="AF210" i="5" a="1"/>
  <c r="AF170" i="5" a="1"/>
  <c r="AF220" i="5" a="1"/>
  <c r="AF90" i="5" a="1"/>
  <c r="AF232" i="5" a="1"/>
  <c r="AF235" i="5" a="1"/>
  <c r="AF202" i="5" a="1"/>
  <c r="AF69" i="5" a="1"/>
  <c r="AF49" i="5" a="1"/>
  <c r="AF128" i="5" a="1"/>
  <c r="AF208" i="5" a="1"/>
  <c r="AF120" i="5" a="1"/>
  <c r="AF217" i="5" a="1"/>
  <c r="AF54" i="5" a="1"/>
  <c r="AF236" i="5" a="1"/>
  <c r="AF165" i="5" a="1"/>
  <c r="AF97" i="5" a="1"/>
  <c r="AF64" i="5" a="1"/>
  <c r="AF188" i="5" a="1"/>
  <c r="AF130" i="5" a="1"/>
  <c r="AF47" i="5" a="1"/>
  <c r="AF161" i="5" a="1"/>
  <c r="AF118" i="5" a="1"/>
  <c r="AF44" i="5" a="1"/>
  <c r="AF91" i="5" a="1"/>
  <c r="AF123" i="5" a="1"/>
  <c r="AF229" i="5" a="1"/>
  <c r="AF86" i="5" a="1"/>
  <c r="AF218" i="5" a="1"/>
  <c r="AF231" i="5" a="1"/>
  <c r="AF43" i="5" a="1"/>
  <c r="AF207" i="5" a="1"/>
  <c r="AF134" i="5" a="1"/>
  <c r="AF99" i="5" a="1"/>
  <c r="AF29" i="5" a="1"/>
  <c r="AF178" i="5" a="1"/>
  <c r="AF168" i="5" a="1"/>
  <c r="AF61" i="5" a="1"/>
  <c r="AF192" i="5" a="1"/>
  <c r="AF56" i="5" a="1"/>
  <c r="AF78" i="5" a="1"/>
  <c r="AF233" i="5" a="1"/>
  <c r="AF85" i="5" a="1"/>
  <c r="AF187" i="5" a="1"/>
  <c r="AF167" i="5" a="1"/>
  <c r="AF32" i="5" a="1"/>
  <c r="AF157" i="5" a="1"/>
  <c r="AF183" i="5" a="1"/>
  <c r="AF117" i="5" a="1"/>
  <c r="AF66" i="5" a="1"/>
  <c r="AF179" i="5" a="1"/>
  <c r="AF237" i="5" a="1"/>
  <c r="AF137" i="5" a="1"/>
  <c r="AF186" i="5" a="1"/>
  <c r="AF72" i="5" a="1"/>
  <c r="AF181" i="5" a="1"/>
  <c r="AF182" i="5" a="1"/>
  <c r="AF30" i="5" a="1"/>
  <c r="AF151" i="5" a="1"/>
  <c r="AF147" i="5" a="1"/>
  <c r="AF42" i="5" a="1"/>
  <c r="AF59" i="5" a="1"/>
  <c r="AF205" i="5" a="1"/>
  <c r="AF76" i="5" a="1"/>
  <c r="AF105" i="5" a="1"/>
  <c r="AF26" i="5" a="1"/>
  <c r="AF224" i="5" a="1"/>
  <c r="AF212" i="5" a="1"/>
  <c r="AF115" i="5" a="1"/>
  <c r="AF67" i="5" a="1"/>
  <c r="AF93" i="5" a="1"/>
  <c r="AF33" i="5" a="1"/>
  <c r="AF70" i="5" a="1"/>
  <c r="AF57" i="5" a="1"/>
  <c r="AF81" i="5" a="1"/>
  <c r="AF80" i="5" a="1"/>
  <c r="AF155" i="5" a="1"/>
  <c r="AF164" i="5" a="1"/>
  <c r="AF37" i="5" a="1"/>
  <c r="AF149" i="5" a="1"/>
  <c r="AF169" i="5" a="1"/>
  <c r="AF58" i="5" a="1"/>
  <c r="AF83" i="5" a="1"/>
  <c r="AF48" i="5" a="1"/>
  <c r="AF18" i="5" a="1"/>
  <c r="AF92" i="5" a="1"/>
  <c r="AF63" i="5" a="1"/>
  <c r="AF74" i="5" a="1"/>
  <c r="AF159" i="5" a="1"/>
  <c r="AF52" i="5" a="1"/>
  <c r="AF51" i="5" a="1"/>
  <c r="AF124" i="5" a="1"/>
  <c r="AF96" i="5" a="1"/>
  <c r="AF28" i="5" a="1"/>
  <c r="AF23" i="5" a="1"/>
  <c r="AF141" i="5" a="1"/>
  <c r="AF131" i="5" a="1"/>
  <c r="AF221" i="5" a="1"/>
  <c r="AF238" i="5" a="1"/>
  <c r="AF142" i="5" a="1"/>
  <c r="AF95" i="5" a="1"/>
  <c r="AF173" i="5" a="1"/>
  <c r="AF65" i="5" a="1"/>
  <c r="AF163" i="5" a="1"/>
  <c r="AF46" i="5" a="1"/>
  <c r="AF195" i="5" a="1"/>
  <c r="AF39" i="5" a="1"/>
  <c r="AF143" i="5" a="1"/>
  <c r="AF113" i="5" a="1"/>
  <c r="AF38" i="5" a="1"/>
  <c r="AF199" i="5" a="1"/>
  <c r="AF73" i="5" a="1"/>
  <c r="AF101" i="5" a="1"/>
  <c r="AF213" i="5" a="1"/>
  <c r="AF191" i="5" a="1"/>
  <c r="AF228" i="5" a="1"/>
  <c r="AF36" i="5" a="1"/>
  <c r="AF144" i="5" a="1"/>
  <c r="AF53" i="5" a="1"/>
  <c r="AF109" i="5" a="1"/>
  <c r="AF107" i="5" a="1"/>
  <c r="AF88" i="5" a="1"/>
  <c r="AF34" i="5" a="1"/>
  <c r="AF110" i="5" a="1"/>
  <c r="AF119" i="5" a="1"/>
  <c r="AF119" i="5" l="1"/>
  <c r="AF110" i="5"/>
  <c r="AF34" i="5"/>
  <c r="AF88" i="5"/>
  <c r="AF107" i="5"/>
  <c r="AF109" i="5"/>
  <c r="AF53" i="5"/>
  <c r="AF144" i="5"/>
  <c r="AF36" i="5"/>
  <c r="AF228" i="5"/>
  <c r="AF191" i="5"/>
  <c r="AF213" i="5"/>
  <c r="AF101" i="5"/>
  <c r="AF73" i="5"/>
  <c r="AF199" i="5"/>
  <c r="AF38" i="5"/>
  <c r="AF113" i="5"/>
  <c r="AF143" i="5"/>
  <c r="AF39" i="5"/>
  <c r="AF195" i="5"/>
  <c r="AF46" i="5"/>
  <c r="AF163" i="5"/>
  <c r="AF65" i="5"/>
  <c r="AF173" i="5"/>
  <c r="AF95" i="5"/>
  <c r="AF142" i="5"/>
  <c r="AF238" i="5"/>
  <c r="AF221" i="5"/>
  <c r="AF131" i="5"/>
  <c r="AF141" i="5"/>
  <c r="AF23" i="5"/>
  <c r="AF28" i="5"/>
  <c r="AF96" i="5"/>
  <c r="AF124" i="5"/>
  <c r="AF51" i="5"/>
  <c r="AF52" i="5"/>
  <c r="AF159" i="5"/>
  <c r="AF74" i="5"/>
  <c r="AF63" i="5"/>
  <c r="AF92" i="5"/>
  <c r="AF18" i="5"/>
  <c r="AF48" i="5"/>
  <c r="AF83" i="5"/>
  <c r="AF58" i="5"/>
  <c r="AF169" i="5"/>
  <c r="AF149" i="5"/>
  <c r="AF37" i="5"/>
  <c r="AF164" i="5"/>
  <c r="AF155" i="5"/>
  <c r="AF80" i="5"/>
  <c r="AF81" i="5"/>
  <c r="AF57" i="5"/>
  <c r="AF70" i="5"/>
  <c r="AF33" i="5"/>
  <c r="AF93" i="5"/>
  <c r="AF67" i="5"/>
  <c r="AF115" i="5"/>
  <c r="AF212" i="5"/>
  <c r="AF224" i="5"/>
  <c r="AF26" i="5"/>
  <c r="AF105" i="5"/>
  <c r="AF76" i="5"/>
  <c r="AF205" i="5"/>
  <c r="AF59" i="5"/>
  <c r="AF42" i="5"/>
  <c r="AF147" i="5"/>
  <c r="AF151" i="5"/>
  <c r="AF30" i="5"/>
  <c r="AF182" i="5"/>
  <c r="AF181" i="5"/>
  <c r="AF72" i="5"/>
  <c r="AF186" i="5"/>
  <c r="AF137" i="5"/>
  <c r="AF237" i="5"/>
  <c r="AF179" i="5"/>
  <c r="AF66" i="5"/>
  <c r="AF117" i="5"/>
  <c r="AF183" i="5"/>
  <c r="AF157" i="5"/>
  <c r="AF32" i="5"/>
  <c r="AF167" i="5"/>
  <c r="AF187" i="5"/>
  <c r="AF85" i="5"/>
  <c r="AF233" i="5"/>
  <c r="AF78" i="5"/>
  <c r="AF56" i="5"/>
  <c r="AF192" i="5"/>
  <c r="AF61" i="5"/>
  <c r="AF168" i="5"/>
  <c r="AF178" i="5"/>
  <c r="AF29" i="5"/>
  <c r="AF99" i="5"/>
  <c r="AF134" i="5"/>
  <c r="AF207" i="5"/>
  <c r="AF43" i="5"/>
  <c r="AF231" i="5"/>
  <c r="AF218" i="5"/>
  <c r="AF86" i="5"/>
  <c r="AF229" i="5"/>
  <c r="AF123" i="5"/>
  <c r="AF91" i="5"/>
  <c r="AF44" i="5"/>
  <c r="AF118" i="5"/>
  <c r="AF161" i="5"/>
  <c r="AF47" i="5"/>
  <c r="AF130" i="5"/>
  <c r="AF188" i="5"/>
  <c r="AF64" i="5"/>
  <c r="AF97" i="5"/>
  <c r="AF165" i="5"/>
  <c r="AF236" i="5"/>
  <c r="AF54" i="5"/>
  <c r="AF217" i="5"/>
  <c r="AF120" i="5"/>
  <c r="AF208" i="5"/>
  <c r="AF128" i="5"/>
  <c r="AF49" i="5"/>
  <c r="AF69" i="5"/>
  <c r="AF202" i="5"/>
  <c r="AF235" i="5"/>
  <c r="AF232" i="5"/>
  <c r="AF90" i="5"/>
  <c r="AF220" i="5"/>
  <c r="AF170" i="5"/>
  <c r="AF210" i="5"/>
  <c r="AF135" i="5"/>
  <c r="AF145" i="5"/>
  <c r="AF177" i="5"/>
  <c r="AF184" i="5"/>
  <c r="AF198" i="5"/>
  <c r="AF27" i="5"/>
  <c r="AF98" i="5"/>
  <c r="AF156" i="5"/>
  <c r="AF138" i="5"/>
  <c r="AF215" i="5"/>
  <c r="AF79" i="5"/>
  <c r="AF126" i="5"/>
  <c r="AF146" i="5"/>
  <c r="AF171" i="5"/>
  <c r="AF150" i="5"/>
  <c r="AF35" i="5"/>
  <c r="AF41" i="5"/>
  <c r="AF209" i="5"/>
  <c r="AF152" i="5"/>
  <c r="AF154" i="5"/>
  <c r="AF125" i="5"/>
  <c r="AF136" i="5"/>
  <c r="AF189" i="5"/>
  <c r="AF129" i="5"/>
  <c r="AF114" i="5"/>
  <c r="AF68" i="5"/>
  <c r="AF148" i="5"/>
  <c r="AF87" i="5"/>
  <c r="AF139" i="5"/>
  <c r="AF201" i="5"/>
  <c r="AF60" i="5"/>
  <c r="AF21" i="5"/>
  <c r="AF75" i="5"/>
  <c r="AF174" i="5"/>
  <c r="AF239" i="5"/>
  <c r="AF84" i="5"/>
  <c r="AF102" i="5"/>
  <c r="AF225" i="5"/>
  <c r="AF19" i="5"/>
  <c r="F16" i="8"/>
  <c r="C14" i="8"/>
  <c r="D14" i="8"/>
  <c r="F46" i="8"/>
  <c r="F40" i="8"/>
  <c r="F49" i="8"/>
  <c r="R53" i="8"/>
  <c r="U53" i="8" s="1" a="1"/>
  <c r="U53" i="8" s="1"/>
  <c r="F31" i="8"/>
  <c r="F22" i="8"/>
  <c r="F25" i="8"/>
  <c r="F34" i="8"/>
  <c r="F19" i="8"/>
  <c r="F43" i="8"/>
  <c r="F52" i="8"/>
  <c r="F28" i="8"/>
  <c r="F37" i="8"/>
  <c r="W53" i="8" l="1" a="1"/>
  <c r="W53" i="8" s="1"/>
  <c r="AD53" i="8" a="1"/>
  <c r="AD53" i="8" s="1"/>
  <c r="Y53" i="8" a="1"/>
  <c r="Y53" i="8" s="1"/>
  <c r="AB53" i="8" a="1"/>
  <c r="AB53" i="8" s="1"/>
  <c r="X53" i="8" a="1"/>
  <c r="X53" i="8" s="1"/>
  <c r="AA53" i="8" a="1"/>
  <c r="AA53" i="8" s="1"/>
  <c r="E53" i="8" a="1"/>
  <c r="E53" i="8" s="1"/>
  <c r="F55" i="8"/>
  <c r="Z53" i="8" a="1"/>
  <c r="Z53" i="8" s="1"/>
  <c r="AC53" i="8" a="1"/>
  <c r="AC53" i="8" s="1"/>
  <c r="AF53" i="8" a="1"/>
  <c r="AF53" i="8" s="1"/>
  <c r="AE53" i="8" a="1"/>
  <c r="AE53" i="8" s="1"/>
  <c r="V53" i="8" a="1"/>
  <c r="V53" i="8" s="1"/>
  <c r="S199" i="5" a="1"/>
  <c r="R97" i="5" a="1"/>
  <c r="S131" i="5" a="1"/>
  <c r="AG170" i="5" a="1"/>
  <c r="R58" i="5" a="1"/>
  <c r="S201" i="5" a="1"/>
  <c r="S224" i="5" a="1"/>
  <c r="AG76" i="5" a="1"/>
  <c r="AG178" i="5" a="1"/>
  <c r="S145" i="5" a="1"/>
  <c r="S47" i="5" a="1"/>
  <c r="AG95" i="5" a="1"/>
  <c r="S38" i="5" a="1"/>
  <c r="S161" i="5" a="1"/>
  <c r="S173" i="5" a="1"/>
  <c r="AG118" i="5" a="1"/>
  <c r="R65" i="5" a="1"/>
  <c r="R138" i="5" a="1"/>
  <c r="AG74" i="5" a="1"/>
  <c r="AG129" i="5" a="1"/>
  <c r="AG182" i="5" a="1"/>
  <c r="AG207" i="5" a="1"/>
  <c r="R123" i="5" a="1"/>
  <c r="AG195" i="5" a="1"/>
  <c r="S27" i="5" a="1"/>
  <c r="R81" i="5" a="1"/>
  <c r="R157" i="5" a="1"/>
  <c r="R187" i="5" a="1"/>
  <c r="AG110" i="5" a="1"/>
  <c r="S154" i="5" a="1"/>
  <c r="AG155" i="5" a="1"/>
  <c r="AG28" i="5" a="1"/>
  <c r="S30" i="5" a="1"/>
  <c r="R147" i="5" a="1"/>
  <c r="AG209" i="5" a="1"/>
  <c r="AG39" i="5" a="1"/>
  <c r="S225" i="5" a="1"/>
  <c r="AG119" i="5" a="1"/>
  <c r="AG199" i="5" a="1"/>
  <c r="AG97" i="5" a="1"/>
  <c r="S101" i="5" a="1"/>
  <c r="R170" i="5" a="1"/>
  <c r="AG58" i="5" a="1"/>
  <c r="S171" i="5" a="1"/>
  <c r="AG224" i="5" a="1"/>
  <c r="S76" i="5" a="1"/>
  <c r="R237" i="5" a="1"/>
  <c r="R145" i="5" a="1"/>
  <c r="R47" i="5" a="1"/>
  <c r="AG36" i="5" a="1"/>
  <c r="R38" i="5" a="1"/>
  <c r="AG161" i="5" a="1"/>
  <c r="S144" i="5" a="1"/>
  <c r="S118" i="5" a="1"/>
  <c r="AG65" i="5" a="1"/>
  <c r="R69" i="5" a="1"/>
  <c r="S74" i="5" a="1"/>
  <c r="R129" i="5" a="1"/>
  <c r="R70" i="5" a="1"/>
  <c r="R207" i="5" a="1"/>
  <c r="AG123" i="5" a="1"/>
  <c r="AG88" i="5" a="1"/>
  <c r="AG27" i="5" a="1"/>
  <c r="S81" i="5" a="1"/>
  <c r="S102" i="5" a="1"/>
  <c r="AG187" i="5" a="1"/>
  <c r="S110" i="5" a="1"/>
  <c r="R184" i="5" a="1"/>
  <c r="R155" i="5" a="1"/>
  <c r="AG147" i="5" a="1"/>
  <c r="AG32" i="5" a="1"/>
  <c r="S198" i="5" a="1"/>
  <c r="S167" i="5" a="1"/>
  <c r="R124" i="5" a="1"/>
  <c r="R167" i="5" a="1"/>
  <c r="R199" i="5" a="1"/>
  <c r="AG134" i="5" a="1"/>
  <c r="R101" i="5" a="1"/>
  <c r="S170" i="5" a="1"/>
  <c r="S221" i="5" a="1"/>
  <c r="AG171" i="5" a="1"/>
  <c r="R224" i="5" a="1"/>
  <c r="AG139" i="5" a="1"/>
  <c r="S237" i="5" a="1"/>
  <c r="AG145" i="5" a="1"/>
  <c r="R168" i="5" a="1"/>
  <c r="S36" i="5" a="1"/>
  <c r="AG38" i="5" a="1"/>
  <c r="R61" i="5" a="1"/>
  <c r="AG144" i="5" a="1"/>
  <c r="R118" i="5" a="1"/>
  <c r="R53" i="5" a="1"/>
  <c r="S69" i="5" a="1"/>
  <c r="R74" i="5" a="1"/>
  <c r="AG156" i="5" a="1"/>
  <c r="S70" i="5" a="1"/>
  <c r="S207" i="5" a="1"/>
  <c r="S233" i="5" a="1"/>
  <c r="S88" i="5" a="1"/>
  <c r="R27" i="5" a="1"/>
  <c r="AG51" i="5" a="1"/>
  <c r="AG102" i="5" a="1"/>
  <c r="S187" i="5" a="1"/>
  <c r="S28" i="5" a="1"/>
  <c r="S184" i="5" a="1"/>
  <c r="S155" i="5" a="1"/>
  <c r="AG184" i="5" a="1"/>
  <c r="S217" i="5" a="1"/>
  <c r="AG19" i="5" a="1"/>
  <c r="AG135" i="5" a="1"/>
  <c r="AG84" i="5" a="1"/>
  <c r="R110" i="5" a="1"/>
  <c r="R165" i="5" a="1"/>
  <c r="R134" i="5" a="1"/>
  <c r="AG101" i="5" a="1"/>
  <c r="AG64" i="5" a="1"/>
  <c r="AG221" i="5" a="1"/>
  <c r="R171" i="5" a="1"/>
  <c r="S83" i="5" a="1"/>
  <c r="R139" i="5" a="1"/>
  <c r="AG237" i="5" a="1"/>
  <c r="R183" i="5" a="1"/>
  <c r="S168" i="5" a="1"/>
  <c r="R36" i="5" a="1"/>
  <c r="S149" i="5" a="1"/>
  <c r="S61" i="5" a="1"/>
  <c r="R144" i="5" a="1"/>
  <c r="S192" i="5" a="1"/>
  <c r="S53" i="5" a="1"/>
  <c r="AG69" i="5" a="1"/>
  <c r="AG163" i="5" a="1"/>
  <c r="S156" i="5" a="1"/>
  <c r="AG70" i="5" a="1"/>
  <c r="R19" i="5" a="1"/>
  <c r="AG233" i="5" a="1"/>
  <c r="R88" i="5" a="1"/>
  <c r="AG208" i="5" a="1"/>
  <c r="S51" i="5" a="1"/>
  <c r="R102" i="5" a="1"/>
  <c r="AG96" i="5" a="1"/>
  <c r="S125" i="5" a="1"/>
  <c r="R217" i="5" a="1"/>
  <c r="R229" i="5" a="1"/>
  <c r="R209" i="5" a="1"/>
  <c r="AG85" i="5" a="1"/>
  <c r="AG120" i="5" a="1"/>
  <c r="S165" i="5" a="1"/>
  <c r="S134" i="5" a="1"/>
  <c r="S43" i="5" a="1"/>
  <c r="S64" i="5" a="1"/>
  <c r="R221" i="5" a="1"/>
  <c r="AG220" i="5" a="1"/>
  <c r="R83" i="5" a="1"/>
  <c r="S139" i="5" a="1"/>
  <c r="R212" i="5" a="1"/>
  <c r="S183" i="5" a="1"/>
  <c r="AG168" i="5" a="1"/>
  <c r="S239" i="5" a="1"/>
  <c r="R149" i="5" a="1"/>
  <c r="AG61" i="5" a="1"/>
  <c r="AG23" i="5" a="1"/>
  <c r="AG192" i="5" a="1"/>
  <c r="AG53" i="5" a="1"/>
  <c r="S44" i="5" a="1"/>
  <c r="R163" i="5" a="1"/>
  <c r="R156" i="5" a="1"/>
  <c r="S159" i="5" a="1"/>
  <c r="S19" i="5" a="1"/>
  <c r="R233" i="5" a="1"/>
  <c r="S32" i="5" a="1"/>
  <c r="R208" i="5" a="1"/>
  <c r="R51" i="5" a="1"/>
  <c r="AG125" i="5" a="1"/>
  <c r="S147" i="5" a="1"/>
  <c r="R28" i="5" a="1"/>
  <c r="R96" i="5" a="1"/>
  <c r="S208" i="5" a="1"/>
  <c r="S96" i="5" a="1"/>
  <c r="S37" i="5" a="1"/>
  <c r="S113" i="5" a="1"/>
  <c r="R57" i="5" a="1"/>
  <c r="S151" i="5" a="1"/>
  <c r="R154" i="5" a="1"/>
  <c r="AG165" i="5" a="1"/>
  <c r="S117" i="5" a="1"/>
  <c r="R43" i="5" a="1"/>
  <c r="R64" i="5" a="1"/>
  <c r="R213" i="5" a="1"/>
  <c r="R220" i="5" a="1"/>
  <c r="AG83" i="5" a="1"/>
  <c r="AG146" i="5" a="1"/>
  <c r="AG212" i="5" a="1"/>
  <c r="AG183" i="5" a="1"/>
  <c r="AG137" i="5" a="1"/>
  <c r="R239" i="5" a="1"/>
  <c r="AG149" i="5" a="1"/>
  <c r="R186" i="5" a="1"/>
  <c r="S23" i="5" a="1"/>
  <c r="R192" i="5" a="1"/>
  <c r="R236" i="5" a="1"/>
  <c r="AG44" i="5" a="1"/>
  <c r="S163" i="5" a="1"/>
  <c r="AG49" i="5" a="1"/>
  <c r="AG159" i="5" a="1"/>
  <c r="R39" i="5" a="1"/>
  <c r="R218" i="5" a="1"/>
  <c r="R119" i="5" a="1"/>
  <c r="R85" i="5" a="1"/>
  <c r="AG143" i="5" a="1"/>
  <c r="S21" i="5" a="1"/>
  <c r="R117" i="5" a="1"/>
  <c r="AG43" i="5" a="1"/>
  <c r="AG99" i="5" a="1"/>
  <c r="S213" i="5" a="1"/>
  <c r="S220" i="5" a="1"/>
  <c r="R238" i="5" a="1"/>
  <c r="S146" i="5" a="1"/>
  <c r="S212" i="5" a="1"/>
  <c r="R87" i="5" a="1"/>
  <c r="S137" i="5" a="1"/>
  <c r="AG239" i="5" a="1"/>
  <c r="R148" i="5" a="1"/>
  <c r="S186" i="5" a="1"/>
  <c r="R23" i="5" a="1"/>
  <c r="S72" i="5" a="1"/>
  <c r="S236" i="5" a="1"/>
  <c r="R44" i="5" a="1"/>
  <c r="S109" i="5" a="1"/>
  <c r="R49" i="5" a="1"/>
  <c r="R159" i="5" a="1"/>
  <c r="R189" i="5" a="1"/>
  <c r="R30" i="5" a="1"/>
  <c r="R32" i="5" a="1"/>
  <c r="S229" i="5" a="1"/>
  <c r="S39" i="5" a="1"/>
  <c r="R125" i="5" a="1"/>
  <c r="S80" i="5" a="1"/>
  <c r="S209" i="5" a="1"/>
  <c r="AG217" i="5" a="1"/>
  <c r="AG113" i="5" a="1"/>
  <c r="S34" i="5" a="1"/>
  <c r="S119" i="5" a="1"/>
  <c r="R84" i="5" a="1"/>
  <c r="R42" i="5" a="1"/>
  <c r="R21" i="5" a="1"/>
  <c r="AG117" i="5" a="1"/>
  <c r="AG73" i="5" a="1"/>
  <c r="R99" i="5" a="1"/>
  <c r="AG213" i="5" a="1"/>
  <c r="S188" i="5" a="1"/>
  <c r="S238" i="5" a="1"/>
  <c r="R146" i="5" a="1"/>
  <c r="S48" i="5" a="1"/>
  <c r="S87" i="5" a="1"/>
  <c r="R137" i="5" a="1"/>
  <c r="S152" i="5" a="1"/>
  <c r="S148" i="5" a="1"/>
  <c r="AG186" i="5" a="1"/>
  <c r="R68" i="5" a="1"/>
  <c r="R72" i="5" a="1"/>
  <c r="AG236" i="5" a="1"/>
  <c r="AG56" i="5" a="1"/>
  <c r="R109" i="5" a="1"/>
  <c r="S49" i="5" a="1"/>
  <c r="AG46" i="5" a="1"/>
  <c r="AG189" i="5" a="1"/>
  <c r="AG30" i="5" a="1"/>
  <c r="AG80" i="5" a="1"/>
  <c r="R59" i="5" a="1"/>
  <c r="AG21" i="5" a="1"/>
  <c r="AG105" i="5" a="1"/>
  <c r="S73" i="5" a="1"/>
  <c r="S99" i="5" a="1"/>
  <c r="S177" i="5" a="1"/>
  <c r="R188" i="5" a="1"/>
  <c r="AG238" i="5" a="1"/>
  <c r="S90" i="5" a="1"/>
  <c r="R48" i="5" a="1"/>
  <c r="AG87" i="5" a="1"/>
  <c r="AG115" i="5" a="1"/>
  <c r="R152" i="5" a="1"/>
  <c r="AG148" i="5" a="1"/>
  <c r="S67" i="5" a="1"/>
  <c r="S68" i="5" a="1"/>
  <c r="AG72" i="5" a="1"/>
  <c r="S41" i="5" a="1"/>
  <c r="S56" i="5" a="1"/>
  <c r="AG109" i="5" a="1"/>
  <c r="S91" i="5" a="1"/>
  <c r="R46" i="5" a="1"/>
  <c r="S189" i="5" a="1"/>
  <c r="AG57" i="5" a="1"/>
  <c r="R37" i="5" a="1"/>
  <c r="AG229" i="5" a="1"/>
  <c r="AG34" i="5" a="1"/>
  <c r="R198" i="5" a="1"/>
  <c r="R80" i="5" a="1"/>
  <c r="R135" i="5" a="1"/>
  <c r="AG218" i="5" a="1"/>
  <c r="R113" i="5" a="1"/>
  <c r="R91" i="5" a="1"/>
  <c r="S57" i="5" a="1"/>
  <c r="S85" i="5" a="1"/>
  <c r="R34" i="5" a="1"/>
  <c r="AG198" i="5" a="1"/>
  <c r="S218" i="5" a="1"/>
  <c r="AG124" i="5" a="1"/>
  <c r="AG225" i="5" a="1"/>
  <c r="AG35" i="5" a="1"/>
  <c r="R105" i="5" a="1"/>
  <c r="R73" i="5" a="1"/>
  <c r="R66" i="5" a="1"/>
  <c r="AG177" i="5" a="1"/>
  <c r="AG188" i="5" a="1"/>
  <c r="S191" i="5" a="1"/>
  <c r="AG90" i="5" a="1"/>
  <c r="AG48" i="5" a="1"/>
  <c r="AG126" i="5" a="1"/>
  <c r="R115" i="5" a="1"/>
  <c r="AG152" i="5" a="1"/>
  <c r="R79" i="5" a="1"/>
  <c r="R67" i="5" a="1"/>
  <c r="AG68" i="5" a="1"/>
  <c r="R93" i="5" a="1"/>
  <c r="R41" i="5" a="1"/>
  <c r="R56" i="5" a="1"/>
  <c r="R205" i="5" a="1"/>
  <c r="S46" i="5" a="1"/>
  <c r="R98" i="5" a="1"/>
  <c r="AG37" i="5" a="1"/>
  <c r="S124" i="5" a="1"/>
  <c r="S135" i="5" a="1"/>
  <c r="S120" i="5" a="1"/>
  <c r="AG42" i="5" a="1"/>
  <c r="R35" i="5" a="1"/>
  <c r="S105" i="5" a="1"/>
  <c r="AG60" i="5" a="1"/>
  <c r="AG66" i="5" a="1"/>
  <c r="R177" i="5" a="1"/>
  <c r="S29" i="5" a="1"/>
  <c r="AG191" i="5" a="1"/>
  <c r="R90" i="5" a="1"/>
  <c r="AG142" i="5" a="1"/>
  <c r="R126" i="5" a="1"/>
  <c r="S115" i="5" a="1"/>
  <c r="S54" i="5" a="1"/>
  <c r="S79" i="5" a="1"/>
  <c r="AG67" i="5" a="1"/>
  <c r="AG215" i="5" a="1"/>
  <c r="S93" i="5" a="1"/>
  <c r="AG41" i="5" a="1"/>
  <c r="S181" i="5" a="1"/>
  <c r="S205" i="5" a="1"/>
  <c r="AG91" i="5" a="1"/>
  <c r="AG107" i="5" a="1"/>
  <c r="AG98" i="5" a="1"/>
  <c r="R120" i="5" a="1"/>
  <c r="AG167" i="5" a="1"/>
  <c r="S35" i="5" a="1"/>
  <c r="AG169" i="5" a="1"/>
  <c r="R60" i="5" a="1"/>
  <c r="S66" i="5" a="1"/>
  <c r="R141" i="5" a="1"/>
  <c r="R29" i="5" a="1"/>
  <c r="R191" i="5" a="1"/>
  <c r="AG130" i="5" a="1"/>
  <c r="R142" i="5" a="1"/>
  <c r="S126" i="5" a="1"/>
  <c r="R18" i="5" a="1"/>
  <c r="R54" i="5" a="1"/>
  <c r="AG79" i="5" a="1"/>
  <c r="R92" i="5" a="1"/>
  <c r="S215" i="5" a="1"/>
  <c r="AG93" i="5" a="1"/>
  <c r="AG114" i="5" a="1"/>
  <c r="R181" i="5" a="1"/>
  <c r="AG205" i="5" a="1"/>
  <c r="AG78" i="5" a="1"/>
  <c r="R107" i="5" a="1"/>
  <c r="S98" i="5" a="1"/>
  <c r="R52" i="5" a="1"/>
  <c r="R225" i="5" a="1"/>
  <c r="AG59" i="5" a="1"/>
  <c r="R210" i="5" a="1"/>
  <c r="R169" i="5" a="1"/>
  <c r="S60" i="5" a="1"/>
  <c r="S26" i="5" a="1"/>
  <c r="S141" i="5" a="1"/>
  <c r="AG29" i="5" a="1"/>
  <c r="S174" i="5" a="1"/>
  <c r="R130" i="5" a="1"/>
  <c r="S142" i="5" a="1"/>
  <c r="S232" i="5" a="1"/>
  <c r="S18" i="5" a="1"/>
  <c r="AG54" i="5" a="1"/>
  <c r="AG235" i="5" a="1"/>
  <c r="AG92" i="5" a="1"/>
  <c r="R215" i="5" a="1"/>
  <c r="AG63" i="5" a="1"/>
  <c r="S114" i="5" a="1"/>
  <c r="AG181" i="5" a="1"/>
  <c r="AG75" i="5" a="1"/>
  <c r="R78" i="5" a="1"/>
  <c r="S107" i="5" a="1"/>
  <c r="AG128" i="5" a="1"/>
  <c r="S52" i="5" a="1"/>
  <c r="S210" i="5" a="1"/>
  <c r="S169" i="5" a="1"/>
  <c r="AG150" i="5" a="1"/>
  <c r="AG26" i="5" a="1"/>
  <c r="AG141" i="5" a="1"/>
  <c r="AG179" i="5" a="1"/>
  <c r="AG174" i="5" a="1"/>
  <c r="S130" i="5" a="1"/>
  <c r="AG228" i="5" a="1"/>
  <c r="AG232" i="5" a="1"/>
  <c r="AG18" i="5" a="1"/>
  <c r="R231" i="5" a="1"/>
  <c r="S235" i="5" a="1"/>
  <c r="S92" i="5" a="1"/>
  <c r="S202" i="5" a="1"/>
  <c r="S63" i="5" a="1"/>
  <c r="R114" i="5" a="1"/>
  <c r="AG33" i="5" a="1"/>
  <c r="R75" i="5" a="1"/>
  <c r="S78" i="5" a="1"/>
  <c r="R164" i="5" a="1"/>
  <c r="R128" i="5" a="1"/>
  <c r="AG52" i="5" a="1"/>
  <c r="R136" i="5" a="1"/>
  <c r="AG151" i="5" a="1"/>
  <c r="S59" i="5" a="1"/>
  <c r="R86" i="5" a="1"/>
  <c r="S143" i="5" a="1"/>
  <c r="S84" i="5" a="1"/>
  <c r="S42" i="5" a="1"/>
  <c r="AG210" i="5" a="1"/>
  <c r="AG131" i="5" a="1"/>
  <c r="S150" i="5" a="1"/>
  <c r="R26" i="5" a="1"/>
  <c r="R201" i="5" a="1"/>
  <c r="S179" i="5" a="1"/>
  <c r="R174" i="5" a="1"/>
  <c r="R178" i="5" a="1"/>
  <c r="S228" i="5" a="1"/>
  <c r="R232" i="5" a="1"/>
  <c r="S95" i="5" a="1"/>
  <c r="S231" i="5" a="1"/>
  <c r="R235" i="5" a="1"/>
  <c r="R173" i="5" a="1"/>
  <c r="AG202" i="5" a="1"/>
  <c r="R63" i="5" a="1"/>
  <c r="AG138" i="5" a="1"/>
  <c r="S33" i="5" a="1"/>
  <c r="S75" i="5" a="1"/>
  <c r="R182" i="5" a="1"/>
  <c r="S164" i="5" a="1"/>
  <c r="S128" i="5" a="1"/>
  <c r="S195" i="5" a="1"/>
  <c r="S136" i="5" a="1"/>
  <c r="R151" i="5" a="1"/>
  <c r="S157" i="5" a="1"/>
  <c r="AG86" i="5" a="1"/>
  <c r="R143" i="5" a="1"/>
  <c r="AG154" i="5" a="1"/>
  <c r="S97" i="5" a="1"/>
  <c r="R131" i="5" a="1"/>
  <c r="R150" i="5" a="1"/>
  <c r="S58" i="5" a="1"/>
  <c r="AG201" i="5" a="1"/>
  <c r="R179" i="5" a="1"/>
  <c r="R76" i="5" a="1"/>
  <c r="S178" i="5" a="1"/>
  <c r="R228" i="5" a="1"/>
  <c r="AG47" i="5" a="1"/>
  <c r="R95" i="5" a="1"/>
  <c r="AG231" i="5" a="1"/>
  <c r="R161" i="5" a="1"/>
  <c r="AG173" i="5" a="1"/>
  <c r="R202" i="5" a="1"/>
  <c r="S65" i="5" a="1"/>
  <c r="S138" i="5" a="1"/>
  <c r="R33" i="5" a="1"/>
  <c r="S129" i="5" a="1"/>
  <c r="S182" i="5" a="1"/>
  <c r="AG164" i="5" a="1"/>
  <c r="S123" i="5" a="1"/>
  <c r="R195" i="5" a="1"/>
  <c r="AG136" i="5" a="1"/>
  <c r="AG81" i="5" a="1"/>
  <c r="AG157" i="5" a="1"/>
  <c r="S86" i="5" a="1"/>
  <c r="S86" i="5" l="1"/>
  <c r="AG157" i="5"/>
  <c r="U157" i="5" s="1"/>
  <c r="AG81" i="5"/>
  <c r="U81" i="5" s="1"/>
  <c r="AG136" i="5"/>
  <c r="U136" i="5" s="1"/>
  <c r="R195" i="5"/>
  <c r="S123" i="5"/>
  <c r="AG164" i="5"/>
  <c r="U164" i="5" s="1"/>
  <c r="S182" i="5"/>
  <c r="S129" i="5"/>
  <c r="R33" i="5"/>
  <c r="S138" i="5"/>
  <c r="S65" i="5"/>
  <c r="R202" i="5"/>
  <c r="AG173" i="5"/>
  <c r="U173" i="5" s="1"/>
  <c r="R161" i="5"/>
  <c r="AG231" i="5"/>
  <c r="U231" i="5" s="1"/>
  <c r="R95" i="5"/>
  <c r="AG47" i="5"/>
  <c r="U47" i="5" s="1"/>
  <c r="R228" i="5"/>
  <c r="S178" i="5"/>
  <c r="R76" i="5"/>
  <c r="R179" i="5"/>
  <c r="AG201" i="5"/>
  <c r="U201" i="5" s="1"/>
  <c r="S58" i="5"/>
  <c r="R150" i="5"/>
  <c r="R131" i="5"/>
  <c r="S97" i="5"/>
  <c r="AG154" i="5"/>
  <c r="U154" i="5" s="1"/>
  <c r="R143" i="5"/>
  <c r="F143" i="6" s="1"/>
  <c r="AG86" i="5"/>
  <c r="U86" i="5" s="1"/>
  <c r="S157" i="5"/>
  <c r="R151" i="5"/>
  <c r="F151" i="6" s="1"/>
  <c r="S136" i="5"/>
  <c r="S195" i="5"/>
  <c r="S128" i="5"/>
  <c r="S164" i="5"/>
  <c r="R182" i="5"/>
  <c r="S75" i="5"/>
  <c r="S33" i="5"/>
  <c r="AG138" i="5"/>
  <c r="U138" i="5" s="1"/>
  <c r="R63" i="5"/>
  <c r="AG202" i="5"/>
  <c r="U202" i="5" s="1"/>
  <c r="R173" i="5"/>
  <c r="R235" i="5"/>
  <c r="S231" i="5"/>
  <c r="S95" i="5"/>
  <c r="R232" i="5"/>
  <c r="S228" i="5"/>
  <c r="G228" i="6" s="1"/>
  <c r="R178" i="5"/>
  <c r="R174" i="5"/>
  <c r="S179" i="5"/>
  <c r="R201" i="5"/>
  <c r="R26" i="5"/>
  <c r="S150" i="5"/>
  <c r="AG131" i="5"/>
  <c r="U131" i="5" s="1"/>
  <c r="AG210" i="5"/>
  <c r="U210" i="5" s="1"/>
  <c r="S42" i="5"/>
  <c r="S84" i="5"/>
  <c r="S143" i="5"/>
  <c r="R86" i="5"/>
  <c r="S59" i="5"/>
  <c r="AG151" i="5"/>
  <c r="U151" i="5" s="1"/>
  <c r="R136" i="5"/>
  <c r="AG52" i="5"/>
  <c r="U52" i="5" s="1"/>
  <c r="W52" i="5" s="1" a="1"/>
  <c r="W52" i="5" s="1"/>
  <c r="R128" i="5"/>
  <c r="R164" i="5"/>
  <c r="S78" i="5"/>
  <c r="R75" i="5"/>
  <c r="AG33" i="5"/>
  <c r="U33" i="5" s="1"/>
  <c r="R114" i="5"/>
  <c r="S63" i="5"/>
  <c r="S202" i="5"/>
  <c r="S92" i="5"/>
  <c r="S235" i="5"/>
  <c r="R231" i="5"/>
  <c r="AG18" i="5"/>
  <c r="U18" i="5" s="1"/>
  <c r="AG232" i="5"/>
  <c r="U232" i="5" s="1"/>
  <c r="AG228" i="5"/>
  <c r="U228" i="5" s="1"/>
  <c r="S130" i="5"/>
  <c r="AG174" i="5"/>
  <c r="U174" i="5" s="1"/>
  <c r="AN174" i="5" s="1" a="1"/>
  <c r="AN174" i="5" s="1"/>
  <c r="AG179" i="5"/>
  <c r="U179" i="5" s="1"/>
  <c r="AG141" i="5"/>
  <c r="U141" i="5" s="1"/>
  <c r="AG26" i="5"/>
  <c r="U26" i="5" s="1"/>
  <c r="AG150" i="5"/>
  <c r="U150" i="5" s="1"/>
  <c r="S169" i="5"/>
  <c r="S210" i="5"/>
  <c r="S52" i="5"/>
  <c r="AG128" i="5"/>
  <c r="U128" i="5" s="1"/>
  <c r="S107" i="5"/>
  <c r="R78" i="5"/>
  <c r="AG75" i="5"/>
  <c r="U75" i="5" s="1"/>
  <c r="AG181" i="5"/>
  <c r="U181" i="5" s="1"/>
  <c r="S114" i="5"/>
  <c r="AG63" i="5"/>
  <c r="U63" i="5" s="1"/>
  <c r="R215" i="5"/>
  <c r="AG92" i="5"/>
  <c r="U92" i="5" s="1"/>
  <c r="AG235" i="5"/>
  <c r="U235" i="5" s="1"/>
  <c r="AG54" i="5"/>
  <c r="U54" i="5" s="1"/>
  <c r="S18" i="5"/>
  <c r="S232" i="5"/>
  <c r="S142" i="5"/>
  <c r="R130" i="5"/>
  <c r="S174" i="5"/>
  <c r="AG29" i="5"/>
  <c r="U29" i="5" s="1"/>
  <c r="S141" i="5"/>
  <c r="S26" i="5"/>
  <c r="S60" i="5"/>
  <c r="R169" i="5"/>
  <c r="R210" i="5"/>
  <c r="AG59" i="5"/>
  <c r="U59" i="5" s="1"/>
  <c r="R225" i="5"/>
  <c r="R52" i="5"/>
  <c r="S98" i="5"/>
  <c r="R107" i="5"/>
  <c r="AG78" i="5"/>
  <c r="U78" i="5" s="1"/>
  <c r="AG205" i="5"/>
  <c r="U205" i="5" s="1"/>
  <c r="R181" i="5"/>
  <c r="AG114" i="5"/>
  <c r="U114" i="5" s="1"/>
  <c r="AG93" i="5"/>
  <c r="U93" i="5" s="1"/>
  <c r="S215" i="5"/>
  <c r="R92" i="5"/>
  <c r="AG79" i="5"/>
  <c r="U79" i="5" s="1"/>
  <c r="R54" i="5"/>
  <c r="R18" i="5"/>
  <c r="S126" i="5"/>
  <c r="R142" i="5"/>
  <c r="AG130" i="5"/>
  <c r="U130" i="5" s="1"/>
  <c r="R191" i="5"/>
  <c r="R29" i="5"/>
  <c r="R141" i="5"/>
  <c r="S66" i="5"/>
  <c r="R60" i="5"/>
  <c r="AG169" i="5"/>
  <c r="U169" i="5" s="1"/>
  <c r="S35" i="5"/>
  <c r="AG167" i="5"/>
  <c r="U167" i="5" s="1"/>
  <c r="R120" i="5"/>
  <c r="AG98" i="5"/>
  <c r="U98" i="5" s="1"/>
  <c r="AG107" i="5"/>
  <c r="U107" i="5" s="1"/>
  <c r="AG91" i="5"/>
  <c r="U91" i="5" s="1"/>
  <c r="S205" i="5"/>
  <c r="S181" i="5"/>
  <c r="AG41" i="5"/>
  <c r="U41" i="5" s="1"/>
  <c r="S93" i="5"/>
  <c r="AG215" i="5"/>
  <c r="U215" i="5" s="1"/>
  <c r="AG67" i="5"/>
  <c r="U67" i="5" s="1"/>
  <c r="S79" i="5"/>
  <c r="S54" i="5"/>
  <c r="S115" i="5"/>
  <c r="R126" i="5"/>
  <c r="AG142" i="5"/>
  <c r="U142" i="5" s="1"/>
  <c r="R90" i="5"/>
  <c r="AG191" i="5"/>
  <c r="U191" i="5" s="1"/>
  <c r="S29" i="5"/>
  <c r="R177" i="5"/>
  <c r="AG66" i="5"/>
  <c r="U66" i="5" s="1"/>
  <c r="AG60" i="5"/>
  <c r="U60" i="5" s="1"/>
  <c r="S105" i="5"/>
  <c r="R35" i="5"/>
  <c r="AG42" i="5"/>
  <c r="U42" i="5" s="1"/>
  <c r="W42" i="5" s="1" a="1"/>
  <c r="W42" i="5" s="1"/>
  <c r="S120" i="5"/>
  <c r="S135" i="5"/>
  <c r="S124" i="5"/>
  <c r="AG37" i="5"/>
  <c r="U37" i="5" s="1"/>
  <c r="R98" i="5"/>
  <c r="S46" i="5"/>
  <c r="R205" i="5"/>
  <c r="R56" i="5"/>
  <c r="R41" i="5"/>
  <c r="R93" i="5"/>
  <c r="AG68" i="5"/>
  <c r="R67" i="5"/>
  <c r="R79" i="5"/>
  <c r="AG152" i="5"/>
  <c r="U152" i="5" s="1"/>
  <c r="R115" i="5"/>
  <c r="AG126" i="5"/>
  <c r="U126" i="5" s="1"/>
  <c r="AG48" i="5"/>
  <c r="U48" i="5" s="1"/>
  <c r="AG90" i="5"/>
  <c r="U90" i="5" s="1"/>
  <c r="S191" i="5"/>
  <c r="AG188" i="5"/>
  <c r="U188" i="5" s="1"/>
  <c r="AG177" i="5"/>
  <c r="U177" i="5" s="1"/>
  <c r="R66" i="5"/>
  <c r="R73" i="5"/>
  <c r="R105" i="5"/>
  <c r="AG35" i="5"/>
  <c r="U35" i="5" s="1"/>
  <c r="AG225" i="5"/>
  <c r="U225" i="5" s="1"/>
  <c r="AG124" i="5"/>
  <c r="U124" i="5" s="1"/>
  <c r="S218" i="5"/>
  <c r="AG198" i="5"/>
  <c r="U198" i="5" s="1"/>
  <c r="R34" i="5"/>
  <c r="S85" i="5"/>
  <c r="S57" i="5"/>
  <c r="R91" i="5"/>
  <c r="R113" i="5"/>
  <c r="AG218" i="5"/>
  <c r="U218" i="5" s="1"/>
  <c r="R135" i="5"/>
  <c r="R80" i="5"/>
  <c r="R198" i="5"/>
  <c r="AG34" i="5"/>
  <c r="U34" i="5" s="1"/>
  <c r="AG229" i="5"/>
  <c r="U229" i="5" s="1"/>
  <c r="R37" i="5"/>
  <c r="AG57" i="5"/>
  <c r="U57" i="5" s="1"/>
  <c r="S189" i="5"/>
  <c r="R46" i="5"/>
  <c r="S91" i="5"/>
  <c r="AG109" i="5"/>
  <c r="U109" i="5" s="1"/>
  <c r="S56" i="5"/>
  <c r="S41" i="5"/>
  <c r="AG72" i="5"/>
  <c r="U72" i="5" s="1"/>
  <c r="S68" i="5"/>
  <c r="S67" i="5"/>
  <c r="AG148" i="5"/>
  <c r="U148" i="5" s="1"/>
  <c r="R152" i="5"/>
  <c r="AG115" i="5"/>
  <c r="U115" i="5" s="1"/>
  <c r="AG87" i="5"/>
  <c r="U87" i="5" s="1"/>
  <c r="R48" i="5"/>
  <c r="S90" i="5"/>
  <c r="AG238" i="5"/>
  <c r="U238" i="5" s="1"/>
  <c r="R188" i="5"/>
  <c r="S177" i="5"/>
  <c r="S99" i="5"/>
  <c r="S73" i="5"/>
  <c r="AG105" i="5"/>
  <c r="U105" i="5" s="1"/>
  <c r="AG21" i="5"/>
  <c r="U21" i="5" s="1"/>
  <c r="R59" i="5"/>
  <c r="AG80" i="5"/>
  <c r="U80" i="5" s="1"/>
  <c r="AG30" i="5"/>
  <c r="U30" i="5" s="1"/>
  <c r="AG189" i="5"/>
  <c r="U189" i="5" s="1"/>
  <c r="AG46" i="5"/>
  <c r="U46" i="5" s="1"/>
  <c r="S49" i="5"/>
  <c r="R109" i="5"/>
  <c r="AG56" i="5"/>
  <c r="U56" i="5" s="1"/>
  <c r="AG236" i="5"/>
  <c r="U236" i="5" s="1"/>
  <c r="R72" i="5"/>
  <c r="R68" i="5"/>
  <c r="AG186" i="5"/>
  <c r="U186" i="5" s="1"/>
  <c r="S148" i="5"/>
  <c r="S152" i="5"/>
  <c r="R137" i="5"/>
  <c r="S87" i="5"/>
  <c r="S48" i="5"/>
  <c r="R146" i="5"/>
  <c r="S238" i="5"/>
  <c r="S188" i="5"/>
  <c r="AG213" i="5"/>
  <c r="U213" i="5" s="1"/>
  <c r="R99" i="5"/>
  <c r="AG73" i="5"/>
  <c r="U73" i="5" s="1"/>
  <c r="AG117" i="5"/>
  <c r="U117" i="5" s="1"/>
  <c r="R21" i="5"/>
  <c r="R42" i="5"/>
  <c r="R84" i="5"/>
  <c r="S119" i="5"/>
  <c r="S34" i="5"/>
  <c r="AG113" i="5"/>
  <c r="U113" i="5" s="1"/>
  <c r="AG217" i="5"/>
  <c r="U217" i="5" s="1"/>
  <c r="S209" i="5"/>
  <c r="S80" i="5"/>
  <c r="R125" i="5"/>
  <c r="S39" i="5"/>
  <c r="S229" i="5"/>
  <c r="R32" i="5"/>
  <c r="R30" i="5"/>
  <c r="R189" i="5"/>
  <c r="R159" i="5"/>
  <c r="R49" i="5"/>
  <c r="S109" i="5"/>
  <c r="R44" i="5"/>
  <c r="S236" i="5"/>
  <c r="S72" i="5"/>
  <c r="R23" i="5"/>
  <c r="S186" i="5"/>
  <c r="R148" i="5"/>
  <c r="AG239" i="5"/>
  <c r="U239" i="5" s="1"/>
  <c r="S137" i="5"/>
  <c r="R87" i="5"/>
  <c r="S212" i="5"/>
  <c r="S146" i="5"/>
  <c r="R238" i="5"/>
  <c r="S220" i="5"/>
  <c r="S213" i="5"/>
  <c r="AG99" i="5"/>
  <c r="U99" i="5" s="1"/>
  <c r="AG43" i="5"/>
  <c r="U43" i="5" s="1"/>
  <c r="R117" i="5"/>
  <c r="S21" i="5"/>
  <c r="AG143" i="5"/>
  <c r="U143" i="5" s="1"/>
  <c r="R85" i="5"/>
  <c r="R119" i="5"/>
  <c r="R218" i="5"/>
  <c r="R39" i="5"/>
  <c r="AG159" i="5"/>
  <c r="U159" i="5" s="1"/>
  <c r="AG49" i="5"/>
  <c r="U49" i="5" s="1"/>
  <c r="S163" i="5"/>
  <c r="AG44" i="5"/>
  <c r="U44" i="5" s="1"/>
  <c r="R236" i="5"/>
  <c r="R192" i="5"/>
  <c r="S23" i="5"/>
  <c r="R186" i="5"/>
  <c r="AG149" i="5"/>
  <c r="U149" i="5" s="1"/>
  <c r="R239" i="5"/>
  <c r="AG137" i="5"/>
  <c r="U137" i="5" s="1"/>
  <c r="AG183" i="5"/>
  <c r="U183" i="5" s="1"/>
  <c r="AG212" i="5"/>
  <c r="U212" i="5" s="1"/>
  <c r="AG146" i="5"/>
  <c r="U146" i="5" s="1"/>
  <c r="AG83" i="5"/>
  <c r="U83" i="5" s="1"/>
  <c r="R220" i="5"/>
  <c r="R213" i="5"/>
  <c r="R64" i="5"/>
  <c r="R43" i="5"/>
  <c r="S117" i="5"/>
  <c r="AG165" i="5"/>
  <c r="U165" i="5" s="1"/>
  <c r="R154" i="5"/>
  <c r="S151" i="5"/>
  <c r="R57" i="5"/>
  <c r="S113" i="5"/>
  <c r="S37" i="5"/>
  <c r="S96" i="5"/>
  <c r="S208" i="5"/>
  <c r="R96" i="5"/>
  <c r="R28" i="5"/>
  <c r="S147" i="5"/>
  <c r="AG125" i="5"/>
  <c r="U125" i="5" s="1"/>
  <c r="R51" i="5"/>
  <c r="R208" i="5"/>
  <c r="S32" i="5"/>
  <c r="R233" i="5"/>
  <c r="S19" i="5"/>
  <c r="S159" i="5"/>
  <c r="R156" i="5"/>
  <c r="R163" i="5"/>
  <c r="S44" i="5"/>
  <c r="AG53" i="5"/>
  <c r="U53" i="5" s="1"/>
  <c r="AG192" i="5"/>
  <c r="U192" i="5" s="1"/>
  <c r="AG23" i="5"/>
  <c r="U23" i="5" s="1"/>
  <c r="AG61" i="5"/>
  <c r="U61" i="5" s="1"/>
  <c r="R149" i="5"/>
  <c r="S239" i="5"/>
  <c r="AG168" i="5"/>
  <c r="U168" i="5" s="1"/>
  <c r="S183" i="5"/>
  <c r="R212" i="5"/>
  <c r="S139" i="5"/>
  <c r="R83" i="5"/>
  <c r="AG220" i="5"/>
  <c r="U220" i="5" s="1"/>
  <c r="R221" i="5"/>
  <c r="S64" i="5"/>
  <c r="S43" i="5"/>
  <c r="S134" i="5"/>
  <c r="S165" i="5"/>
  <c r="AG120" i="5"/>
  <c r="U120" i="5" s="1"/>
  <c r="AG85" i="5"/>
  <c r="U85" i="5" s="1"/>
  <c r="R209" i="5"/>
  <c r="R229" i="5"/>
  <c r="R217" i="5"/>
  <c r="S125" i="5"/>
  <c r="AG96" i="5"/>
  <c r="U96" i="5" s="1"/>
  <c r="R102" i="5"/>
  <c r="S51" i="5"/>
  <c r="AG208" i="5"/>
  <c r="U208" i="5" s="1"/>
  <c r="R88" i="5"/>
  <c r="AG233" i="5"/>
  <c r="U233" i="5" s="1"/>
  <c r="R19" i="5"/>
  <c r="AG70" i="5"/>
  <c r="U70" i="5" s="1"/>
  <c r="S156" i="5"/>
  <c r="AG163" i="5"/>
  <c r="U163" i="5" s="1"/>
  <c r="AG69" i="5"/>
  <c r="U69" i="5" s="1"/>
  <c r="S53" i="5"/>
  <c r="S192" i="5"/>
  <c r="R144" i="5"/>
  <c r="S61" i="5"/>
  <c r="S149" i="5"/>
  <c r="R36" i="5"/>
  <c r="S168" i="5"/>
  <c r="R183" i="5"/>
  <c r="AG237" i="5"/>
  <c r="U237" i="5" s="1"/>
  <c r="R139" i="5"/>
  <c r="S83" i="5"/>
  <c r="R171" i="5"/>
  <c r="AG221" i="5"/>
  <c r="U221" i="5" s="1"/>
  <c r="AG64" i="5"/>
  <c r="U64" i="5" s="1"/>
  <c r="AG101" i="5"/>
  <c r="U101" i="5" s="1"/>
  <c r="R134" i="5"/>
  <c r="R165" i="5"/>
  <c r="R110" i="5"/>
  <c r="AG84" i="5"/>
  <c r="U84" i="5" s="1"/>
  <c r="AG135" i="5"/>
  <c r="U135" i="5" s="1"/>
  <c r="AG19" i="5"/>
  <c r="U19" i="5" s="1"/>
  <c r="S217" i="5"/>
  <c r="AG184" i="5"/>
  <c r="U184" i="5" s="1"/>
  <c r="S155" i="5"/>
  <c r="S184" i="5"/>
  <c r="S28" i="5"/>
  <c r="S187" i="5"/>
  <c r="AG102" i="5"/>
  <c r="U102" i="5" s="1"/>
  <c r="AG51" i="5"/>
  <c r="U51" i="5" s="1"/>
  <c r="R27" i="5"/>
  <c r="S88" i="5"/>
  <c r="S233" i="5"/>
  <c r="S207" i="5"/>
  <c r="S70" i="5"/>
  <c r="AG156" i="5"/>
  <c r="U156" i="5" s="1"/>
  <c r="R74" i="5"/>
  <c r="S69" i="5"/>
  <c r="R53" i="5"/>
  <c r="R118" i="5"/>
  <c r="AG144" i="5"/>
  <c r="U144" i="5" s="1"/>
  <c r="R61" i="5"/>
  <c r="AG38" i="5"/>
  <c r="U38" i="5" s="1"/>
  <c r="S36" i="5"/>
  <c r="R168" i="5"/>
  <c r="AG145" i="5"/>
  <c r="U145" i="5" s="1"/>
  <c r="S237" i="5"/>
  <c r="AG139" i="5"/>
  <c r="U139" i="5" s="1"/>
  <c r="R224" i="5"/>
  <c r="AG171" i="5"/>
  <c r="U171" i="5" s="1"/>
  <c r="S221" i="5"/>
  <c r="S170" i="5"/>
  <c r="R101" i="5"/>
  <c r="AG134" i="5"/>
  <c r="U134" i="5" s="1"/>
  <c r="R199" i="5"/>
  <c r="R167" i="5"/>
  <c r="R124" i="5"/>
  <c r="S167" i="5"/>
  <c r="S198" i="5"/>
  <c r="AG32" i="5"/>
  <c r="U32" i="5" s="1"/>
  <c r="AG147" i="5"/>
  <c r="U147" i="5" s="1"/>
  <c r="R155" i="5"/>
  <c r="R184" i="5"/>
  <c r="S110" i="5"/>
  <c r="AG187" i="5"/>
  <c r="U187" i="5" s="1"/>
  <c r="S102" i="5"/>
  <c r="S81" i="5"/>
  <c r="AG27" i="5"/>
  <c r="U27" i="5" s="1"/>
  <c r="AG88" i="5"/>
  <c r="U88" i="5" s="1"/>
  <c r="AG123" i="5"/>
  <c r="U123" i="5" s="1"/>
  <c r="R207" i="5"/>
  <c r="R70" i="5"/>
  <c r="R129" i="5"/>
  <c r="S74" i="5"/>
  <c r="R69" i="5"/>
  <c r="AG65" i="5"/>
  <c r="U65" i="5" s="1"/>
  <c r="S118" i="5"/>
  <c r="S144" i="5"/>
  <c r="AG161" i="5"/>
  <c r="U161" i="5" s="1"/>
  <c r="R38" i="5"/>
  <c r="AG36" i="5"/>
  <c r="U36" i="5" s="1"/>
  <c r="R47" i="5"/>
  <c r="R145" i="5"/>
  <c r="R237" i="5"/>
  <c r="S76" i="5"/>
  <c r="AG224" i="5"/>
  <c r="U224" i="5" s="1"/>
  <c r="S171" i="5"/>
  <c r="AG58" i="5"/>
  <c r="U58" i="5" s="1"/>
  <c r="R170" i="5"/>
  <c r="S101" i="5"/>
  <c r="AG97" i="5"/>
  <c r="U97" i="5" s="1"/>
  <c r="AG199" i="5"/>
  <c r="U199" i="5" s="1"/>
  <c r="AG119" i="5"/>
  <c r="U119" i="5" s="1"/>
  <c r="S225" i="5"/>
  <c r="AG39" i="5"/>
  <c r="U39" i="5" s="1"/>
  <c r="AG209" i="5"/>
  <c r="U209" i="5" s="1"/>
  <c r="R147" i="5"/>
  <c r="S30" i="5"/>
  <c r="AG28" i="5"/>
  <c r="U28" i="5" s="1"/>
  <c r="AG155" i="5"/>
  <c r="U155" i="5" s="1"/>
  <c r="S154" i="5"/>
  <c r="AG110" i="5"/>
  <c r="U110" i="5" s="1"/>
  <c r="R187" i="5"/>
  <c r="R157" i="5"/>
  <c r="R81" i="5"/>
  <c r="S27" i="5"/>
  <c r="AG195" i="5"/>
  <c r="U195" i="5" s="1"/>
  <c r="R123" i="5"/>
  <c r="AG207" i="5"/>
  <c r="U207" i="5" s="1"/>
  <c r="AG182" i="5"/>
  <c r="U182" i="5" s="1"/>
  <c r="AG129" i="5"/>
  <c r="U129" i="5" s="1"/>
  <c r="AG74" i="5"/>
  <c r="U74" i="5" s="1"/>
  <c r="R138" i="5"/>
  <c r="R65" i="5"/>
  <c r="AG118" i="5"/>
  <c r="U118" i="5" s="1"/>
  <c r="S173" i="5"/>
  <c r="S161" i="5"/>
  <c r="S38" i="5"/>
  <c r="AG95" i="5"/>
  <c r="U95" i="5" s="1"/>
  <c r="S47" i="5"/>
  <c r="S145" i="5"/>
  <c r="AG178" i="5"/>
  <c r="U178" i="5" s="1"/>
  <c r="AG76" i="5"/>
  <c r="U76" i="5" s="1"/>
  <c r="S224" i="5"/>
  <c r="S201" i="5"/>
  <c r="R58" i="5"/>
  <c r="AG170" i="5"/>
  <c r="U170" i="5" s="1"/>
  <c r="S131" i="5"/>
  <c r="R97" i="5"/>
  <c r="S199" i="5"/>
  <c r="AN157" i="5" a="1"/>
  <c r="AN157" i="5" s="1"/>
  <c r="W157" i="5" a="1"/>
  <c r="W157" i="5" s="1"/>
  <c r="E76" i="12"/>
  <c r="F76" i="6"/>
  <c r="AN86" i="5" a="1"/>
  <c r="AN86" i="5" s="1"/>
  <c r="W86" i="5" a="1"/>
  <c r="W86" i="5" s="1"/>
  <c r="G157" i="6"/>
  <c r="F157" i="12" a="1"/>
  <c r="F157" i="12" s="1"/>
  <c r="F136" i="12" a="1"/>
  <c r="F136" i="12" s="1"/>
  <c r="G136" i="6"/>
  <c r="G195" i="6"/>
  <c r="F195" i="12" a="1"/>
  <c r="F195" i="12" s="1"/>
  <c r="F128" i="12" a="1"/>
  <c r="F128" i="12" s="1"/>
  <c r="G128" i="6"/>
  <c r="G164" i="6"/>
  <c r="F164" i="12" a="1"/>
  <c r="F164" i="12" s="1"/>
  <c r="F182" i="6"/>
  <c r="E182" i="12"/>
  <c r="F75" i="12" a="1"/>
  <c r="F75" i="12" s="1"/>
  <c r="G75" i="6"/>
  <c r="F33" i="12" a="1"/>
  <c r="F33" i="12" s="1"/>
  <c r="G33" i="6"/>
  <c r="W138" i="5" a="1"/>
  <c r="W138" i="5" s="1"/>
  <c r="AN138" i="5" a="1"/>
  <c r="AN138" i="5" s="1"/>
  <c r="E63" i="12"/>
  <c r="F63" i="6"/>
  <c r="AN202" i="5" a="1"/>
  <c r="AN202" i="5" s="1"/>
  <c r="W202" i="5" a="1"/>
  <c r="W202" i="5" s="1"/>
  <c r="F173" i="6"/>
  <c r="E173" i="12"/>
  <c r="F235" i="6"/>
  <c r="E235" i="12"/>
  <c r="G231" i="6"/>
  <c r="F231" i="12" a="1"/>
  <c r="F231" i="12" s="1"/>
  <c r="G95" i="6"/>
  <c r="F95" i="12" a="1"/>
  <c r="F95" i="12" s="1"/>
  <c r="E232" i="12"/>
  <c r="F232" i="6"/>
  <c r="E178" i="12"/>
  <c r="F178" i="6"/>
  <c r="E174" i="12"/>
  <c r="F174" i="6"/>
  <c r="F179" i="12" a="1"/>
  <c r="F179" i="12" s="1"/>
  <c r="G179" i="6"/>
  <c r="E201" i="12"/>
  <c r="F201" i="6"/>
  <c r="F26" i="6"/>
  <c r="E26" i="12"/>
  <c r="F150" i="12" a="1"/>
  <c r="F150" i="12" s="1"/>
  <c r="G150" i="6"/>
  <c r="W131" i="5" a="1"/>
  <c r="W131" i="5" s="1"/>
  <c r="AN131" i="5" a="1"/>
  <c r="AN131" i="5" s="1"/>
  <c r="W210" i="5" a="1"/>
  <c r="W210" i="5" s="1"/>
  <c r="AN210" i="5" a="1"/>
  <c r="AN210" i="5" s="1"/>
  <c r="AN81" i="5" a="1"/>
  <c r="AN81" i="5" s="1"/>
  <c r="W81" i="5" a="1"/>
  <c r="W81" i="5" s="1"/>
  <c r="F129" i="12" a="1"/>
  <c r="F129" i="12" s="1"/>
  <c r="G129" i="6"/>
  <c r="E161" i="12"/>
  <c r="F161" i="6"/>
  <c r="F179" i="6"/>
  <c r="E179" i="12"/>
  <c r="W154" i="5" a="1"/>
  <c r="W154" i="5" s="1"/>
  <c r="AN154" i="5" a="1"/>
  <c r="AN154" i="5" s="1"/>
  <c r="F42" i="12" a="1"/>
  <c r="F42" i="12" s="1"/>
  <c r="G42" i="6"/>
  <c r="F84" i="12" a="1"/>
  <c r="F84" i="12" s="1"/>
  <c r="G84" i="6"/>
  <c r="F143" i="12" a="1"/>
  <c r="F143" i="12" s="1"/>
  <c r="G143" i="6"/>
  <c r="F86" i="6"/>
  <c r="E86" i="12"/>
  <c r="F59" i="12" a="1"/>
  <c r="F59" i="12" s="1"/>
  <c r="G59" i="6"/>
  <c r="AN151" i="5" a="1"/>
  <c r="AN151" i="5" s="1"/>
  <c r="W151" i="5" a="1"/>
  <c r="W151" i="5" s="1"/>
  <c r="E136" i="12"/>
  <c r="F136" i="6"/>
  <c r="AN52" i="5" a="1"/>
  <c r="AN52" i="5" s="1"/>
  <c r="F128" i="6"/>
  <c r="E128" i="12"/>
  <c r="F164" i="6"/>
  <c r="E164" i="12"/>
  <c r="F78" i="12" a="1"/>
  <c r="F78" i="12" s="1"/>
  <c r="G78" i="6"/>
  <c r="E75" i="12"/>
  <c r="F75" i="6"/>
  <c r="AN33" i="5" a="1"/>
  <c r="AN33" i="5" s="1"/>
  <c r="W33" i="5" a="1"/>
  <c r="W33" i="5" s="1"/>
  <c r="F114" i="6"/>
  <c r="E114" i="12"/>
  <c r="F63" i="12" a="1"/>
  <c r="F63" i="12" s="1"/>
  <c r="G63" i="6"/>
  <c r="G202" i="6"/>
  <c r="F202" i="12" a="1"/>
  <c r="F202" i="12" s="1"/>
  <c r="F92" i="12" a="1"/>
  <c r="F92" i="12" s="1"/>
  <c r="G92" i="6"/>
  <c r="G235" i="6"/>
  <c r="F235" i="12" a="1"/>
  <c r="F235" i="12" s="1"/>
  <c r="F231" i="6"/>
  <c r="E231" i="12"/>
  <c r="W18" i="5" a="1"/>
  <c r="W18" i="5" s="1"/>
  <c r="AN18" i="5" a="1"/>
  <c r="AN18" i="5" s="1"/>
  <c r="W232" i="5" a="1"/>
  <c r="W232" i="5" s="1"/>
  <c r="AN232" i="5" a="1"/>
  <c r="AN232" i="5" s="1"/>
  <c r="AN228" i="5" a="1"/>
  <c r="AN228" i="5" s="1"/>
  <c r="W228" i="5" a="1"/>
  <c r="W228" i="5" s="1"/>
  <c r="F130" i="12" a="1"/>
  <c r="F130" i="12" s="1"/>
  <c r="G130" i="6"/>
  <c r="W174" i="5" a="1"/>
  <c r="W174" i="5" s="1"/>
  <c r="AN179" i="5" a="1"/>
  <c r="AN179" i="5" s="1"/>
  <c r="W179" i="5" a="1"/>
  <c r="W179" i="5" s="1"/>
  <c r="AN141" i="5" a="1"/>
  <c r="AN141" i="5" s="1"/>
  <c r="W141" i="5" a="1"/>
  <c r="W141" i="5" s="1"/>
  <c r="AN26" i="5" a="1"/>
  <c r="AN26" i="5" s="1"/>
  <c r="W26" i="5" a="1"/>
  <c r="W26" i="5" s="1"/>
  <c r="AN150" i="5" a="1"/>
  <c r="AN150" i="5" s="1"/>
  <c r="W150" i="5" a="1"/>
  <c r="W150" i="5" s="1"/>
  <c r="G169" i="6"/>
  <c r="F169" i="12" a="1"/>
  <c r="F169" i="12" s="1"/>
  <c r="G210" i="6"/>
  <c r="F210" i="12" a="1"/>
  <c r="F210" i="12" s="1"/>
  <c r="F123" i="12" a="1"/>
  <c r="F123" i="12" s="1"/>
  <c r="G123" i="6"/>
  <c r="AN231" i="5" a="1"/>
  <c r="AN231" i="5" s="1"/>
  <c r="W231" i="5" a="1"/>
  <c r="W231" i="5" s="1"/>
  <c r="G178" i="6"/>
  <c r="F178" i="12" a="1"/>
  <c r="F178" i="12" s="1"/>
  <c r="AN120" i="5" a="1"/>
  <c r="AN120" i="5" s="1"/>
  <c r="W120" i="5" a="1"/>
  <c r="W120" i="5" s="1"/>
  <c r="F59" i="6"/>
  <c r="E59" i="12"/>
  <c r="F151" i="12" a="1"/>
  <c r="F151" i="12" s="1"/>
  <c r="G151" i="6"/>
  <c r="AN225" i="5" a="1"/>
  <c r="AN225" i="5" s="1"/>
  <c r="W225" i="5" a="1"/>
  <c r="W225" i="5" s="1"/>
  <c r="F52" i="12" a="1"/>
  <c r="F52" i="12" s="1"/>
  <c r="G52" i="6"/>
  <c r="W128" i="5" a="1"/>
  <c r="W128" i="5" s="1"/>
  <c r="AN128" i="5" a="1"/>
  <c r="AN128" i="5" s="1"/>
  <c r="G107" i="6"/>
  <c r="F107" i="12" a="1"/>
  <c r="F107" i="12" s="1"/>
  <c r="E78" i="12"/>
  <c r="F78" i="6"/>
  <c r="W75" i="5" a="1"/>
  <c r="W75" i="5" s="1"/>
  <c r="AN75" i="5" a="1"/>
  <c r="AN75" i="5" s="1"/>
  <c r="W181" i="5" a="1"/>
  <c r="W181" i="5" s="1"/>
  <c r="AN181" i="5" a="1"/>
  <c r="AN181" i="5" s="1"/>
  <c r="F114" i="12" a="1"/>
  <c r="F114" i="12" s="1"/>
  <c r="G114" i="6"/>
  <c r="W63" i="5" a="1"/>
  <c r="W63" i="5" s="1"/>
  <c r="AN63" i="5" a="1"/>
  <c r="AN63" i="5" s="1"/>
  <c r="F215" i="6"/>
  <c r="E215" i="12"/>
  <c r="W92" i="5" a="1"/>
  <c r="W92" i="5" s="1"/>
  <c r="AN92" i="5" a="1"/>
  <c r="AN92" i="5" s="1"/>
  <c r="AN235" i="5" a="1"/>
  <c r="AN235" i="5" s="1"/>
  <c r="W235" i="5" a="1"/>
  <c r="W235" i="5" s="1"/>
  <c r="AN54" i="5" a="1"/>
  <c r="AN54" i="5" s="1"/>
  <c r="W54" i="5" a="1"/>
  <c r="W54" i="5" s="1"/>
  <c r="F18" i="12" a="1"/>
  <c r="F18" i="12" s="1"/>
  <c r="G18" i="6"/>
  <c r="F232" i="12" a="1"/>
  <c r="F232" i="12" s="1"/>
  <c r="G232" i="6"/>
  <c r="F142" i="12" a="1"/>
  <c r="F142" i="12" s="1"/>
  <c r="G142" i="6"/>
  <c r="E130" i="12"/>
  <c r="F130" i="6"/>
  <c r="F174" i="12" a="1"/>
  <c r="F174" i="12" s="1"/>
  <c r="G174" i="6"/>
  <c r="W29" i="5" a="1"/>
  <c r="W29" i="5" s="1"/>
  <c r="AN29" i="5" a="1"/>
  <c r="AN29" i="5" s="1"/>
  <c r="G141" i="6"/>
  <c r="F141" i="12" a="1"/>
  <c r="F141" i="12" s="1"/>
  <c r="G26" i="6"/>
  <c r="F26" i="12" a="1"/>
  <c r="F26" i="12" s="1"/>
  <c r="G60" i="6"/>
  <c r="F60" i="12" a="1"/>
  <c r="F60" i="12" s="1"/>
  <c r="F169" i="6"/>
  <c r="E169" i="12"/>
  <c r="F210" i="6"/>
  <c r="E210" i="12"/>
  <c r="E110" i="12"/>
  <c r="F110" i="6"/>
  <c r="F138" i="12" a="1"/>
  <c r="F138" i="12" s="1"/>
  <c r="G138" i="6"/>
  <c r="E84" i="12"/>
  <c r="F84" i="6"/>
  <c r="F119" i="12" a="1"/>
  <c r="F119" i="12" s="1"/>
  <c r="G119" i="6"/>
  <c r="AN167" i="5" a="1"/>
  <c r="AN167" i="5" s="1"/>
  <c r="W167" i="5" a="1"/>
  <c r="W167" i="5" s="1"/>
  <c r="AN84" i="5" a="1"/>
  <c r="AN84" i="5" s="1"/>
  <c r="W84" i="5" a="1"/>
  <c r="W84" i="5" s="1"/>
  <c r="E124" i="12"/>
  <c r="F124" i="6"/>
  <c r="G120" i="6"/>
  <c r="F120" i="12" a="1"/>
  <c r="F120" i="12" s="1"/>
  <c r="AN59" i="5" a="1"/>
  <c r="AN59" i="5" s="1"/>
  <c r="W59" i="5" a="1"/>
  <c r="W59" i="5" s="1"/>
  <c r="E85" i="12"/>
  <c r="F85" i="6"/>
  <c r="F225" i="6"/>
  <c r="E225" i="12"/>
  <c r="F52" i="6"/>
  <c r="E52" i="12"/>
  <c r="G98" i="6"/>
  <c r="F98" i="12" a="1"/>
  <c r="F98" i="12" s="1"/>
  <c r="E107" i="12"/>
  <c r="F107" i="6"/>
  <c r="W78" i="5" a="1"/>
  <c r="W78" i="5" s="1"/>
  <c r="AN78" i="5" a="1"/>
  <c r="AN78" i="5" s="1"/>
  <c r="AN205" i="5" a="1"/>
  <c r="AN205" i="5" s="1"/>
  <c r="W205" i="5" a="1"/>
  <c r="W205" i="5" s="1"/>
  <c r="E181" i="12"/>
  <c r="F181" i="6"/>
  <c r="W114" i="5" a="1"/>
  <c r="W114" i="5" s="1"/>
  <c r="AN114" i="5" a="1"/>
  <c r="AN114" i="5" s="1"/>
  <c r="W93" i="5" a="1"/>
  <c r="W93" i="5" s="1"/>
  <c r="AN93" i="5" a="1"/>
  <c r="AN93" i="5" s="1"/>
  <c r="G215" i="6"/>
  <c r="F215" i="12" a="1"/>
  <c r="F215" i="12" s="1"/>
  <c r="E92" i="12"/>
  <c r="F92" i="6"/>
  <c r="W79" i="5" a="1"/>
  <c r="W79" i="5" s="1"/>
  <c r="AN79" i="5" a="1"/>
  <c r="AN79" i="5" s="1"/>
  <c r="F54" i="6"/>
  <c r="E54" i="12"/>
  <c r="E18" i="12"/>
  <c r="F18" i="6"/>
  <c r="F126" i="12" a="1"/>
  <c r="F126" i="12" s="1"/>
  <c r="G126" i="6"/>
  <c r="E142" i="12"/>
  <c r="F142" i="6"/>
  <c r="W130" i="5" a="1"/>
  <c r="W130" i="5" s="1"/>
  <c r="AN130" i="5" a="1"/>
  <c r="AN130" i="5" s="1"/>
  <c r="E191" i="12"/>
  <c r="F191" i="6"/>
  <c r="F29" i="6"/>
  <c r="E29" i="12"/>
  <c r="F141" i="6"/>
  <c r="E141" i="12"/>
  <c r="F66" i="12" a="1"/>
  <c r="F66" i="12" s="1"/>
  <c r="G66" i="6"/>
  <c r="E60" i="12"/>
  <c r="F60" i="6"/>
  <c r="AN169" i="5" a="1"/>
  <c r="AN169" i="5" s="1"/>
  <c r="W169" i="5" a="1"/>
  <c r="W169" i="5" s="1"/>
  <c r="F35" i="12" a="1"/>
  <c r="F35" i="12" s="1"/>
  <c r="G35" i="6"/>
  <c r="G182" i="6"/>
  <c r="F182" i="12" a="1"/>
  <c r="F182" i="12" s="1"/>
  <c r="AN124" i="5" a="1"/>
  <c r="AN124" i="5" s="1"/>
  <c r="W124" i="5" a="1"/>
  <c r="W124" i="5" s="1"/>
  <c r="F120" i="6"/>
  <c r="E120" i="12"/>
  <c r="F34" i="12" a="1"/>
  <c r="F34" i="12" s="1"/>
  <c r="G34" i="6"/>
  <c r="AN85" i="5" a="1"/>
  <c r="AN85" i="5" s="1"/>
  <c r="W85" i="5" a="1"/>
  <c r="W85" i="5" s="1"/>
  <c r="G225" i="6"/>
  <c r="F225" i="12" a="1"/>
  <c r="F225" i="12" s="1"/>
  <c r="E57" i="12"/>
  <c r="F57" i="6"/>
  <c r="W98" i="5" a="1"/>
  <c r="W98" i="5" s="1"/>
  <c r="AN98" i="5" a="1"/>
  <c r="AN98" i="5" s="1"/>
  <c r="AN107" i="5" a="1"/>
  <c r="AN107" i="5" s="1"/>
  <c r="W107" i="5" a="1"/>
  <c r="W107" i="5" s="1"/>
  <c r="W91" i="5" a="1"/>
  <c r="W91" i="5" s="1"/>
  <c r="AN91" i="5" a="1"/>
  <c r="AN91" i="5" s="1"/>
  <c r="G205" i="6"/>
  <c r="F205" i="12" a="1"/>
  <c r="F205" i="12" s="1"/>
  <c r="G181" i="6"/>
  <c r="F181" i="12" a="1"/>
  <c r="F181" i="12" s="1"/>
  <c r="AN41" i="5" a="1"/>
  <c r="AN41" i="5" s="1"/>
  <c r="W41" i="5" a="1"/>
  <c r="W41" i="5" s="1"/>
  <c r="F93" i="12" a="1"/>
  <c r="F93" i="12" s="1"/>
  <c r="G93" i="6"/>
  <c r="W215" i="5" a="1"/>
  <c r="W215" i="5" s="1"/>
  <c r="AN215" i="5" a="1"/>
  <c r="AN215" i="5" s="1"/>
  <c r="AN67" i="5" a="1"/>
  <c r="AN67" i="5" s="1"/>
  <c r="W67" i="5" a="1"/>
  <c r="W67" i="5" s="1"/>
  <c r="F79" i="12" a="1"/>
  <c r="F79" i="12" s="1"/>
  <c r="G79" i="6"/>
  <c r="G54" i="6"/>
  <c r="F54" i="12" a="1"/>
  <c r="F54" i="12" s="1"/>
  <c r="F115" i="12" a="1"/>
  <c r="F115" i="12" s="1"/>
  <c r="G115" i="6"/>
  <c r="E126" i="12"/>
  <c r="F126" i="6"/>
  <c r="AN142" i="5" a="1"/>
  <c r="AN142" i="5" s="1"/>
  <c r="W142" i="5" a="1"/>
  <c r="W142" i="5" s="1"/>
  <c r="E90" i="12"/>
  <c r="F90" i="6"/>
  <c r="W191" i="5" a="1"/>
  <c r="W191" i="5" s="1"/>
  <c r="AN191" i="5" a="1"/>
  <c r="AN191" i="5" s="1"/>
  <c r="F29" i="12" a="1"/>
  <c r="F29" i="12" s="1"/>
  <c r="G29" i="6"/>
  <c r="E177" i="12"/>
  <c r="F177" i="6"/>
  <c r="AN66" i="5" a="1"/>
  <c r="AN66" i="5" s="1"/>
  <c r="W66" i="5" a="1"/>
  <c r="W66" i="5" s="1"/>
  <c r="W60" i="5" a="1"/>
  <c r="W60" i="5" s="1"/>
  <c r="AN60" i="5" a="1"/>
  <c r="AN60" i="5" s="1"/>
  <c r="F105" i="12" a="1"/>
  <c r="F105" i="12" s="1"/>
  <c r="G105" i="6"/>
  <c r="F35" i="6"/>
  <c r="E35" i="12"/>
  <c r="F33" i="6"/>
  <c r="E33" i="12"/>
  <c r="F131" i="6"/>
  <c r="E131" i="12"/>
  <c r="E119" i="12"/>
  <c r="F119" i="6"/>
  <c r="G218" i="6"/>
  <c r="F218" i="12" a="1"/>
  <c r="F218" i="12" s="1"/>
  <c r="AN135" i="5" a="1"/>
  <c r="AN135" i="5" s="1"/>
  <c r="W135" i="5" a="1"/>
  <c r="W135" i="5" s="1"/>
  <c r="G124" i="6"/>
  <c r="F124" i="12" a="1"/>
  <c r="F124" i="12" s="1"/>
  <c r="AN198" i="5" a="1"/>
  <c r="AN198" i="5" s="1"/>
  <c r="W198" i="5" a="1"/>
  <c r="W198" i="5" s="1"/>
  <c r="E34" i="12"/>
  <c r="F34" i="6"/>
  <c r="G85" i="6"/>
  <c r="F85" i="12" a="1"/>
  <c r="F85" i="12" s="1"/>
  <c r="W37" i="5" a="1"/>
  <c r="W37" i="5" s="1"/>
  <c r="AN37" i="5" a="1"/>
  <c r="AN37" i="5" s="1"/>
  <c r="F57" i="12" a="1"/>
  <c r="F57" i="12" s="1"/>
  <c r="G57" i="6"/>
  <c r="E98" i="12"/>
  <c r="F98" i="6"/>
  <c r="G46" i="6"/>
  <c r="F46" i="12" a="1"/>
  <c r="F46" i="12" s="1"/>
  <c r="F91" i="6"/>
  <c r="E91" i="12"/>
  <c r="E205" i="12"/>
  <c r="F205" i="6"/>
  <c r="F56" i="6"/>
  <c r="E56" i="12"/>
  <c r="E41" i="12"/>
  <c r="F41" i="6"/>
  <c r="F93" i="6"/>
  <c r="E93" i="12"/>
  <c r="E67" i="12"/>
  <c r="F67" i="6"/>
  <c r="E79" i="12"/>
  <c r="F79" i="6"/>
  <c r="AN152" i="5" a="1"/>
  <c r="AN152" i="5" s="1"/>
  <c r="W152" i="5" a="1"/>
  <c r="W152" i="5" s="1"/>
  <c r="E115" i="12"/>
  <c r="F115" i="6"/>
  <c r="AN126" i="5" a="1"/>
  <c r="AN126" i="5" s="1"/>
  <c r="W126" i="5" a="1"/>
  <c r="W126" i="5" s="1"/>
  <c r="W48" i="5" a="1"/>
  <c r="W48" i="5" s="1"/>
  <c r="AN48" i="5" a="1"/>
  <c r="AN48" i="5" s="1"/>
  <c r="AN90" i="5" a="1"/>
  <c r="AN90" i="5" s="1"/>
  <c r="W90" i="5" a="1"/>
  <c r="W90" i="5" s="1"/>
  <c r="F191" i="12" a="1"/>
  <c r="F191" i="12" s="1"/>
  <c r="G191" i="6"/>
  <c r="W188" i="5" a="1"/>
  <c r="W188" i="5" s="1"/>
  <c r="AN188" i="5" a="1"/>
  <c r="AN188" i="5" s="1"/>
  <c r="AN177" i="5" a="1"/>
  <c r="AN177" i="5" s="1"/>
  <c r="W177" i="5" a="1"/>
  <c r="W177" i="5" s="1"/>
  <c r="E66" i="12"/>
  <c r="F66" i="6"/>
  <c r="E73" i="12"/>
  <c r="F73" i="6"/>
  <c r="F105" i="6"/>
  <c r="E105" i="12"/>
  <c r="AN35" i="5" a="1"/>
  <c r="AN35" i="5" s="1"/>
  <c r="W35" i="5" a="1"/>
  <c r="W35" i="5" s="1"/>
  <c r="W47" i="5" a="1"/>
  <c r="W47" i="5" s="1"/>
  <c r="AN47" i="5" a="1"/>
  <c r="AN47" i="5" s="1"/>
  <c r="W143" i="5" a="1"/>
  <c r="W143" i="5" s="1"/>
  <c r="AN143" i="5" a="1"/>
  <c r="AN143" i="5" s="1"/>
  <c r="F113" i="6"/>
  <c r="E113" i="12"/>
  <c r="AN218" i="5" a="1"/>
  <c r="AN218" i="5" s="1"/>
  <c r="W218" i="5" a="1"/>
  <c r="W218" i="5" s="1"/>
  <c r="F135" i="6"/>
  <c r="E135" i="12"/>
  <c r="E80" i="12"/>
  <c r="F80" i="6"/>
  <c r="F198" i="6"/>
  <c r="E198" i="12"/>
  <c r="AN34" i="5" a="1"/>
  <c r="AN34" i="5" s="1"/>
  <c r="W34" i="5" a="1"/>
  <c r="W34" i="5" s="1"/>
  <c r="AN229" i="5" a="1"/>
  <c r="AN229" i="5" s="1"/>
  <c r="W229" i="5" a="1"/>
  <c r="W229" i="5" s="1"/>
  <c r="F37" i="6"/>
  <c r="E37" i="12"/>
  <c r="AN57" i="5" a="1"/>
  <c r="AN57" i="5" s="1"/>
  <c r="W57" i="5" a="1"/>
  <c r="W57" i="5" s="1"/>
  <c r="F189" i="12" a="1"/>
  <c r="F189" i="12" s="1"/>
  <c r="G189" i="6"/>
  <c r="E46" i="12"/>
  <c r="F46" i="6"/>
  <c r="F91" i="12" a="1"/>
  <c r="F91" i="12" s="1"/>
  <c r="G91" i="6"/>
  <c r="W109" i="5" a="1"/>
  <c r="W109" i="5" s="1"/>
  <c r="AN109" i="5" a="1"/>
  <c r="AN109" i="5" s="1"/>
  <c r="F56" i="12" a="1"/>
  <c r="F56" i="12" s="1"/>
  <c r="G56" i="6"/>
  <c r="F41" i="12" a="1"/>
  <c r="F41" i="12" s="1"/>
  <c r="G41" i="6"/>
  <c r="AN72" i="5" a="1"/>
  <c r="AN72" i="5" s="1"/>
  <c r="W72" i="5" a="1"/>
  <c r="W72" i="5" s="1"/>
  <c r="F68" i="12" a="1"/>
  <c r="F68" i="12" s="1"/>
  <c r="G68" i="6"/>
  <c r="G67" i="6"/>
  <c r="F67" i="12" a="1"/>
  <c r="F67" i="12" s="1"/>
  <c r="AN148" i="5" a="1"/>
  <c r="AN148" i="5" s="1"/>
  <c r="W148" i="5" a="1"/>
  <c r="W148" i="5" s="1"/>
  <c r="F152" i="6"/>
  <c r="E152" i="12"/>
  <c r="W115" i="5" a="1"/>
  <c r="W115" i="5" s="1"/>
  <c r="AN115" i="5" a="1"/>
  <c r="AN115" i="5" s="1"/>
  <c r="AN87" i="5" a="1"/>
  <c r="AN87" i="5" s="1"/>
  <c r="W87" i="5" a="1"/>
  <c r="W87" i="5" s="1"/>
  <c r="F48" i="6"/>
  <c r="E48" i="12"/>
  <c r="G90" i="6"/>
  <c r="F90" i="12" a="1"/>
  <c r="F90" i="12" s="1"/>
  <c r="AN238" i="5" a="1"/>
  <c r="AN238" i="5" s="1"/>
  <c r="W238" i="5" a="1"/>
  <c r="W238" i="5" s="1"/>
  <c r="F188" i="6"/>
  <c r="E188" i="12"/>
  <c r="F177" i="12" a="1"/>
  <c r="F177" i="12" s="1"/>
  <c r="G177" i="6"/>
  <c r="G99" i="6"/>
  <c r="F99" i="12" a="1"/>
  <c r="F99" i="12" s="1"/>
  <c r="F73" i="12" a="1"/>
  <c r="F73" i="12" s="1"/>
  <c r="G73" i="6"/>
  <c r="W105" i="5" a="1"/>
  <c r="W105" i="5" s="1"/>
  <c r="AN105" i="5" a="1"/>
  <c r="AN105" i="5" s="1"/>
  <c r="W21" i="5" a="1"/>
  <c r="W21" i="5" s="1"/>
  <c r="AN21" i="5" a="1"/>
  <c r="AN21" i="5" s="1"/>
  <c r="F86" i="12" a="1"/>
  <c r="F86" i="12" s="1"/>
  <c r="G86" i="6"/>
  <c r="F228" i="6"/>
  <c r="E228" i="12"/>
  <c r="W80" i="5" a="1"/>
  <c r="W80" i="5" s="1"/>
  <c r="AN80" i="5" a="1"/>
  <c r="AN80" i="5" s="1"/>
  <c r="F198" i="12" a="1"/>
  <c r="F198" i="12" s="1"/>
  <c r="G198" i="6"/>
  <c r="AN39" i="5" a="1"/>
  <c r="AN39" i="5" s="1"/>
  <c r="W39" i="5" a="1"/>
  <c r="W39" i="5" s="1"/>
  <c r="F229" i="6"/>
  <c r="E229" i="12"/>
  <c r="F37" i="12" a="1"/>
  <c r="F37" i="12" s="1"/>
  <c r="G37" i="6"/>
  <c r="AN30" i="5" a="1"/>
  <c r="AN30" i="5" s="1"/>
  <c r="W30" i="5" a="1"/>
  <c r="W30" i="5" s="1"/>
  <c r="AN189" i="5" a="1"/>
  <c r="AN189" i="5" s="1"/>
  <c r="W189" i="5" a="1"/>
  <c r="W189" i="5" s="1"/>
  <c r="AN46" i="5" a="1"/>
  <c r="AN46" i="5" s="1"/>
  <c r="W46" i="5" a="1"/>
  <c r="W46" i="5" s="1"/>
  <c r="F49" i="12" a="1"/>
  <c r="F49" i="12" s="1"/>
  <c r="G49" i="6"/>
  <c r="F109" i="6"/>
  <c r="E109" i="12"/>
  <c r="W56" i="5" a="1"/>
  <c r="W56" i="5" s="1"/>
  <c r="AN56" i="5" a="1"/>
  <c r="AN56" i="5" s="1"/>
  <c r="W236" i="5" a="1"/>
  <c r="W236" i="5" s="1"/>
  <c r="AN236" i="5" a="1"/>
  <c r="AN236" i="5" s="1"/>
  <c r="E72" i="12"/>
  <c r="F72" i="6"/>
  <c r="E68" i="12"/>
  <c r="F68" i="6"/>
  <c r="AC68" i="5" a="1"/>
  <c r="AC68" i="5" s="1"/>
  <c r="W186" i="5" a="1"/>
  <c r="W186" i="5" s="1"/>
  <c r="AN186" i="5" a="1"/>
  <c r="AN186" i="5" s="1"/>
  <c r="F148" i="12" a="1"/>
  <c r="F148" i="12" s="1"/>
  <c r="G148" i="6"/>
  <c r="G152" i="6"/>
  <c r="F152" i="12" a="1"/>
  <c r="F152" i="12" s="1"/>
  <c r="E137" i="12"/>
  <c r="F137" i="6"/>
  <c r="F87" i="12" a="1"/>
  <c r="F87" i="12" s="1"/>
  <c r="G87" i="6"/>
  <c r="F48" i="12" a="1"/>
  <c r="F48" i="12" s="1"/>
  <c r="G48" i="6"/>
  <c r="F146" i="6"/>
  <c r="E146" i="12"/>
  <c r="F238" i="12" a="1"/>
  <c r="F238" i="12" s="1"/>
  <c r="G238" i="6"/>
  <c r="G188" i="6"/>
  <c r="F188" i="12" a="1"/>
  <c r="F188" i="12" s="1"/>
  <c r="W213" i="5" a="1"/>
  <c r="W213" i="5" s="1"/>
  <c r="AN213" i="5" a="1"/>
  <c r="AN213" i="5" s="1"/>
  <c r="F99" i="6"/>
  <c r="E99" i="12"/>
  <c r="AN73" i="5" a="1"/>
  <c r="AN73" i="5" s="1"/>
  <c r="W73" i="5" a="1"/>
  <c r="W73" i="5" s="1"/>
  <c r="W117" i="5" a="1"/>
  <c r="W117" i="5" s="1"/>
  <c r="AN117" i="5" a="1"/>
  <c r="AN117" i="5" s="1"/>
  <c r="F21" i="6"/>
  <c r="E21" i="12"/>
  <c r="F58" i="12" a="1"/>
  <c r="F58" i="12" s="1"/>
  <c r="G58" i="6"/>
  <c r="AN113" i="5" a="1"/>
  <c r="AN113" i="5" s="1"/>
  <c r="W113" i="5" a="1"/>
  <c r="W113" i="5" s="1"/>
  <c r="W217" i="5" a="1"/>
  <c r="W217" i="5" s="1"/>
  <c r="AN217" i="5" a="1"/>
  <c r="AN217" i="5" s="1"/>
  <c r="G209" i="6"/>
  <c r="F209" i="12" a="1"/>
  <c r="F209" i="12" s="1"/>
  <c r="F80" i="12" a="1"/>
  <c r="F80" i="12" s="1"/>
  <c r="G80" i="6"/>
  <c r="F125" i="6"/>
  <c r="E125" i="12"/>
  <c r="G39" i="6"/>
  <c r="F39" i="12" a="1"/>
  <c r="F39" i="12" s="1"/>
  <c r="F229" i="12" a="1"/>
  <c r="F229" i="12" s="1"/>
  <c r="G229" i="6"/>
  <c r="F32" i="6"/>
  <c r="E32" i="12"/>
  <c r="E30" i="12"/>
  <c r="F30" i="6"/>
  <c r="E189" i="12"/>
  <c r="F189" i="6"/>
  <c r="F159" i="6"/>
  <c r="E159" i="12"/>
  <c r="F49" i="6"/>
  <c r="E49" i="12"/>
  <c r="F109" i="12" a="1"/>
  <c r="F109" i="12" s="1"/>
  <c r="G109" i="6"/>
  <c r="E44" i="12"/>
  <c r="F44" i="6"/>
  <c r="G236" i="6"/>
  <c r="F236" i="12" a="1"/>
  <c r="F236" i="12" s="1"/>
  <c r="G72" i="6"/>
  <c r="F72" i="12" a="1"/>
  <c r="F72" i="12" s="1"/>
  <c r="F23" i="6"/>
  <c r="E23" i="12"/>
  <c r="G186" i="6"/>
  <c r="F186" i="12" a="1"/>
  <c r="F186" i="12" s="1"/>
  <c r="F148" i="6"/>
  <c r="E148" i="12"/>
  <c r="W239" i="5" a="1"/>
  <c r="W239" i="5" s="1"/>
  <c r="AN239" i="5" a="1"/>
  <c r="AN239" i="5" s="1"/>
  <c r="F137" i="12" a="1"/>
  <c r="F137" i="12" s="1"/>
  <c r="G137" i="6"/>
  <c r="E87" i="12"/>
  <c r="F87" i="6"/>
  <c r="F212" i="12" a="1"/>
  <c r="F212" i="12" s="1"/>
  <c r="G212" i="6"/>
  <c r="F146" i="12" a="1"/>
  <c r="F146" i="12" s="1"/>
  <c r="G146" i="6"/>
  <c r="E238" i="12"/>
  <c r="F238" i="6"/>
  <c r="F220" i="12" a="1"/>
  <c r="F220" i="12" s="1"/>
  <c r="G220" i="6"/>
  <c r="F213" i="12" a="1"/>
  <c r="F213" i="12" s="1"/>
  <c r="G213" i="6"/>
  <c r="W99" i="5" a="1"/>
  <c r="W99" i="5" s="1"/>
  <c r="AN99" i="5" a="1"/>
  <c r="AN99" i="5" s="1"/>
  <c r="W43" i="5" a="1"/>
  <c r="W43" i="5" s="1"/>
  <c r="AN43" i="5" a="1"/>
  <c r="AN43" i="5" s="1"/>
  <c r="F117" i="6"/>
  <c r="E117" i="12"/>
  <c r="F21" i="12" a="1"/>
  <c r="F21" i="12" s="1"/>
  <c r="G21" i="6"/>
  <c r="F154" i="6"/>
  <c r="E154" i="12"/>
  <c r="F95" i="6"/>
  <c r="E95" i="12"/>
  <c r="F217" i="6"/>
  <c r="E217" i="12"/>
  <c r="F39" i="6"/>
  <c r="E39" i="12"/>
  <c r="W32" i="5" a="1"/>
  <c r="W32" i="5" s="1"/>
  <c r="AN32" i="5" a="1"/>
  <c r="AN32" i="5" s="1"/>
  <c r="G30" i="6"/>
  <c r="F30" i="12" a="1"/>
  <c r="F30" i="12" s="1"/>
  <c r="W19" i="5" a="1"/>
  <c r="W19" i="5" s="1"/>
  <c r="AN19" i="5" a="1"/>
  <c r="AN19" i="5" s="1"/>
  <c r="W159" i="5" a="1"/>
  <c r="W159" i="5" s="1"/>
  <c r="AN159" i="5" a="1"/>
  <c r="AN159" i="5" s="1"/>
  <c r="AN49" i="5" a="1"/>
  <c r="AN49" i="5" s="1"/>
  <c r="W49" i="5" a="1"/>
  <c r="W49" i="5" s="1"/>
  <c r="F163" i="12" a="1"/>
  <c r="F163" i="12" s="1"/>
  <c r="G163" i="6"/>
  <c r="W44" i="5" a="1"/>
  <c r="W44" i="5" s="1"/>
  <c r="AN44" i="5" a="1"/>
  <c r="AN44" i="5" s="1"/>
  <c r="F236" i="6"/>
  <c r="E236" i="12"/>
  <c r="F192" i="6"/>
  <c r="E192" i="12"/>
  <c r="F23" i="12" a="1"/>
  <c r="F23" i="12" s="1"/>
  <c r="G23" i="6"/>
  <c r="E186" i="12"/>
  <c r="F186" i="6"/>
  <c r="W149" i="5" a="1"/>
  <c r="W149" i="5" s="1"/>
  <c r="AN149" i="5" a="1"/>
  <c r="AN149" i="5" s="1"/>
  <c r="E239" i="12"/>
  <c r="F239" i="6"/>
  <c r="W137" i="5" a="1"/>
  <c r="W137" i="5" s="1"/>
  <c r="AN137" i="5" a="1"/>
  <c r="AN137" i="5" s="1"/>
  <c r="W183" i="5" a="1"/>
  <c r="W183" i="5" s="1"/>
  <c r="AN183" i="5" a="1"/>
  <c r="AN183" i="5" s="1"/>
  <c r="W212" i="5" a="1"/>
  <c r="W212" i="5" s="1"/>
  <c r="AN212" i="5" a="1"/>
  <c r="AN212" i="5" s="1"/>
  <c r="AN146" i="5" a="1"/>
  <c r="AN146" i="5" s="1"/>
  <c r="W146" i="5" a="1"/>
  <c r="W146" i="5" s="1"/>
  <c r="W83" i="5" a="1"/>
  <c r="W83" i="5" s="1"/>
  <c r="AN83" i="5" a="1"/>
  <c r="AN83" i="5" s="1"/>
  <c r="F220" i="6"/>
  <c r="E220" i="12"/>
  <c r="F213" i="6"/>
  <c r="E213" i="12"/>
  <c r="E64" i="12"/>
  <c r="F64" i="6"/>
  <c r="E43" i="12"/>
  <c r="F43" i="6"/>
  <c r="G117" i="6"/>
  <c r="F117" i="12" a="1"/>
  <c r="F117" i="12" s="1"/>
  <c r="W165" i="5" a="1"/>
  <c r="W165" i="5" s="1"/>
  <c r="AN165" i="5" a="1"/>
  <c r="AN165" i="5" s="1"/>
  <c r="F195" i="6"/>
  <c r="E195" i="12"/>
  <c r="G65" i="6"/>
  <c r="F65" i="12" a="1"/>
  <c r="F65" i="12" s="1"/>
  <c r="F97" i="12" a="1"/>
  <c r="F97" i="12" s="1"/>
  <c r="G97" i="6"/>
  <c r="F135" i="12" a="1"/>
  <c r="F135" i="12" s="1"/>
  <c r="G135" i="6"/>
  <c r="F208" i="12" a="1"/>
  <c r="F208" i="12" s="1"/>
  <c r="G208" i="6"/>
  <c r="E96" i="12"/>
  <c r="F96" i="6"/>
  <c r="F217" i="12" a="1"/>
  <c r="F217" i="12" s="1"/>
  <c r="G217" i="6"/>
  <c r="E28" i="12"/>
  <c r="F28" i="6"/>
  <c r="G147" i="6"/>
  <c r="F147" i="12" a="1"/>
  <c r="F147" i="12" s="1"/>
  <c r="AN125" i="5" a="1"/>
  <c r="AN125" i="5" s="1"/>
  <c r="W125" i="5" a="1"/>
  <c r="W125" i="5" s="1"/>
  <c r="F51" i="6"/>
  <c r="E51" i="12"/>
  <c r="E208" i="12"/>
  <c r="F208" i="6"/>
  <c r="F32" i="12" a="1"/>
  <c r="F32" i="12" s="1"/>
  <c r="G32" i="6"/>
  <c r="E233" i="12"/>
  <c r="F233" i="6"/>
  <c r="F19" i="12" a="1"/>
  <c r="F19" i="12" s="1"/>
  <c r="G19" i="6"/>
  <c r="G159" i="6"/>
  <c r="F159" i="12" a="1"/>
  <c r="F159" i="12" s="1"/>
  <c r="F156" i="6"/>
  <c r="E156" i="12"/>
  <c r="F163" i="6"/>
  <c r="E163" i="12"/>
  <c r="F44" i="12" a="1"/>
  <c r="F44" i="12" s="1"/>
  <c r="G44" i="6"/>
  <c r="AN53" i="5" a="1"/>
  <c r="AN53" i="5" s="1"/>
  <c r="W53" i="5" a="1"/>
  <c r="W53" i="5" s="1"/>
  <c r="W192" i="5" a="1"/>
  <c r="W192" i="5" s="1"/>
  <c r="AN192" i="5" a="1"/>
  <c r="AN192" i="5" s="1"/>
  <c r="W23" i="5" a="1"/>
  <c r="W23" i="5" s="1"/>
  <c r="AN23" i="5" a="1"/>
  <c r="AN23" i="5" s="1"/>
  <c r="AN61" i="5" a="1"/>
  <c r="AN61" i="5" s="1"/>
  <c r="W61" i="5" a="1"/>
  <c r="W61" i="5" s="1"/>
  <c r="E149" i="12"/>
  <c r="F149" i="6"/>
  <c r="G239" i="6"/>
  <c r="F239" i="12" a="1"/>
  <c r="F239" i="12" s="1"/>
  <c r="AN168" i="5" a="1"/>
  <c r="AN168" i="5" s="1"/>
  <c r="W168" i="5" a="1"/>
  <c r="W168" i="5" s="1"/>
  <c r="F183" i="12" a="1"/>
  <c r="F183" i="12" s="1"/>
  <c r="G183" i="6"/>
  <c r="F212" i="6"/>
  <c r="E212" i="12"/>
  <c r="F139" i="12" a="1"/>
  <c r="F139" i="12" s="1"/>
  <c r="G139" i="6"/>
  <c r="E83" i="12"/>
  <c r="F83" i="6"/>
  <c r="AN220" i="5" a="1"/>
  <c r="AN220" i="5" s="1"/>
  <c r="W220" i="5" a="1"/>
  <c r="W220" i="5" s="1"/>
  <c r="E221" i="12"/>
  <c r="F221" i="6"/>
  <c r="F64" i="12" a="1"/>
  <c r="F64" i="12" s="1"/>
  <c r="G64" i="6"/>
  <c r="F43" i="12" a="1"/>
  <c r="F43" i="12" s="1"/>
  <c r="G43" i="6"/>
  <c r="F134" i="12" a="1"/>
  <c r="F134" i="12" s="1"/>
  <c r="G134" i="6"/>
  <c r="G165" i="6"/>
  <c r="F165" i="12" a="1"/>
  <c r="F165" i="12" s="1"/>
  <c r="W164" i="5" a="1"/>
  <c r="W164" i="5" s="1"/>
  <c r="AN164" i="5" a="1"/>
  <c r="AN164" i="5" s="1"/>
  <c r="F167" i="6"/>
  <c r="E167" i="12"/>
  <c r="AN209" i="5" a="1"/>
  <c r="AN209" i="5" s="1"/>
  <c r="W209" i="5" a="1"/>
  <c r="W209" i="5" s="1"/>
  <c r="G125" i="6"/>
  <c r="F125" i="12" a="1"/>
  <c r="F125" i="12" s="1"/>
  <c r="W96" i="5" a="1"/>
  <c r="W96" i="5" s="1"/>
  <c r="AN96" i="5" a="1"/>
  <c r="AN96" i="5" s="1"/>
  <c r="W184" i="5" a="1"/>
  <c r="W184" i="5" s="1"/>
  <c r="AN184" i="5" a="1"/>
  <c r="AN184" i="5" s="1"/>
  <c r="W28" i="5" a="1"/>
  <c r="W28" i="5" s="1"/>
  <c r="AN28" i="5" a="1"/>
  <c r="AN28" i="5" s="1"/>
  <c r="W147" i="5" a="1"/>
  <c r="W147" i="5" s="1"/>
  <c r="AN147" i="5" a="1"/>
  <c r="AN147" i="5" s="1"/>
  <c r="E102" i="12"/>
  <c r="F102" i="6"/>
  <c r="F51" i="12" a="1"/>
  <c r="F51" i="12" s="1"/>
  <c r="G51" i="6"/>
  <c r="W208" i="5" a="1"/>
  <c r="W208" i="5" s="1"/>
  <c r="AN208" i="5" a="1"/>
  <c r="AN208" i="5" s="1"/>
  <c r="E88" i="12"/>
  <c r="F88" i="6"/>
  <c r="W233" i="5" a="1"/>
  <c r="W233" i="5" s="1"/>
  <c r="AN233" i="5" a="1"/>
  <c r="AN233" i="5" s="1"/>
  <c r="F19" i="6"/>
  <c r="E19" i="12"/>
  <c r="W70" i="5" a="1"/>
  <c r="W70" i="5" s="1"/>
  <c r="AN70" i="5" a="1"/>
  <c r="AN70" i="5" s="1"/>
  <c r="F156" i="12" a="1"/>
  <c r="F156" i="12" s="1"/>
  <c r="G156" i="6"/>
  <c r="W163" i="5" a="1"/>
  <c r="W163" i="5" s="1"/>
  <c r="AN163" i="5" a="1"/>
  <c r="AN163" i="5" s="1"/>
  <c r="W69" i="5" a="1"/>
  <c r="W69" i="5" s="1"/>
  <c r="AN69" i="5" a="1"/>
  <c r="AN69" i="5" s="1"/>
  <c r="G53" i="6"/>
  <c r="F53" i="12" a="1"/>
  <c r="F53" i="12" s="1"/>
  <c r="G192" i="6"/>
  <c r="F192" i="12" a="1"/>
  <c r="F192" i="12" s="1"/>
  <c r="E144" i="12"/>
  <c r="F144" i="6"/>
  <c r="F61" i="12" a="1"/>
  <c r="F61" i="12" s="1"/>
  <c r="G61" i="6"/>
  <c r="F149" i="12" a="1"/>
  <c r="F149" i="12" s="1"/>
  <c r="G149" i="6"/>
  <c r="E36" i="12"/>
  <c r="F36" i="6"/>
  <c r="F168" i="12" a="1"/>
  <c r="F168" i="12" s="1"/>
  <c r="G168" i="6"/>
  <c r="E183" i="12"/>
  <c r="F183" i="6"/>
  <c r="AN237" i="5" a="1"/>
  <c r="AN237" i="5" s="1"/>
  <c r="W237" i="5" a="1"/>
  <c r="W237" i="5" s="1"/>
  <c r="F139" i="6"/>
  <c r="E139" i="12"/>
  <c r="F83" i="12" a="1"/>
  <c r="F83" i="12" s="1"/>
  <c r="G83" i="6"/>
  <c r="F171" i="6"/>
  <c r="E171" i="12"/>
  <c r="W221" i="5" a="1"/>
  <c r="W221" i="5" s="1"/>
  <c r="AN221" i="5" a="1"/>
  <c r="AN221" i="5" s="1"/>
  <c r="W64" i="5" a="1"/>
  <c r="W64" i="5" s="1"/>
  <c r="AN64" i="5" a="1"/>
  <c r="AN64" i="5" s="1"/>
  <c r="AN101" i="5" a="1"/>
  <c r="AN101" i="5" s="1"/>
  <c r="W101" i="5" a="1"/>
  <c r="W101" i="5" s="1"/>
  <c r="E134" i="12"/>
  <c r="F134" i="6"/>
  <c r="F165" i="6"/>
  <c r="E165" i="12"/>
  <c r="W136" i="5" a="1"/>
  <c r="W136" i="5" s="1"/>
  <c r="AN136" i="5" a="1"/>
  <c r="AN136" i="5" s="1"/>
  <c r="E202" i="12"/>
  <c r="F202" i="6"/>
  <c r="E150" i="12"/>
  <c r="F150" i="6"/>
  <c r="AN119" i="5" a="1"/>
  <c r="AN119" i="5" s="1"/>
  <c r="W119" i="5" a="1"/>
  <c r="W119" i="5" s="1"/>
  <c r="E218" i="12"/>
  <c r="F218" i="6"/>
  <c r="E147" i="12"/>
  <c r="F147" i="6"/>
  <c r="G155" i="6"/>
  <c r="F155" i="12" a="1"/>
  <c r="F155" i="12" s="1"/>
  <c r="F184" i="12" a="1"/>
  <c r="F184" i="12" s="1"/>
  <c r="G184" i="6"/>
  <c r="G28" i="6"/>
  <c r="F28" i="12" a="1"/>
  <c r="F28" i="12" s="1"/>
  <c r="F187" i="12" a="1"/>
  <c r="F187" i="12" s="1"/>
  <c r="G187" i="6"/>
  <c r="AN102" i="5" a="1"/>
  <c r="AN102" i="5" s="1"/>
  <c r="W102" i="5" a="1"/>
  <c r="W102" i="5" s="1"/>
  <c r="AN51" i="5" a="1"/>
  <c r="AN51" i="5" s="1"/>
  <c r="W51" i="5" a="1"/>
  <c r="W51" i="5" s="1"/>
  <c r="F27" i="6"/>
  <c r="E27" i="12"/>
  <c r="F88" i="12" a="1"/>
  <c r="F88" i="12" s="1"/>
  <c r="G88" i="6"/>
  <c r="F233" i="12" a="1"/>
  <c r="F233" i="12" s="1"/>
  <c r="G233" i="6"/>
  <c r="F207" i="12" a="1"/>
  <c r="F207" i="12" s="1"/>
  <c r="G207" i="6"/>
  <c r="F70" i="12" a="1"/>
  <c r="F70" i="12" s="1"/>
  <c r="G70" i="6"/>
  <c r="W156" i="5" a="1"/>
  <c r="W156" i="5" s="1"/>
  <c r="AN156" i="5" a="1"/>
  <c r="AN156" i="5" s="1"/>
  <c r="F74" i="6"/>
  <c r="E74" i="12"/>
  <c r="G69" i="6"/>
  <c r="F69" i="12" a="1"/>
  <c r="F69" i="12" s="1"/>
  <c r="F53" i="6"/>
  <c r="E53" i="12"/>
  <c r="E118" i="12"/>
  <c r="F118" i="6"/>
  <c r="W144" i="5" a="1"/>
  <c r="W144" i="5" s="1"/>
  <c r="AN144" i="5" a="1"/>
  <c r="AN144" i="5" s="1"/>
  <c r="F61" i="6"/>
  <c r="E61" i="12"/>
  <c r="AN38" i="5" a="1"/>
  <c r="AN38" i="5" s="1"/>
  <c r="W38" i="5" a="1"/>
  <c r="W38" i="5" s="1"/>
  <c r="G36" i="6"/>
  <c r="F36" i="12" a="1"/>
  <c r="F36" i="12" s="1"/>
  <c r="F168" i="6"/>
  <c r="E168" i="12"/>
  <c r="W145" i="5" a="1"/>
  <c r="W145" i="5" s="1"/>
  <c r="AN145" i="5" a="1"/>
  <c r="AN145" i="5" s="1"/>
  <c r="G237" i="6"/>
  <c r="F237" i="12" a="1"/>
  <c r="F237" i="12" s="1"/>
  <c r="AN139" i="5" a="1"/>
  <c r="AN139" i="5" s="1"/>
  <c r="W139" i="5" a="1"/>
  <c r="W139" i="5" s="1"/>
  <c r="E224" i="12"/>
  <c r="F224" i="6"/>
  <c r="W171" i="5" a="1"/>
  <c r="W171" i="5" s="1"/>
  <c r="AN171" i="5" a="1"/>
  <c r="AN171" i="5" s="1"/>
  <c r="F221" i="12" a="1"/>
  <c r="F221" i="12" s="1"/>
  <c r="G221" i="6"/>
  <c r="F170" i="12" a="1"/>
  <c r="F170" i="12" s="1"/>
  <c r="G170" i="6"/>
  <c r="F101" i="6"/>
  <c r="E101" i="12"/>
  <c r="AN134" i="5" a="1"/>
  <c r="AN134" i="5" s="1"/>
  <c r="W134" i="5" a="1"/>
  <c r="W134" i="5" s="1"/>
  <c r="E199" i="12"/>
  <c r="F199" i="6"/>
  <c r="W173" i="5" a="1"/>
  <c r="W173" i="5" s="1"/>
  <c r="AN173" i="5" a="1"/>
  <c r="AN173" i="5" s="1"/>
  <c r="F167" i="12" a="1"/>
  <c r="F167" i="12" s="1"/>
  <c r="G167" i="6"/>
  <c r="F209" i="6"/>
  <c r="E209" i="12"/>
  <c r="F96" i="12" a="1"/>
  <c r="F96" i="12" s="1"/>
  <c r="G96" i="6"/>
  <c r="F155" i="6"/>
  <c r="E155" i="12"/>
  <c r="F184" i="6"/>
  <c r="E184" i="12"/>
  <c r="G110" i="6"/>
  <c r="F110" i="12" a="1"/>
  <c r="F110" i="12" s="1"/>
  <c r="AN187" i="5" a="1"/>
  <c r="AN187" i="5" s="1"/>
  <c r="W187" i="5" a="1"/>
  <c r="W187" i="5" s="1"/>
  <c r="F102" i="12" a="1"/>
  <c r="F102" i="12" s="1"/>
  <c r="G102" i="6"/>
  <c r="G81" i="6"/>
  <c r="F81" i="12" a="1"/>
  <c r="F81" i="12" s="1"/>
  <c r="AN27" i="5" a="1"/>
  <c r="AN27" i="5" s="1"/>
  <c r="W27" i="5" a="1"/>
  <c r="W27" i="5" s="1"/>
  <c r="W88" i="5" a="1"/>
  <c r="W88" i="5" s="1"/>
  <c r="AN88" i="5" a="1"/>
  <c r="AN88" i="5" s="1"/>
  <c r="W123" i="5" a="1"/>
  <c r="W123" i="5" s="1"/>
  <c r="AN123" i="5" a="1"/>
  <c r="AN123" i="5" s="1"/>
  <c r="F207" i="6"/>
  <c r="E207" i="12"/>
  <c r="E70" i="12"/>
  <c r="F70" i="6"/>
  <c r="F129" i="6"/>
  <c r="E129" i="12"/>
  <c r="G74" i="6"/>
  <c r="F74" i="12" a="1"/>
  <c r="F74" i="12" s="1"/>
  <c r="F69" i="6"/>
  <c r="E69" i="12"/>
  <c r="W65" i="5" a="1"/>
  <c r="W65" i="5" s="1"/>
  <c r="AN65" i="5" a="1"/>
  <c r="AN65" i="5" s="1"/>
  <c r="F118" i="12" a="1"/>
  <c r="F118" i="12" s="1"/>
  <c r="G118" i="6"/>
  <c r="G144" i="6"/>
  <c r="F144" i="12" a="1"/>
  <c r="F144" i="12" s="1"/>
  <c r="W161" i="5" a="1"/>
  <c r="W161" i="5" s="1"/>
  <c r="AN161" i="5" a="1"/>
  <c r="AN161" i="5" s="1"/>
  <c r="E38" i="12"/>
  <c r="F38" i="6"/>
  <c r="W36" i="5" a="1"/>
  <c r="W36" i="5" s="1"/>
  <c r="AN36" i="5" a="1"/>
  <c r="AN36" i="5" s="1"/>
  <c r="F47" i="6"/>
  <c r="E47" i="12"/>
  <c r="E145" i="12"/>
  <c r="F145" i="6"/>
  <c r="F237" i="6"/>
  <c r="E237" i="12"/>
  <c r="G76" i="6"/>
  <c r="F76" i="12" a="1"/>
  <c r="F76" i="12" s="1"/>
  <c r="AN224" i="5" a="1"/>
  <c r="AN224" i="5" s="1"/>
  <c r="W224" i="5" a="1"/>
  <c r="W224" i="5" s="1"/>
  <c r="G171" i="6"/>
  <c r="F171" i="12" a="1"/>
  <c r="F171" i="12" s="1"/>
  <c r="AN58" i="5" a="1"/>
  <c r="AN58" i="5" s="1"/>
  <c r="W58" i="5" a="1"/>
  <c r="W58" i="5" s="1"/>
  <c r="E170" i="12"/>
  <c r="F170" i="6"/>
  <c r="F101" i="12" a="1"/>
  <c r="F101" i="12" s="1"/>
  <c r="G101" i="6"/>
  <c r="W97" i="5" a="1"/>
  <c r="W97" i="5" s="1"/>
  <c r="AN97" i="5" a="1"/>
  <c r="AN97" i="5" s="1"/>
  <c r="AN199" i="5" a="1"/>
  <c r="AN199" i="5" s="1"/>
  <c r="W199" i="5" a="1"/>
  <c r="W199" i="5" s="1"/>
  <c r="E42" i="12"/>
  <c r="F42" i="6"/>
  <c r="AN201" i="5" a="1"/>
  <c r="AN201" i="5" s="1"/>
  <c r="W201" i="5" a="1"/>
  <c r="W201" i="5" s="1"/>
  <c r="G113" i="6"/>
  <c r="F113" i="12" a="1"/>
  <c r="F113" i="12" s="1"/>
  <c r="W155" i="5" a="1"/>
  <c r="W155" i="5" s="1"/>
  <c r="AN155" i="5" a="1"/>
  <c r="AN155" i="5" s="1"/>
  <c r="F154" i="12" a="1"/>
  <c r="F154" i="12" s="1"/>
  <c r="G154" i="6"/>
  <c r="W110" i="5" a="1"/>
  <c r="W110" i="5" s="1"/>
  <c r="AN110" i="5" a="1"/>
  <c r="AN110" i="5" s="1"/>
  <c r="F187" i="6"/>
  <c r="E187" i="12"/>
  <c r="E157" i="12"/>
  <c r="F157" i="6"/>
  <c r="E81" i="12"/>
  <c r="F81" i="6"/>
  <c r="G27" i="6"/>
  <c r="F27" i="12" a="1"/>
  <c r="F27" i="12" s="1"/>
  <c r="AN195" i="5" a="1"/>
  <c r="AN195" i="5" s="1"/>
  <c r="W195" i="5" a="1"/>
  <c r="W195" i="5" s="1"/>
  <c r="F123" i="6"/>
  <c r="E123" i="12"/>
  <c r="W207" i="5" a="1"/>
  <c r="W207" i="5" s="1"/>
  <c r="AN207" i="5" a="1"/>
  <c r="AN207" i="5" s="1"/>
  <c r="AN182" i="5" a="1"/>
  <c r="AN182" i="5" s="1"/>
  <c r="W182" i="5" a="1"/>
  <c r="W182" i="5" s="1"/>
  <c r="W129" i="5" a="1"/>
  <c r="W129" i="5" s="1"/>
  <c r="AN129" i="5" a="1"/>
  <c r="AN129" i="5" s="1"/>
  <c r="AN74" i="5" a="1"/>
  <c r="AN74" i="5" s="1"/>
  <c r="W74" i="5" a="1"/>
  <c r="W74" i="5" s="1"/>
  <c r="E138" i="12"/>
  <c r="F138" i="6"/>
  <c r="E65" i="12"/>
  <c r="F65" i="6"/>
  <c r="AN118" i="5" a="1"/>
  <c r="AN118" i="5" s="1"/>
  <c r="W118" i="5" a="1"/>
  <c r="W118" i="5" s="1"/>
  <c r="F173" i="12" a="1"/>
  <c r="F173" i="12" s="1"/>
  <c r="G173" i="6"/>
  <c r="G161" i="6"/>
  <c r="F161" i="12" a="1"/>
  <c r="F161" i="12" s="1"/>
  <c r="F38" i="12" a="1"/>
  <c r="F38" i="12" s="1"/>
  <c r="G38" i="6"/>
  <c r="AN95" i="5" a="1"/>
  <c r="AN95" i="5" s="1"/>
  <c r="W95" i="5" a="1"/>
  <c r="W95" i="5" s="1"/>
  <c r="G47" i="6"/>
  <c r="F47" i="12" a="1"/>
  <c r="F47" i="12" s="1"/>
  <c r="F145" i="12" a="1"/>
  <c r="F145" i="12" s="1"/>
  <c r="G145" i="6"/>
  <c r="AN178" i="5" a="1"/>
  <c r="AN178" i="5" s="1"/>
  <c r="W178" i="5" a="1"/>
  <c r="W178" i="5" s="1"/>
  <c r="W76" i="5" a="1"/>
  <c r="W76" i="5" s="1"/>
  <c r="AN76" i="5" a="1"/>
  <c r="AN76" i="5" s="1"/>
  <c r="G224" i="6"/>
  <c r="F224" i="12" a="1"/>
  <c r="F224" i="12" s="1"/>
  <c r="G201" i="6"/>
  <c r="F201" i="12" a="1"/>
  <c r="F201" i="12" s="1"/>
  <c r="F58" i="6"/>
  <c r="E58" i="12"/>
  <c r="AN170" i="5" a="1"/>
  <c r="AN170" i="5" s="1"/>
  <c r="W170" i="5" a="1"/>
  <c r="W170" i="5" s="1"/>
  <c r="G131" i="6"/>
  <c r="F131" i="12" a="1"/>
  <c r="F131" i="12" s="1"/>
  <c r="F97" i="6"/>
  <c r="E97" i="12"/>
  <c r="F199" i="12" a="1"/>
  <c r="F199" i="12" s="1"/>
  <c r="G199" i="6"/>
  <c r="E151" i="12" l="1"/>
  <c r="F228" i="12" a="1"/>
  <c r="F228" i="12" s="1"/>
  <c r="E143" i="12"/>
  <c r="AN42" i="5" a="1"/>
  <c r="AN42" i="5" s="1"/>
  <c r="H65" i="12" a="1"/>
  <c r="H65" i="12" s="1"/>
  <c r="X65" i="5" a="1"/>
  <c r="X65" i="5" s="1"/>
  <c r="X51" i="5" a="1"/>
  <c r="X51" i="5" s="1"/>
  <c r="H51" i="12" a="1"/>
  <c r="H51" i="12" s="1"/>
  <c r="X237" i="5" a="1"/>
  <c r="X237" i="5" s="1"/>
  <c r="H237" i="12" a="1"/>
  <c r="H237" i="12" s="1"/>
  <c r="H192" i="12" a="1"/>
  <c r="H192" i="12" s="1"/>
  <c r="X192" i="5" a="1"/>
  <c r="X192" i="5" s="1"/>
  <c r="X186" i="5" a="1"/>
  <c r="X186" i="5" s="1"/>
  <c r="H186" i="12" a="1"/>
  <c r="H186" i="12" s="1"/>
  <c r="H46" i="12" a="1"/>
  <c r="H46" i="12" s="1"/>
  <c r="X46" i="5" a="1"/>
  <c r="X46" i="5" s="1"/>
  <c r="H80" i="12" a="1"/>
  <c r="H80" i="12" s="1"/>
  <c r="X80" i="5" a="1"/>
  <c r="X80" i="5" s="1"/>
  <c r="H47" i="12" a="1"/>
  <c r="H47" i="12" s="1"/>
  <c r="X47" i="5" a="1"/>
  <c r="X47" i="5" s="1"/>
  <c r="X198" i="5" a="1"/>
  <c r="X198" i="5" s="1"/>
  <c r="H198" i="12" a="1"/>
  <c r="H198" i="12" s="1"/>
  <c r="X191" i="5" a="1"/>
  <c r="X191" i="5" s="1"/>
  <c r="H191" i="12" a="1"/>
  <c r="H191" i="12" s="1"/>
  <c r="X98" i="5" a="1"/>
  <c r="X98" i="5" s="1"/>
  <c r="H98" i="12" a="1"/>
  <c r="H98" i="12" s="1"/>
  <c r="X59" i="5" a="1"/>
  <c r="X59" i="5" s="1"/>
  <c r="H59" i="12" a="1"/>
  <c r="H59" i="12" s="1"/>
  <c r="H235" i="12" a="1"/>
  <c r="H235" i="12" s="1"/>
  <c r="X235" i="5" a="1"/>
  <c r="X235" i="5" s="1"/>
  <c r="X224" i="5" a="1"/>
  <c r="X224" i="5" s="1"/>
  <c r="H224" i="12" a="1"/>
  <c r="H224" i="12" s="1"/>
  <c r="X129" i="5" a="1"/>
  <c r="X129" i="5" s="1"/>
  <c r="H129" i="12" a="1"/>
  <c r="H129" i="12" s="1"/>
  <c r="X38" i="5" a="1"/>
  <c r="X38" i="5" s="1"/>
  <c r="H38" i="12" a="1"/>
  <c r="H38" i="12" s="1"/>
  <c r="H233" i="12" a="1"/>
  <c r="H233" i="12" s="1"/>
  <c r="X233" i="5" a="1"/>
  <c r="X233" i="5" s="1"/>
  <c r="H184" i="12" a="1"/>
  <c r="H184" i="12" s="1"/>
  <c r="X184" i="5" a="1"/>
  <c r="X184" i="5" s="1"/>
  <c r="X53" i="5" a="1"/>
  <c r="X53" i="5" s="1"/>
  <c r="H53" i="12" a="1"/>
  <c r="H53" i="12" s="1"/>
  <c r="H148" i="12" a="1"/>
  <c r="H148" i="12" s="1"/>
  <c r="X148" i="5" a="1"/>
  <c r="X148" i="5" s="1"/>
  <c r="H35" i="12" a="1"/>
  <c r="H35" i="12" s="1"/>
  <c r="X35" i="5" a="1"/>
  <c r="X35" i="5" s="1"/>
  <c r="X79" i="5" a="1"/>
  <c r="X79" i="5" s="1"/>
  <c r="H79" i="12" a="1"/>
  <c r="H79" i="12" s="1"/>
  <c r="H78" i="12" a="1"/>
  <c r="H78" i="12" s="1"/>
  <c r="X78" i="5" a="1"/>
  <c r="X78" i="5" s="1"/>
  <c r="H179" i="12" a="1"/>
  <c r="H179" i="12" s="1"/>
  <c r="X179" i="5" a="1"/>
  <c r="X179" i="5" s="1"/>
  <c r="H182" i="12" a="1"/>
  <c r="H182" i="12" s="1"/>
  <c r="X182" i="5" a="1"/>
  <c r="X182" i="5" s="1"/>
  <c r="X187" i="5" a="1"/>
  <c r="X187" i="5" s="1"/>
  <c r="H187" i="12" a="1"/>
  <c r="H187" i="12" s="1"/>
  <c r="H171" i="12" a="1"/>
  <c r="H171" i="12" s="1"/>
  <c r="X171" i="5" a="1"/>
  <c r="X171" i="5" s="1"/>
  <c r="H102" i="12" a="1"/>
  <c r="H102" i="12" s="1"/>
  <c r="X102" i="5" a="1"/>
  <c r="X102" i="5" s="1"/>
  <c r="H119" i="12" a="1"/>
  <c r="H119" i="12" s="1"/>
  <c r="X119" i="5" a="1"/>
  <c r="X119" i="5" s="1"/>
  <c r="H101" i="12" a="1"/>
  <c r="H101" i="12" s="1"/>
  <c r="X101" i="5" a="1"/>
  <c r="X101" i="5" s="1"/>
  <c r="H165" i="12" a="1"/>
  <c r="H165" i="12" s="1"/>
  <c r="X165" i="5" a="1"/>
  <c r="X165" i="5" s="1"/>
  <c r="X83" i="5" a="1"/>
  <c r="X83" i="5" s="1"/>
  <c r="H83" i="12" a="1"/>
  <c r="H83" i="12" s="1"/>
  <c r="X159" i="5" a="1"/>
  <c r="X159" i="5" s="1"/>
  <c r="H159" i="12" a="1"/>
  <c r="H159" i="12" s="1"/>
  <c r="H189" i="12" a="1"/>
  <c r="H189" i="12" s="1"/>
  <c r="X189" i="5" a="1"/>
  <c r="X189" i="5" s="1"/>
  <c r="H90" i="12" a="1"/>
  <c r="H90" i="12" s="1"/>
  <c r="X90" i="5" a="1"/>
  <c r="X90" i="5" s="1"/>
  <c r="H215" i="12" a="1"/>
  <c r="H215" i="12" s="1"/>
  <c r="X215" i="5" a="1"/>
  <c r="X215" i="5" s="1"/>
  <c r="X29" i="5" a="1"/>
  <c r="X29" i="5" s="1"/>
  <c r="H29" i="12" a="1"/>
  <c r="H29" i="12" s="1"/>
  <c r="X123" i="5" a="1"/>
  <c r="X123" i="5" s="1"/>
  <c r="H123" i="12" a="1"/>
  <c r="H123" i="12" s="1"/>
  <c r="X199" i="5" a="1"/>
  <c r="X199" i="5" s="1"/>
  <c r="H199" i="12" a="1"/>
  <c r="H199" i="12" s="1"/>
  <c r="X161" i="5" a="1"/>
  <c r="X161" i="5" s="1"/>
  <c r="H161" i="12" a="1"/>
  <c r="H161" i="12" s="1"/>
  <c r="H96" i="12" a="1"/>
  <c r="H96" i="12" s="1"/>
  <c r="X96" i="5" a="1"/>
  <c r="X96" i="5" s="1"/>
  <c r="H146" i="12" a="1"/>
  <c r="H146" i="12" s="1"/>
  <c r="X146" i="5" a="1"/>
  <c r="X146" i="5" s="1"/>
  <c r="H238" i="12" a="1"/>
  <c r="H238" i="12" s="1"/>
  <c r="X238" i="5" a="1"/>
  <c r="X238" i="5" s="1"/>
  <c r="X169" i="5" a="1"/>
  <c r="X169" i="5" s="1"/>
  <c r="H169" i="12" a="1"/>
  <c r="H169" i="12" s="1"/>
  <c r="X92" i="5" a="1"/>
  <c r="X92" i="5" s="1"/>
  <c r="H92" i="12" a="1"/>
  <c r="H92" i="12" s="1"/>
  <c r="H231" i="12" a="1"/>
  <c r="H231" i="12" s="1"/>
  <c r="X231" i="5" a="1"/>
  <c r="X231" i="5" s="1"/>
  <c r="X173" i="5" a="1"/>
  <c r="X173" i="5" s="1"/>
  <c r="H173" i="12" a="1"/>
  <c r="H173" i="12" s="1"/>
  <c r="H156" i="12" a="1"/>
  <c r="H156" i="12" s="1"/>
  <c r="X156" i="5" a="1"/>
  <c r="X156" i="5" s="1"/>
  <c r="H168" i="12" a="1"/>
  <c r="H168" i="12" s="1"/>
  <c r="X168" i="5" a="1"/>
  <c r="X168" i="5" s="1"/>
  <c r="X19" i="5" a="1"/>
  <c r="X19" i="5" s="1"/>
  <c r="H19" i="12" a="1"/>
  <c r="H19" i="12" s="1"/>
  <c r="X30" i="5" a="1"/>
  <c r="X30" i="5" s="1"/>
  <c r="H30" i="12" a="1"/>
  <c r="H30" i="12" s="1"/>
  <c r="X135" i="5" a="1"/>
  <c r="X135" i="5" s="1"/>
  <c r="H135" i="12" a="1"/>
  <c r="H135" i="12" s="1"/>
  <c r="H142" i="12" a="1"/>
  <c r="H142" i="12" s="1"/>
  <c r="X142" i="5" a="1"/>
  <c r="X142" i="5" s="1"/>
  <c r="H130" i="12" a="1"/>
  <c r="H130" i="12" s="1"/>
  <c r="X130" i="5" a="1"/>
  <c r="X130" i="5" s="1"/>
  <c r="X174" i="5" a="1"/>
  <c r="X174" i="5" s="1"/>
  <c r="H174" i="12" a="1"/>
  <c r="H174" i="12" s="1"/>
  <c r="X81" i="5" a="1"/>
  <c r="X81" i="5" s="1"/>
  <c r="H81" i="12" a="1"/>
  <c r="H81" i="12" s="1"/>
  <c r="H86" i="12" a="1"/>
  <c r="H86" i="12" s="1"/>
  <c r="X86" i="5" a="1"/>
  <c r="X86" i="5" s="1"/>
  <c r="H64" i="12" a="1"/>
  <c r="H64" i="12" s="1"/>
  <c r="X64" i="5" a="1"/>
  <c r="X64" i="5" s="1"/>
  <c r="X117" i="5" a="1"/>
  <c r="X117" i="5" s="1"/>
  <c r="H117" i="12" a="1"/>
  <c r="H117" i="12" s="1"/>
  <c r="X48" i="5" a="1"/>
  <c r="X48" i="5" s="1"/>
  <c r="H48" i="12" a="1"/>
  <c r="H48" i="12" s="1"/>
  <c r="H41" i="12" a="1"/>
  <c r="H41" i="12" s="1"/>
  <c r="X41" i="5" a="1"/>
  <c r="X41" i="5" s="1"/>
  <c r="X128" i="5" a="1"/>
  <c r="X128" i="5" s="1"/>
  <c r="H128" i="12" a="1"/>
  <c r="H128" i="12" s="1"/>
  <c r="X118" i="5" a="1"/>
  <c r="X118" i="5" s="1"/>
  <c r="H118" i="12" a="1"/>
  <c r="H118" i="12" s="1"/>
  <c r="X97" i="5" a="1"/>
  <c r="X97" i="5" s="1"/>
  <c r="H97" i="12" a="1"/>
  <c r="H97" i="12" s="1"/>
  <c r="X139" i="5" a="1"/>
  <c r="X139" i="5" s="1"/>
  <c r="H139" i="12" a="1"/>
  <c r="H139" i="12" s="1"/>
  <c r="H69" i="12" a="1"/>
  <c r="H69" i="12" s="1"/>
  <c r="X69" i="5" a="1"/>
  <c r="X69" i="5" s="1"/>
  <c r="X208" i="5" a="1"/>
  <c r="X208" i="5" s="1"/>
  <c r="H208" i="12" a="1"/>
  <c r="H208" i="12" s="1"/>
  <c r="H209" i="12" a="1"/>
  <c r="H209" i="12" s="1"/>
  <c r="X209" i="5" a="1"/>
  <c r="X209" i="5" s="1"/>
  <c r="H212" i="12" a="1"/>
  <c r="H212" i="12" s="1"/>
  <c r="X212" i="5" a="1"/>
  <c r="X212" i="5" s="1"/>
  <c r="H73" i="12" a="1"/>
  <c r="H73" i="12" s="1"/>
  <c r="X73" i="5" a="1"/>
  <c r="X73" i="5" s="1"/>
  <c r="H57" i="12" a="1"/>
  <c r="H57" i="12" s="1"/>
  <c r="X57" i="5" a="1"/>
  <c r="X57" i="5" s="1"/>
  <c r="X126" i="5" a="1"/>
  <c r="X126" i="5" s="1"/>
  <c r="H126" i="12" a="1"/>
  <c r="H126" i="12" s="1"/>
  <c r="H85" i="12" a="1"/>
  <c r="H85" i="12" s="1"/>
  <c r="X85" i="5" a="1"/>
  <c r="X85" i="5" s="1"/>
  <c r="H76" i="12" a="1"/>
  <c r="H76" i="12" s="1"/>
  <c r="X76" i="5" a="1"/>
  <c r="X76" i="5" s="1"/>
  <c r="X110" i="5" a="1"/>
  <c r="X110" i="5" s="1"/>
  <c r="H110" i="12" a="1"/>
  <c r="H110" i="12" s="1"/>
  <c r="X144" i="5" a="1"/>
  <c r="X144" i="5" s="1"/>
  <c r="H144" i="12" a="1"/>
  <c r="H144" i="12" s="1"/>
  <c r="X221" i="5" a="1"/>
  <c r="X221" i="5" s="1"/>
  <c r="H221" i="12" a="1"/>
  <c r="H221" i="12" s="1"/>
  <c r="X21" i="5" a="1"/>
  <c r="X21" i="5" s="1"/>
  <c r="H21" i="12" a="1"/>
  <c r="H21" i="12" s="1"/>
  <c r="H72" i="12" a="1"/>
  <c r="H72" i="12" s="1"/>
  <c r="X72" i="5" a="1"/>
  <c r="X72" i="5" s="1"/>
  <c r="X60" i="5" a="1"/>
  <c r="X60" i="5" s="1"/>
  <c r="H60" i="12" a="1"/>
  <c r="H60" i="12" s="1"/>
  <c r="X84" i="5" a="1"/>
  <c r="X84" i="5" s="1"/>
  <c r="H84" i="12" a="1"/>
  <c r="H84" i="12" s="1"/>
  <c r="H228" i="12" a="1"/>
  <c r="H228" i="12" s="1"/>
  <c r="X228" i="5" a="1"/>
  <c r="X228" i="5" s="1"/>
  <c r="H210" i="12" a="1"/>
  <c r="H210" i="12" s="1"/>
  <c r="X210" i="5" a="1"/>
  <c r="X210" i="5" s="1"/>
  <c r="H134" i="12" a="1"/>
  <c r="H134" i="12" s="1"/>
  <c r="X134" i="5" a="1"/>
  <c r="X134" i="5" s="1"/>
  <c r="X163" i="5" a="1"/>
  <c r="X163" i="5" s="1"/>
  <c r="H163" i="12" a="1"/>
  <c r="H163" i="12" s="1"/>
  <c r="H220" i="12" a="1"/>
  <c r="H220" i="12" s="1"/>
  <c r="X220" i="5" a="1"/>
  <c r="X220" i="5" s="1"/>
  <c r="H183" i="12" a="1"/>
  <c r="H183" i="12" s="1"/>
  <c r="X183" i="5" a="1"/>
  <c r="X183" i="5" s="1"/>
  <c r="H32" i="12" a="1"/>
  <c r="H32" i="12" s="1"/>
  <c r="X32" i="5" a="1"/>
  <c r="X32" i="5" s="1"/>
  <c r="X236" i="5" a="1"/>
  <c r="X236" i="5" s="1"/>
  <c r="H236" i="12" a="1"/>
  <c r="H236" i="12" s="1"/>
  <c r="X218" i="5" a="1"/>
  <c r="X218" i="5" s="1"/>
  <c r="H218" i="12" a="1"/>
  <c r="H218" i="12" s="1"/>
  <c r="H66" i="12" a="1"/>
  <c r="H66" i="12" s="1"/>
  <c r="X66" i="5" a="1"/>
  <c r="X66" i="5" s="1"/>
  <c r="H93" i="12" a="1"/>
  <c r="H93" i="12" s="1"/>
  <c r="X93" i="5" a="1"/>
  <c r="X93" i="5" s="1"/>
  <c r="X63" i="5" a="1"/>
  <c r="X63" i="5" s="1"/>
  <c r="H63" i="12" a="1"/>
  <c r="H63" i="12" s="1"/>
  <c r="H225" i="12" a="1"/>
  <c r="H225" i="12" s="1"/>
  <c r="X225" i="5" a="1"/>
  <c r="X225" i="5" s="1"/>
  <c r="H52" i="12" a="1"/>
  <c r="H52" i="12" s="1"/>
  <c r="X52" i="5" a="1"/>
  <c r="X52" i="5" s="1"/>
  <c r="H207" i="12" a="1"/>
  <c r="H207" i="12" s="1"/>
  <c r="X207" i="5" a="1"/>
  <c r="X207" i="5" s="1"/>
  <c r="X178" i="5" a="1"/>
  <c r="X178" i="5" s="1"/>
  <c r="H178" i="12" a="1"/>
  <c r="H178" i="12" s="1"/>
  <c r="X105" i="5" a="1"/>
  <c r="X105" i="5" s="1"/>
  <c r="H105" i="12" a="1"/>
  <c r="H105" i="12" s="1"/>
  <c r="H167" i="12" a="1"/>
  <c r="H167" i="12" s="1"/>
  <c r="X167" i="5" a="1"/>
  <c r="X167" i="5" s="1"/>
  <c r="X131" i="5" a="1"/>
  <c r="X131" i="5" s="1"/>
  <c r="H131" i="12" a="1"/>
  <c r="H131" i="12" s="1"/>
  <c r="H202" i="12" a="1"/>
  <c r="H202" i="12" s="1"/>
  <c r="X202" i="5" a="1"/>
  <c r="X202" i="5" s="1"/>
  <c r="H125" i="12" a="1"/>
  <c r="H125" i="12" s="1"/>
  <c r="X125" i="5" a="1"/>
  <c r="X125" i="5" s="1"/>
  <c r="H137" i="12" a="1"/>
  <c r="H137" i="12" s="1"/>
  <c r="X137" i="5" a="1"/>
  <c r="X137" i="5" s="1"/>
  <c r="X56" i="5" a="1"/>
  <c r="X56" i="5" s="1"/>
  <c r="H56" i="12" a="1"/>
  <c r="H56" i="12" s="1"/>
  <c r="X87" i="5" a="1"/>
  <c r="X87" i="5" s="1"/>
  <c r="H87" i="12" a="1"/>
  <c r="H87" i="12" s="1"/>
  <c r="X37" i="5" a="1"/>
  <c r="X37" i="5" s="1"/>
  <c r="H37" i="12" a="1"/>
  <c r="H37" i="12" s="1"/>
  <c r="H114" i="12" a="1"/>
  <c r="H114" i="12" s="1"/>
  <c r="X114" i="5" a="1"/>
  <c r="X114" i="5" s="1"/>
  <c r="X232" i="5" a="1"/>
  <c r="X232" i="5" s="1"/>
  <c r="H232" i="12" a="1"/>
  <c r="H232" i="12" s="1"/>
  <c r="X42" i="5" a="1"/>
  <c r="X42" i="5" s="1"/>
  <c r="H42" i="12" a="1"/>
  <c r="H42" i="12" s="1"/>
  <c r="H195" i="12" a="1"/>
  <c r="H195" i="12" s="1"/>
  <c r="X195" i="5" a="1"/>
  <c r="X195" i="5" s="1"/>
  <c r="H145" i="12" a="1"/>
  <c r="H145" i="12" s="1"/>
  <c r="X145" i="5" a="1"/>
  <c r="X145" i="5" s="1"/>
  <c r="X136" i="5" a="1"/>
  <c r="X136" i="5" s="1"/>
  <c r="H136" i="12" a="1"/>
  <c r="H136" i="12" s="1"/>
  <c r="X61" i="5" a="1"/>
  <c r="X61" i="5" s="1"/>
  <c r="H61" i="12" a="1"/>
  <c r="H61" i="12" s="1"/>
  <c r="X43" i="5" a="1"/>
  <c r="X43" i="5" s="1"/>
  <c r="H43" i="12" a="1"/>
  <c r="H43" i="12" s="1"/>
  <c r="X39" i="5" a="1"/>
  <c r="X39" i="5" s="1"/>
  <c r="H39" i="12" a="1"/>
  <c r="H39" i="12" s="1"/>
  <c r="X229" i="5" a="1"/>
  <c r="X229" i="5" s="1"/>
  <c r="H229" i="12" a="1"/>
  <c r="H229" i="12" s="1"/>
  <c r="X152" i="5" a="1"/>
  <c r="X152" i="5" s="1"/>
  <c r="H152" i="12" a="1"/>
  <c r="H152" i="12" s="1"/>
  <c r="H150" i="12" a="1"/>
  <c r="H150" i="12" s="1"/>
  <c r="X150" i="5" a="1"/>
  <c r="X150" i="5" s="1"/>
  <c r="H33" i="12" a="1"/>
  <c r="H33" i="12" s="1"/>
  <c r="X33" i="5" a="1"/>
  <c r="X33" i="5" s="1"/>
  <c r="X154" i="5" a="1"/>
  <c r="X154" i="5" s="1"/>
  <c r="H154" i="12" a="1"/>
  <c r="H154" i="12" s="1"/>
  <c r="X27" i="5" a="1"/>
  <c r="X27" i="5" s="1"/>
  <c r="H27" i="12" a="1"/>
  <c r="H27" i="12" s="1"/>
  <c r="X70" i="5" a="1"/>
  <c r="X70" i="5" s="1"/>
  <c r="H70" i="12" a="1"/>
  <c r="H70" i="12" s="1"/>
  <c r="H164" i="12" a="1"/>
  <c r="H164" i="12" s="1"/>
  <c r="X164" i="5" a="1"/>
  <c r="X164" i="5" s="1"/>
  <c r="X44" i="5" a="1"/>
  <c r="X44" i="5" s="1"/>
  <c r="H44" i="12" a="1"/>
  <c r="H44" i="12" s="1"/>
  <c r="H217" i="12" a="1"/>
  <c r="H217" i="12" s="1"/>
  <c r="X217" i="5" a="1"/>
  <c r="X217" i="5" s="1"/>
  <c r="X213" i="5" a="1"/>
  <c r="X213" i="5" s="1"/>
  <c r="H213" i="12" a="1"/>
  <c r="H213" i="12" s="1"/>
  <c r="H177" i="12" a="1"/>
  <c r="H177" i="12" s="1"/>
  <c r="X177" i="5" a="1"/>
  <c r="X177" i="5" s="1"/>
  <c r="H91" i="12" a="1"/>
  <c r="H91" i="12" s="1"/>
  <c r="X91" i="5" a="1"/>
  <c r="X91" i="5" s="1"/>
  <c r="X181" i="5" a="1"/>
  <c r="X181" i="5" s="1"/>
  <c r="H181" i="12" a="1"/>
  <c r="H181" i="12" s="1"/>
  <c r="X18" i="5" a="1"/>
  <c r="X18" i="5" s="1"/>
  <c r="H18" i="12" a="1"/>
  <c r="H18" i="12" s="1"/>
  <c r="H155" i="12" a="1"/>
  <c r="H155" i="12" s="1"/>
  <c r="X155" i="5" a="1"/>
  <c r="X155" i="5" s="1"/>
  <c r="H147" i="12" a="1"/>
  <c r="H147" i="12" s="1"/>
  <c r="X147" i="5" a="1"/>
  <c r="X147" i="5" s="1"/>
  <c r="H99" i="12" a="1"/>
  <c r="H99" i="12" s="1"/>
  <c r="X99" i="5" a="1"/>
  <c r="X99" i="5" s="1"/>
  <c r="X113" i="5" a="1"/>
  <c r="X113" i="5" s="1"/>
  <c r="H113" i="12" a="1"/>
  <c r="H113" i="12" s="1"/>
  <c r="H115" i="12" a="1"/>
  <c r="H115" i="12" s="1"/>
  <c r="X115" i="5" a="1"/>
  <c r="X115" i="5" s="1"/>
  <c r="X34" i="5" a="1"/>
  <c r="X34" i="5" s="1"/>
  <c r="H34" i="12" a="1"/>
  <c r="H34" i="12" s="1"/>
  <c r="H107" i="12" a="1"/>
  <c r="H107" i="12" s="1"/>
  <c r="X107" i="5" a="1"/>
  <c r="X107" i="5" s="1"/>
  <c r="H124" i="12" a="1"/>
  <c r="H124" i="12" s="1"/>
  <c r="X124" i="5" a="1"/>
  <c r="X124" i="5" s="1"/>
  <c r="X26" i="5" a="1"/>
  <c r="X26" i="5" s="1"/>
  <c r="H26" i="12" a="1"/>
  <c r="H26" i="12" s="1"/>
  <c r="H151" i="12" a="1"/>
  <c r="H151" i="12" s="1"/>
  <c r="X151" i="5" a="1"/>
  <c r="X151" i="5" s="1"/>
  <c r="H201" i="12" a="1"/>
  <c r="H201" i="12" s="1"/>
  <c r="X201" i="5" a="1"/>
  <c r="X201" i="5" s="1"/>
  <c r="X36" i="5" a="1"/>
  <c r="X36" i="5" s="1"/>
  <c r="H36" i="12" a="1"/>
  <c r="H36" i="12" s="1"/>
  <c r="H23" i="12" a="1"/>
  <c r="H23" i="12" s="1"/>
  <c r="X23" i="5" a="1"/>
  <c r="X23" i="5" s="1"/>
  <c r="H109" i="12" a="1"/>
  <c r="H109" i="12" s="1"/>
  <c r="X109" i="5" a="1"/>
  <c r="X109" i="5" s="1"/>
  <c r="H143" i="12" a="1"/>
  <c r="H143" i="12" s="1"/>
  <c r="X143" i="5" a="1"/>
  <c r="X143" i="5" s="1"/>
  <c r="X205" i="5" a="1"/>
  <c r="X205" i="5" s="1"/>
  <c r="H205" i="12" a="1"/>
  <c r="H205" i="12" s="1"/>
  <c r="H54" i="12" a="1"/>
  <c r="H54" i="12" s="1"/>
  <c r="X54" i="5" a="1"/>
  <c r="X54" i="5" s="1"/>
  <c r="H75" i="12" a="1"/>
  <c r="H75" i="12" s="1"/>
  <c r="X75" i="5" a="1"/>
  <c r="X75" i="5" s="1"/>
  <c r="H157" i="12" a="1"/>
  <c r="H157" i="12" s="1"/>
  <c r="X157" i="5" a="1"/>
  <c r="X157" i="5" s="1"/>
  <c r="H88" i="12" a="1"/>
  <c r="H88" i="12" s="1"/>
  <c r="X88" i="5" a="1"/>
  <c r="X88" i="5" s="1"/>
  <c r="H58" i="12" a="1"/>
  <c r="H58" i="12" s="1"/>
  <c r="X58" i="5" a="1"/>
  <c r="X58" i="5" s="1"/>
  <c r="X170" i="5" a="1"/>
  <c r="X170" i="5" s="1"/>
  <c r="H170" i="12" a="1"/>
  <c r="H170" i="12" s="1"/>
  <c r="X95" i="5" a="1"/>
  <c r="X95" i="5" s="1"/>
  <c r="H95" i="12" a="1"/>
  <c r="H95" i="12" s="1"/>
  <c r="X74" i="5" a="1"/>
  <c r="X74" i="5" s="1"/>
  <c r="H74" i="12" a="1"/>
  <c r="H74" i="12" s="1"/>
  <c r="H28" i="12" a="1"/>
  <c r="H28" i="12" s="1"/>
  <c r="X28" i="5" a="1"/>
  <c r="X28" i="5" s="1"/>
  <c r="X149" i="5" a="1"/>
  <c r="X149" i="5" s="1"/>
  <c r="H149" i="12" a="1"/>
  <c r="H149" i="12" s="1"/>
  <c r="X49" i="5" a="1"/>
  <c r="X49" i="5" s="1"/>
  <c r="H49" i="12" a="1"/>
  <c r="H49" i="12" s="1"/>
  <c r="X239" i="5" a="1"/>
  <c r="X239" i="5" s="1"/>
  <c r="H239" i="12" a="1"/>
  <c r="H239" i="12" s="1"/>
  <c r="X188" i="5" a="1"/>
  <c r="X188" i="5" s="1"/>
  <c r="H188" i="12" a="1"/>
  <c r="H188" i="12" s="1"/>
  <c r="X67" i="5" a="1"/>
  <c r="X67" i="5" s="1"/>
  <c r="H67" i="12" a="1"/>
  <c r="H67" i="12" s="1"/>
  <c r="H120" i="12" a="1"/>
  <c r="H120" i="12" s="1"/>
  <c r="X120" i="5" a="1"/>
  <c r="X120" i="5" s="1"/>
  <c r="H141" i="12" a="1"/>
  <c r="H141" i="12" s="1"/>
  <c r="X141" i="5" a="1"/>
  <c r="X141" i="5" s="1"/>
  <c r="H138" i="12" a="1"/>
  <c r="H138" i="12" s="1"/>
  <c r="X138" i="5" a="1"/>
  <c r="X138" i="5" s="1"/>
  <c r="L136" i="5" l="1"/>
  <c r="AC136" i="5" s="1" a="1"/>
  <c r="AC136" i="5" s="1"/>
  <c r="I136" i="12"/>
  <c r="Z136" i="5"/>
  <c r="AM136" i="5"/>
  <c r="L56" i="5"/>
  <c r="AC56" i="5" s="1" a="1"/>
  <c r="AC56" i="5" s="1"/>
  <c r="I56" i="12"/>
  <c r="X55" i="5" a="1"/>
  <c r="X55" i="5" s="1"/>
  <c r="I56" i="5"/>
  <c r="I57" i="5" s="1"/>
  <c r="I58" i="5" s="1"/>
  <c r="I59" i="5" s="1"/>
  <c r="I60" i="5" s="1"/>
  <c r="I61" i="5" s="1"/>
  <c r="AM56" i="5"/>
  <c r="Z56" i="5"/>
  <c r="I60" i="12"/>
  <c r="L60" i="5"/>
  <c r="AC60" i="5" s="1" a="1"/>
  <c r="AC60" i="5" s="1"/>
  <c r="Z60" i="5"/>
  <c r="AM60" i="5"/>
  <c r="Z126" i="5"/>
  <c r="I126" i="12"/>
  <c r="L126" i="5"/>
  <c r="AC126" i="5" s="1" a="1"/>
  <c r="AC126" i="5" s="1"/>
  <c r="AM126" i="5"/>
  <c r="L97" i="5"/>
  <c r="AC97" i="5" s="1" a="1"/>
  <c r="AC97" i="5" s="1"/>
  <c r="Z97" i="5"/>
  <c r="AM97" i="5"/>
  <c r="I97" i="12"/>
  <c r="L81" i="5"/>
  <c r="AC81" i="5" s="1" a="1"/>
  <c r="AC81" i="5" s="1"/>
  <c r="Z81" i="5"/>
  <c r="AM81" i="5"/>
  <c r="I81" i="12"/>
  <c r="X132" i="5" a="1"/>
  <c r="X132" i="5" s="1"/>
  <c r="X160" i="5" a="1"/>
  <c r="X160" i="5" s="1"/>
  <c r="I161" i="5"/>
  <c r="AM161" i="5"/>
  <c r="L161" i="5"/>
  <c r="AC161" i="5" s="1" a="1"/>
  <c r="AC161" i="5" s="1"/>
  <c r="I161" i="12"/>
  <c r="Z161" i="5"/>
  <c r="I83" i="12"/>
  <c r="AM83" i="5"/>
  <c r="L83" i="5"/>
  <c r="AC83" i="5" s="1" a="1"/>
  <c r="AC83" i="5" s="1"/>
  <c r="Z83" i="5"/>
  <c r="X82" i="5" a="1"/>
  <c r="X82" i="5" s="1"/>
  <c r="I83" i="5"/>
  <c r="I84" i="5" s="1"/>
  <c r="I85" i="5" s="1"/>
  <c r="I86" i="5" s="1"/>
  <c r="I87" i="5" s="1"/>
  <c r="I88" i="5" s="1"/>
  <c r="L38" i="5"/>
  <c r="AC38" i="5" s="1" a="1"/>
  <c r="AC38" i="5" s="1"/>
  <c r="I38" i="12"/>
  <c r="Z38" i="5"/>
  <c r="AM38" i="5"/>
  <c r="I32" i="5"/>
  <c r="I33" i="5" s="1"/>
  <c r="I34" i="5" s="1"/>
  <c r="I35" i="5" s="1"/>
  <c r="I36" i="5" s="1"/>
  <c r="I37" i="5" s="1"/>
  <c r="I38" i="5" s="1"/>
  <c r="AM32" i="5"/>
  <c r="L32" i="5"/>
  <c r="AC32" i="5" s="1" a="1"/>
  <c r="AC32" i="5" s="1"/>
  <c r="I32" i="12"/>
  <c r="Z32" i="5"/>
  <c r="X31" i="5" a="1"/>
  <c r="X31" i="5" s="1"/>
  <c r="L154" i="5"/>
  <c r="AC154" i="5" s="1" a="1"/>
  <c r="AC154" i="5" s="1"/>
  <c r="Z154" i="5"/>
  <c r="X153" i="5" a="1"/>
  <c r="X153" i="5" s="1"/>
  <c r="AM154" i="5"/>
  <c r="I154" i="5"/>
  <c r="I155" i="5" s="1"/>
  <c r="I156" i="5" s="1"/>
  <c r="I157" i="5" s="1"/>
  <c r="I154" i="12"/>
  <c r="L58" i="5"/>
  <c r="AC58" i="5" s="1" a="1"/>
  <c r="AC58" i="5" s="1"/>
  <c r="Z58" i="5"/>
  <c r="I58" i="12"/>
  <c r="AM58" i="5"/>
  <c r="Z23" i="5"/>
  <c r="AM23" i="5"/>
  <c r="X22" i="5" a="1"/>
  <c r="X22" i="5" s="1"/>
  <c r="L23" i="5"/>
  <c r="AC23" i="5" s="1" a="1"/>
  <c r="AC23" i="5" s="1"/>
  <c r="I23" i="12"/>
  <c r="Z115" i="5"/>
  <c r="AM115" i="5"/>
  <c r="L115" i="5"/>
  <c r="AC115" i="5" s="1" a="1"/>
  <c r="AC115" i="5" s="1"/>
  <c r="I115" i="12"/>
  <c r="I177" i="12"/>
  <c r="X176" i="5" a="1"/>
  <c r="X176" i="5" s="1"/>
  <c r="I177" i="5"/>
  <c r="I178" i="5" s="1"/>
  <c r="I179" i="5" s="1"/>
  <c r="AM177" i="5"/>
  <c r="L177" i="5"/>
  <c r="AC177" i="5" s="1" a="1"/>
  <c r="AC177" i="5" s="1"/>
  <c r="Z177" i="5"/>
  <c r="X175" i="5" a="1"/>
  <c r="X175" i="5" s="1"/>
  <c r="AM33" i="5"/>
  <c r="L33" i="5"/>
  <c r="AC33" i="5" s="1" a="1"/>
  <c r="AC33" i="5" s="1"/>
  <c r="Z33" i="5"/>
  <c r="I33" i="12"/>
  <c r="Z145" i="5"/>
  <c r="AM145" i="5"/>
  <c r="L145" i="5"/>
  <c r="AC145" i="5" s="1" a="1"/>
  <c r="AC145" i="5" s="1"/>
  <c r="I145" i="12"/>
  <c r="I137" i="12"/>
  <c r="Z137" i="5"/>
  <c r="AM137" i="5"/>
  <c r="L137" i="5"/>
  <c r="AC137" i="5" s="1" a="1"/>
  <c r="AC137" i="5" s="1"/>
  <c r="AM52" i="5"/>
  <c r="L52" i="5"/>
  <c r="AC52" i="5" s="1" a="1"/>
  <c r="AC52" i="5" s="1"/>
  <c r="Z52" i="5"/>
  <c r="I52" i="12"/>
  <c r="I183" i="12"/>
  <c r="L183" i="5"/>
  <c r="AC183" i="5" s="1" a="1"/>
  <c r="AC183" i="5" s="1"/>
  <c r="Z183" i="5"/>
  <c r="AM183" i="5"/>
  <c r="AM72" i="5"/>
  <c r="L72" i="5"/>
  <c r="AC72" i="5" s="1" a="1"/>
  <c r="AC72" i="5" s="1"/>
  <c r="I72" i="5"/>
  <c r="I73" i="5" s="1"/>
  <c r="Z72" i="5"/>
  <c r="X71" i="5" a="1"/>
  <c r="X71" i="5" s="1"/>
  <c r="I72" i="12"/>
  <c r="L57" i="5"/>
  <c r="AC57" i="5" s="1" a="1"/>
  <c r="AC57" i="5" s="1"/>
  <c r="I57" i="12"/>
  <c r="AM57" i="5"/>
  <c r="Z57" i="5"/>
  <c r="L165" i="5"/>
  <c r="AC165" i="5" s="1" a="1"/>
  <c r="AC165" i="5" s="1"/>
  <c r="I165" i="12"/>
  <c r="AM165" i="5"/>
  <c r="Z165" i="5"/>
  <c r="AB165" i="5" s="1" a="1"/>
  <c r="AB165" i="5" s="1"/>
  <c r="L78" i="5"/>
  <c r="AC78" i="5" s="1" a="1"/>
  <c r="AC78" i="5" s="1"/>
  <c r="I78" i="5"/>
  <c r="I79" i="5" s="1"/>
  <c r="I80" i="5" s="1"/>
  <c r="I81" i="5" s="1"/>
  <c r="Z78" i="5"/>
  <c r="X77" i="5" a="1"/>
  <c r="X77" i="5" s="1"/>
  <c r="I78" i="12"/>
  <c r="AM78" i="5"/>
  <c r="Z80" i="5"/>
  <c r="L80" i="5"/>
  <c r="AC80" i="5" s="1" a="1"/>
  <c r="AC80" i="5" s="1"/>
  <c r="I80" i="12"/>
  <c r="AM80" i="5"/>
  <c r="Z118" i="5"/>
  <c r="I118" i="12"/>
  <c r="L118" i="5"/>
  <c r="AC118" i="5" s="1" a="1"/>
  <c r="AC118" i="5" s="1"/>
  <c r="AM118" i="5"/>
  <c r="Z174" i="5"/>
  <c r="L174" i="5"/>
  <c r="AC174" i="5" s="1" a="1"/>
  <c r="AC174" i="5" s="1"/>
  <c r="AM174" i="5"/>
  <c r="I174" i="12"/>
  <c r="AM173" i="5"/>
  <c r="X172" i="5" a="1"/>
  <c r="X172" i="5" s="1"/>
  <c r="I173" i="12"/>
  <c r="Z173" i="5"/>
  <c r="L173" i="5"/>
  <c r="AC173" i="5" s="1" a="1"/>
  <c r="AC173" i="5" s="1"/>
  <c r="I173" i="5"/>
  <c r="I174" i="5" s="1"/>
  <c r="Z199" i="5"/>
  <c r="L199" i="5"/>
  <c r="AC199" i="5" s="1" a="1"/>
  <c r="AC199" i="5" s="1"/>
  <c r="AM199" i="5"/>
  <c r="I199" i="12"/>
  <c r="I129" i="12"/>
  <c r="Z129" i="5"/>
  <c r="L129" i="5"/>
  <c r="AC129" i="5" s="1" a="1"/>
  <c r="AC129" i="5" s="1"/>
  <c r="AM129" i="5"/>
  <c r="AM67" i="5"/>
  <c r="L67" i="5"/>
  <c r="AC67" i="5" s="1" a="1"/>
  <c r="AC67" i="5" s="1"/>
  <c r="I67" i="12"/>
  <c r="Z67" i="5"/>
  <c r="AM88" i="5"/>
  <c r="I88" i="12"/>
  <c r="L88" i="5"/>
  <c r="AC88" i="5" s="1" a="1"/>
  <c r="AC88" i="5" s="1"/>
  <c r="Z88" i="5"/>
  <c r="AM150" i="5"/>
  <c r="I150" i="12"/>
  <c r="Z150" i="5"/>
  <c r="L150" i="5"/>
  <c r="AC150" i="5" s="1" a="1"/>
  <c r="AC150" i="5" s="1"/>
  <c r="I195" i="12"/>
  <c r="X194" i="5" a="1"/>
  <c r="X194" i="5" s="1"/>
  <c r="X193" i="5" a="1"/>
  <c r="X193" i="5" s="1"/>
  <c r="AM195" i="5"/>
  <c r="L195" i="5"/>
  <c r="AC195" i="5" s="1" a="1"/>
  <c r="AC195" i="5" s="1"/>
  <c r="I195" i="5"/>
  <c r="Z195" i="5"/>
  <c r="L125" i="5"/>
  <c r="AC125" i="5" s="1" a="1"/>
  <c r="AC125" i="5" s="1"/>
  <c r="Z125" i="5"/>
  <c r="I125" i="12"/>
  <c r="AM125" i="5"/>
  <c r="L225" i="5"/>
  <c r="AC225" i="5" s="1" a="1"/>
  <c r="AC225" i="5" s="1"/>
  <c r="Z225" i="5"/>
  <c r="AM225" i="5"/>
  <c r="I225" i="12"/>
  <c r="X219" i="5" a="1"/>
  <c r="X219" i="5" s="1"/>
  <c r="I220" i="5"/>
  <c r="I221" i="5" s="1"/>
  <c r="L220" i="5"/>
  <c r="AC220" i="5" s="1" a="1"/>
  <c r="AC220" i="5" s="1"/>
  <c r="I220" i="12"/>
  <c r="AM220" i="5"/>
  <c r="Z220" i="5"/>
  <c r="AM73" i="5"/>
  <c r="I73" i="12"/>
  <c r="L73" i="5"/>
  <c r="AC73" i="5" s="1" a="1"/>
  <c r="AC73" i="5" s="1"/>
  <c r="Z73" i="5"/>
  <c r="Z130" i="5"/>
  <c r="I130" i="12"/>
  <c r="AM130" i="5"/>
  <c r="L130" i="5"/>
  <c r="AC130" i="5" s="1" a="1"/>
  <c r="AC130" i="5" s="1"/>
  <c r="I231" i="5"/>
  <c r="I232" i="5" s="1"/>
  <c r="I233" i="5" s="1"/>
  <c r="X230" i="5" a="1"/>
  <c r="X230" i="5" s="1"/>
  <c r="I231" i="12"/>
  <c r="L231" i="5"/>
  <c r="AC231" i="5" s="1" a="1"/>
  <c r="AC231" i="5" s="1"/>
  <c r="Z231" i="5"/>
  <c r="AM231" i="5"/>
  <c r="L101" i="5"/>
  <c r="AC101" i="5" s="1" a="1"/>
  <c r="AC101" i="5" s="1"/>
  <c r="I101" i="5"/>
  <c r="I102" i="5" s="1"/>
  <c r="X100" i="5" a="1"/>
  <c r="X100" i="5" s="1"/>
  <c r="I101" i="12"/>
  <c r="Z101" i="5"/>
  <c r="AM101" i="5"/>
  <c r="I46" i="5"/>
  <c r="I47" i="5" s="1"/>
  <c r="I48" i="5" s="1"/>
  <c r="I49" i="5" s="1"/>
  <c r="AM46" i="5"/>
  <c r="I46" i="12"/>
  <c r="Z46" i="5"/>
  <c r="L46" i="5"/>
  <c r="AC46" i="5" s="1" a="1"/>
  <c r="AC46" i="5" s="1"/>
  <c r="X45" i="5" a="1"/>
  <c r="X45" i="5" s="1"/>
  <c r="AM170" i="5"/>
  <c r="Z170" i="5"/>
  <c r="I170" i="12"/>
  <c r="L170" i="5"/>
  <c r="AC170" i="5" s="1" a="1"/>
  <c r="AC170" i="5" s="1"/>
  <c r="AM188" i="5"/>
  <c r="L188" i="5"/>
  <c r="AC188" i="5" s="1" a="1"/>
  <c r="AC188" i="5" s="1"/>
  <c r="I188" i="12"/>
  <c r="Z188" i="5"/>
  <c r="Z239" i="5"/>
  <c r="I239" i="12"/>
  <c r="AM239" i="5"/>
  <c r="L239" i="5"/>
  <c r="AC239" i="5" s="1" a="1"/>
  <c r="AC239" i="5" s="1"/>
  <c r="Z36" i="5"/>
  <c r="L36" i="5"/>
  <c r="AC36" i="5" s="1" a="1"/>
  <c r="AC36" i="5" s="1"/>
  <c r="I36" i="12"/>
  <c r="AM36" i="5"/>
  <c r="L113" i="5"/>
  <c r="AC113" i="5" s="1" a="1"/>
  <c r="AC113" i="5" s="1"/>
  <c r="I113" i="5"/>
  <c r="I114" i="5" s="1"/>
  <c r="I115" i="5" s="1"/>
  <c r="I113" i="12"/>
  <c r="X112" i="5" a="1"/>
  <c r="X112" i="5" s="1"/>
  <c r="AM113" i="5"/>
  <c r="Z113" i="5"/>
  <c r="X111" i="5" a="1"/>
  <c r="X111" i="5" s="1"/>
  <c r="AM213" i="5"/>
  <c r="L213" i="5"/>
  <c r="AC213" i="5" s="1" a="1"/>
  <c r="AC213" i="5" s="1"/>
  <c r="I213" i="12"/>
  <c r="Z213" i="5"/>
  <c r="X20" i="5" a="1"/>
  <c r="X20" i="5" s="1"/>
  <c r="L21" i="5"/>
  <c r="AC21" i="5" s="1" a="1"/>
  <c r="AC21" i="5" s="1"/>
  <c r="Z21" i="5"/>
  <c r="I21" i="12"/>
  <c r="AM21" i="5"/>
  <c r="Z128" i="5"/>
  <c r="L128" i="5"/>
  <c r="AC128" i="5" s="1" a="1"/>
  <c r="AC128" i="5" s="1"/>
  <c r="AM128" i="5"/>
  <c r="X127" i="5" a="1"/>
  <c r="X127" i="5" s="1"/>
  <c r="I128" i="5"/>
  <c r="I129" i="5" s="1"/>
  <c r="I130" i="5" s="1"/>
  <c r="I131" i="5" s="1"/>
  <c r="I128" i="12"/>
  <c r="X121" i="5" a="1"/>
  <c r="X121" i="5" s="1"/>
  <c r="Z123" i="5"/>
  <c r="AM123" i="5"/>
  <c r="I123" i="12"/>
  <c r="X122" i="5" a="1"/>
  <c r="X122" i="5" s="1"/>
  <c r="L123" i="5"/>
  <c r="AC123" i="5" s="1" a="1"/>
  <c r="AC123" i="5" s="1"/>
  <c r="AM79" i="5"/>
  <c r="L79" i="5"/>
  <c r="AC79" i="5" s="1" a="1"/>
  <c r="AC79" i="5" s="1"/>
  <c r="Z79" i="5"/>
  <c r="I79" i="12"/>
  <c r="X223" i="5" a="1"/>
  <c r="X223" i="5" s="1"/>
  <c r="L224" i="5"/>
  <c r="AC224" i="5" s="1" a="1"/>
  <c r="AC224" i="5" s="1"/>
  <c r="I224" i="12"/>
  <c r="X222" i="5" a="1"/>
  <c r="X222" i="5" s="1"/>
  <c r="AM224" i="5"/>
  <c r="Z224" i="5"/>
  <c r="I224" i="5"/>
  <c r="I225" i="5" s="1"/>
  <c r="I157" i="12"/>
  <c r="AM157" i="5"/>
  <c r="Z157" i="5"/>
  <c r="L157" i="5"/>
  <c r="AC157" i="5" s="1" a="1"/>
  <c r="AC157" i="5" s="1"/>
  <c r="AM99" i="5"/>
  <c r="I99" i="12"/>
  <c r="L99" i="5"/>
  <c r="AC99" i="5" s="1" a="1"/>
  <c r="AC99" i="5" s="1"/>
  <c r="Z99" i="5"/>
  <c r="L217" i="5"/>
  <c r="AC217" i="5" s="1" a="1"/>
  <c r="AC217" i="5" s="1"/>
  <c r="I217" i="12"/>
  <c r="Z217" i="5"/>
  <c r="I217" i="5"/>
  <c r="I218" i="5" s="1"/>
  <c r="X216" i="5" a="1"/>
  <c r="X216" i="5" s="1"/>
  <c r="AM217" i="5"/>
  <c r="I202" i="12"/>
  <c r="L202" i="5"/>
  <c r="AC202" i="5" s="1" a="1"/>
  <c r="AC202" i="5" s="1"/>
  <c r="AM202" i="5"/>
  <c r="Z202" i="5"/>
  <c r="I212" i="5"/>
  <c r="I213" i="5" s="1"/>
  <c r="I212" i="12"/>
  <c r="X211" i="5" a="1"/>
  <c r="X211" i="5" s="1"/>
  <c r="Z212" i="5"/>
  <c r="AM212" i="5"/>
  <c r="L212" i="5"/>
  <c r="AC212" i="5" s="1" a="1"/>
  <c r="AC212" i="5" s="1"/>
  <c r="AM41" i="5"/>
  <c r="X40" i="5" a="1"/>
  <c r="X40" i="5" s="1"/>
  <c r="I41" i="12"/>
  <c r="Z41" i="5"/>
  <c r="I41" i="5"/>
  <c r="I42" i="5" s="1"/>
  <c r="I43" i="5" s="1"/>
  <c r="I44" i="5" s="1"/>
  <c r="L41" i="5"/>
  <c r="AC41" i="5" s="1" a="1"/>
  <c r="AC41" i="5" s="1"/>
  <c r="Z142" i="5"/>
  <c r="I142" i="12"/>
  <c r="L142" i="5"/>
  <c r="AC142" i="5" s="1" a="1"/>
  <c r="AC142" i="5" s="1"/>
  <c r="AM142" i="5"/>
  <c r="I119" i="12"/>
  <c r="Z119" i="5"/>
  <c r="L119" i="5"/>
  <c r="AC119" i="5" s="1" a="1"/>
  <c r="AC119" i="5" s="1"/>
  <c r="AM119" i="5"/>
  <c r="AM35" i="5"/>
  <c r="Z35" i="5"/>
  <c r="L35" i="5"/>
  <c r="AC35" i="5" s="1" a="1"/>
  <c r="AC35" i="5" s="1"/>
  <c r="I35" i="12"/>
  <c r="Z235" i="5"/>
  <c r="I235" i="5"/>
  <c r="I236" i="5" s="1"/>
  <c r="I237" i="5" s="1"/>
  <c r="I238" i="5" s="1"/>
  <c r="I239" i="5" s="1"/>
  <c r="X234" i="5" a="1"/>
  <c r="X234" i="5" s="1"/>
  <c r="L235" i="5"/>
  <c r="AC235" i="5" s="1" a="1"/>
  <c r="AC235" i="5" s="1"/>
  <c r="I235" i="12"/>
  <c r="AM235" i="5"/>
  <c r="AM47" i="5"/>
  <c r="Z47" i="5"/>
  <c r="L47" i="5"/>
  <c r="AC47" i="5" s="1" a="1"/>
  <c r="AC47" i="5" s="1"/>
  <c r="I47" i="12"/>
  <c r="L201" i="5"/>
  <c r="AC201" i="5" s="1" a="1"/>
  <c r="AC201" i="5" s="1"/>
  <c r="Z201" i="5"/>
  <c r="AM201" i="5"/>
  <c r="I201" i="5"/>
  <c r="I202" i="5" s="1"/>
  <c r="X200" i="5" a="1"/>
  <c r="X200" i="5" s="1"/>
  <c r="I201" i="12"/>
  <c r="Z49" i="5"/>
  <c r="I49" i="12"/>
  <c r="L49" i="5"/>
  <c r="AC49" i="5" s="1" a="1"/>
  <c r="AC49" i="5" s="1"/>
  <c r="AM49" i="5"/>
  <c r="AM152" i="5"/>
  <c r="L152" i="5"/>
  <c r="AC152" i="5" s="1" a="1"/>
  <c r="AC152" i="5" s="1"/>
  <c r="Z152" i="5"/>
  <c r="I152" i="12"/>
  <c r="I42" i="12"/>
  <c r="Z42" i="5"/>
  <c r="AM42" i="5"/>
  <c r="L42" i="5"/>
  <c r="AC42" i="5" s="1" a="1"/>
  <c r="AC42" i="5" s="1"/>
  <c r="I63" i="12"/>
  <c r="L63" i="5"/>
  <c r="AC63" i="5" s="1" a="1"/>
  <c r="AC63" i="5" s="1"/>
  <c r="Z63" i="5"/>
  <c r="I63" i="5"/>
  <c r="I64" i="5" s="1"/>
  <c r="I65" i="5" s="1"/>
  <c r="I66" i="5" s="1"/>
  <c r="I67" i="5" s="1"/>
  <c r="I68" i="5" s="1"/>
  <c r="O68" i="5" s="1"/>
  <c r="X62" i="5" a="1"/>
  <c r="X62" i="5" s="1"/>
  <c r="AM63" i="5"/>
  <c r="X162" i="5" a="1"/>
  <c r="X162" i="5" s="1"/>
  <c r="I163" i="5"/>
  <c r="I164" i="5" s="1"/>
  <c r="I165" i="5" s="1"/>
  <c r="L163" i="5"/>
  <c r="AC163" i="5" s="1" a="1"/>
  <c r="AC163" i="5" s="1"/>
  <c r="Z163" i="5"/>
  <c r="I163" i="12"/>
  <c r="AM163" i="5"/>
  <c r="Z221" i="5"/>
  <c r="L221" i="5"/>
  <c r="AC221" i="5" s="1" a="1"/>
  <c r="AC221" i="5" s="1"/>
  <c r="AM221" i="5"/>
  <c r="I221" i="12"/>
  <c r="L92" i="5"/>
  <c r="AC92" i="5" s="1" a="1"/>
  <c r="AC92" i="5" s="1"/>
  <c r="AM92" i="5"/>
  <c r="I92" i="12"/>
  <c r="Z92" i="5"/>
  <c r="AM29" i="5"/>
  <c r="Z29" i="5"/>
  <c r="I29" i="12"/>
  <c r="L29" i="5"/>
  <c r="AC29" i="5" s="1" a="1"/>
  <c r="AC29" i="5" s="1"/>
  <c r="L186" i="5"/>
  <c r="AC186" i="5" s="1" a="1"/>
  <c r="AC186" i="5" s="1"/>
  <c r="Z186" i="5"/>
  <c r="AM186" i="5"/>
  <c r="X185" i="5" a="1"/>
  <c r="X185" i="5" s="1"/>
  <c r="I186" i="5"/>
  <c r="I187" i="5" s="1"/>
  <c r="I188" i="5" s="1"/>
  <c r="I189" i="5" s="1"/>
  <c r="I186" i="12"/>
  <c r="Z147" i="5"/>
  <c r="AM147" i="5"/>
  <c r="L147" i="5"/>
  <c r="AC147" i="5" s="1" a="1"/>
  <c r="AC147" i="5" s="1"/>
  <c r="I147" i="12"/>
  <c r="AM93" i="5"/>
  <c r="Z93" i="5"/>
  <c r="I93" i="12"/>
  <c r="L93" i="5"/>
  <c r="AC93" i="5" s="1" a="1"/>
  <c r="AC93" i="5" s="1"/>
  <c r="L134" i="5"/>
  <c r="AC134" i="5" s="1" a="1"/>
  <c r="AC134" i="5" s="1"/>
  <c r="X133" i="5" a="1"/>
  <c r="X133" i="5" s="1"/>
  <c r="I134" i="12"/>
  <c r="AM134" i="5"/>
  <c r="Z134" i="5"/>
  <c r="I134" i="5"/>
  <c r="I135" i="5" s="1"/>
  <c r="I136" i="5" s="1"/>
  <c r="I137" i="5" s="1"/>
  <c r="I138" i="5" s="1"/>
  <c r="I139" i="5" s="1"/>
  <c r="I209" i="12"/>
  <c r="Z209" i="5"/>
  <c r="AM209" i="5"/>
  <c r="L209" i="5"/>
  <c r="AC209" i="5" s="1" a="1"/>
  <c r="AC209" i="5" s="1"/>
  <c r="L215" i="5"/>
  <c r="AC215" i="5" s="1" a="1"/>
  <c r="AC215" i="5" s="1"/>
  <c r="I215" i="5"/>
  <c r="I215" i="12"/>
  <c r="X214" i="5" a="1"/>
  <c r="X214" i="5" s="1"/>
  <c r="Z215" i="5"/>
  <c r="AM215" i="5"/>
  <c r="I102" i="12"/>
  <c r="L102" i="5"/>
  <c r="Z102" i="5"/>
  <c r="AM102" i="5"/>
  <c r="Z148" i="5"/>
  <c r="AM148" i="5"/>
  <c r="L148" i="5"/>
  <c r="AC148" i="5" s="1" a="1"/>
  <c r="AC148" i="5" s="1"/>
  <c r="I148" i="12"/>
  <c r="Z192" i="5"/>
  <c r="AM192" i="5"/>
  <c r="L192" i="5"/>
  <c r="AC192" i="5" s="1" a="1"/>
  <c r="AC192" i="5" s="1"/>
  <c r="I192" i="12"/>
  <c r="Z109" i="5"/>
  <c r="I109" i="12"/>
  <c r="AM109" i="5"/>
  <c r="X108" i="5" a="1"/>
  <c r="X108" i="5" s="1"/>
  <c r="L109" i="5"/>
  <c r="AC109" i="5" s="1" a="1"/>
  <c r="AC109" i="5" s="1"/>
  <c r="I44" i="12"/>
  <c r="AM44" i="5"/>
  <c r="L44" i="5"/>
  <c r="AC44" i="5" s="1" a="1"/>
  <c r="AC44" i="5" s="1"/>
  <c r="Z44" i="5"/>
  <c r="L229" i="5"/>
  <c r="AC229" i="5" s="1" a="1"/>
  <c r="AC229" i="5" s="1"/>
  <c r="AM229" i="5"/>
  <c r="I229" i="12"/>
  <c r="Z229" i="5"/>
  <c r="L232" i="5"/>
  <c r="AC232" i="5" s="1" a="1"/>
  <c r="AC232" i="5" s="1"/>
  <c r="AM232" i="5"/>
  <c r="Z232" i="5"/>
  <c r="I232" i="12"/>
  <c r="I131" i="12"/>
  <c r="AM131" i="5"/>
  <c r="Z131" i="5"/>
  <c r="L131" i="5"/>
  <c r="AC131" i="5" s="1" a="1"/>
  <c r="AC131" i="5" s="1"/>
  <c r="L144" i="5"/>
  <c r="AC144" i="5" s="1" a="1"/>
  <c r="AC144" i="5" s="1"/>
  <c r="AM144" i="5"/>
  <c r="Z144" i="5"/>
  <c r="I144" i="12"/>
  <c r="L48" i="5"/>
  <c r="AC48" i="5" s="1" a="1"/>
  <c r="AC48" i="5" s="1"/>
  <c r="AM48" i="5"/>
  <c r="Z48" i="5"/>
  <c r="I48" i="12"/>
  <c r="I135" i="12"/>
  <c r="Z135" i="5"/>
  <c r="AM135" i="5"/>
  <c r="L135" i="5"/>
  <c r="AC135" i="5" s="1" a="1"/>
  <c r="AC135" i="5" s="1"/>
  <c r="Z169" i="5"/>
  <c r="AM169" i="5"/>
  <c r="L169" i="5"/>
  <c r="AC169" i="5" s="1" a="1"/>
  <c r="AC169" i="5" s="1"/>
  <c r="I169" i="12"/>
  <c r="AM59" i="5"/>
  <c r="I59" i="12"/>
  <c r="L59" i="5"/>
  <c r="AC59" i="5" s="1" a="1"/>
  <c r="AC59" i="5" s="1"/>
  <c r="Z59" i="5"/>
  <c r="Z91" i="5"/>
  <c r="L91" i="5"/>
  <c r="AC91" i="5" s="1" a="1"/>
  <c r="AC91" i="5" s="1"/>
  <c r="I91" i="12"/>
  <c r="AM91" i="5"/>
  <c r="I156" i="12"/>
  <c r="L156" i="5"/>
  <c r="AC156" i="5" s="1" a="1"/>
  <c r="AC156" i="5" s="1"/>
  <c r="Z156" i="5"/>
  <c r="AM156" i="5"/>
  <c r="I149" i="12"/>
  <c r="Z149" i="5"/>
  <c r="L149" i="5"/>
  <c r="AC149" i="5" s="1" a="1"/>
  <c r="AC149" i="5" s="1"/>
  <c r="AM149" i="5"/>
  <c r="AM28" i="5"/>
  <c r="L28" i="5"/>
  <c r="AC28" i="5" s="1" a="1"/>
  <c r="AC28" i="5" s="1"/>
  <c r="Z28" i="5"/>
  <c r="I28" i="12"/>
  <c r="Z54" i="5"/>
  <c r="L54" i="5"/>
  <c r="AC54" i="5" s="1" a="1"/>
  <c r="AC54" i="5" s="1"/>
  <c r="I54" i="12"/>
  <c r="AM54" i="5"/>
  <c r="AM155" i="5"/>
  <c r="L155" i="5"/>
  <c r="AC155" i="5" s="1" a="1"/>
  <c r="AC155" i="5" s="1"/>
  <c r="Z155" i="5"/>
  <c r="I155" i="12"/>
  <c r="I164" i="12"/>
  <c r="L164" i="5"/>
  <c r="AC164" i="5" s="1" a="1"/>
  <c r="AC164" i="5" s="1"/>
  <c r="Z164" i="5"/>
  <c r="AM164" i="5"/>
  <c r="L114" i="5"/>
  <c r="AC114" i="5" s="1" a="1"/>
  <c r="AC114" i="5" s="1"/>
  <c r="AM114" i="5"/>
  <c r="Z114" i="5"/>
  <c r="I114" i="12"/>
  <c r="I167" i="5"/>
  <c r="I168" i="5" s="1"/>
  <c r="I169" i="5" s="1"/>
  <c r="I170" i="5" s="1"/>
  <c r="I171" i="5" s="1"/>
  <c r="I167" i="12"/>
  <c r="Z167" i="5"/>
  <c r="X166" i="5" a="1"/>
  <c r="X166" i="5" s="1"/>
  <c r="L167" i="5"/>
  <c r="AC167" i="5" s="1" a="1"/>
  <c r="AC167" i="5" s="1"/>
  <c r="AM167" i="5"/>
  <c r="AM66" i="5"/>
  <c r="L66" i="5"/>
  <c r="AC66" i="5" s="1" a="1"/>
  <c r="AC66" i="5" s="1"/>
  <c r="I66" i="12"/>
  <c r="Z66" i="5"/>
  <c r="AM210" i="5"/>
  <c r="L210" i="5"/>
  <c r="AC210" i="5" s="1" a="1"/>
  <c r="AC210" i="5" s="1"/>
  <c r="I210" i="12"/>
  <c r="Z210" i="5"/>
  <c r="AM238" i="5"/>
  <c r="L238" i="5"/>
  <c r="AC238" i="5" s="1" a="1"/>
  <c r="AC238" i="5" s="1"/>
  <c r="Z238" i="5"/>
  <c r="I238" i="12"/>
  <c r="AM90" i="5"/>
  <c r="L90" i="5"/>
  <c r="AC90" i="5" s="1" a="1"/>
  <c r="AC90" i="5" s="1"/>
  <c r="I90" i="12"/>
  <c r="X89" i="5" a="1"/>
  <c r="X89" i="5" s="1"/>
  <c r="Z90" i="5"/>
  <c r="I90" i="5"/>
  <c r="I91" i="5" s="1"/>
  <c r="I92" i="5" s="1"/>
  <c r="I93" i="5" s="1"/>
  <c r="Z171" i="5"/>
  <c r="L171" i="5"/>
  <c r="AC171" i="5" s="1" a="1"/>
  <c r="AC171" i="5" s="1"/>
  <c r="I171" i="12"/>
  <c r="AM171" i="5"/>
  <c r="L26" i="5"/>
  <c r="AC26" i="5" s="1" a="1"/>
  <c r="AC26" i="5" s="1"/>
  <c r="Z26" i="5"/>
  <c r="I26" i="12"/>
  <c r="AM26" i="5"/>
  <c r="X25" i="5" a="1"/>
  <c r="X25" i="5" s="1"/>
  <c r="X24" i="5" a="1"/>
  <c r="X24" i="5" s="1"/>
  <c r="I39" i="5"/>
  <c r="I39" i="12"/>
  <c r="AM39" i="5"/>
  <c r="L39" i="5"/>
  <c r="AC39" i="5" s="1" a="1"/>
  <c r="AC39" i="5" s="1"/>
  <c r="Z39" i="5"/>
  <c r="L110" i="5"/>
  <c r="AC110" i="5" s="1" a="1"/>
  <c r="AC110" i="5" s="1"/>
  <c r="I110" i="12"/>
  <c r="Z110" i="5"/>
  <c r="AM110" i="5"/>
  <c r="I208" i="12"/>
  <c r="AM208" i="5"/>
  <c r="Z208" i="5"/>
  <c r="L208" i="5"/>
  <c r="AC208" i="5" s="1" a="1"/>
  <c r="AC208" i="5" s="1"/>
  <c r="I117" i="12"/>
  <c r="Z117" i="5"/>
  <c r="AM117" i="5"/>
  <c r="I117" i="5"/>
  <c r="I118" i="5" s="1"/>
  <c r="I119" i="5" s="1"/>
  <c r="I120" i="5" s="1"/>
  <c r="I121" i="5" s="1"/>
  <c r="I122" i="5" s="1"/>
  <c r="I123" i="5" s="1"/>
  <c r="I124" i="5" s="1"/>
  <c r="I125" i="5" s="1"/>
  <c r="I126" i="5" s="1"/>
  <c r="L117" i="5"/>
  <c r="AC117" i="5" s="1" a="1"/>
  <c r="AC117" i="5" s="1"/>
  <c r="X116" i="5" a="1"/>
  <c r="X116" i="5" s="1"/>
  <c r="Z30" i="5"/>
  <c r="AM30" i="5"/>
  <c r="I30" i="12"/>
  <c r="L30" i="5"/>
  <c r="AC30" i="5" s="1" a="1"/>
  <c r="AC30" i="5" s="1"/>
  <c r="AM53" i="5"/>
  <c r="Z53" i="5"/>
  <c r="I53" i="12"/>
  <c r="L53" i="5"/>
  <c r="AC53" i="5" s="1" a="1"/>
  <c r="AC53" i="5" s="1"/>
  <c r="L98" i="5"/>
  <c r="AC98" i="5" s="1" a="1"/>
  <c r="AC98" i="5" s="1"/>
  <c r="I98" i="12"/>
  <c r="Z98" i="5"/>
  <c r="AM98" i="5"/>
  <c r="L237" i="5"/>
  <c r="AC237" i="5" s="1" a="1"/>
  <c r="AC237" i="5" s="1"/>
  <c r="Z237" i="5"/>
  <c r="I237" i="12"/>
  <c r="AM237" i="5"/>
  <c r="AM207" i="5"/>
  <c r="L207" i="5"/>
  <c r="AC207" i="5" s="1" a="1"/>
  <c r="AC207" i="5" s="1"/>
  <c r="Z207" i="5"/>
  <c r="I207" i="12"/>
  <c r="X206" i="5" a="1"/>
  <c r="X206" i="5" s="1"/>
  <c r="I34" i="12"/>
  <c r="L34" i="5"/>
  <c r="AC34" i="5" s="1" a="1"/>
  <c r="AC34" i="5" s="1"/>
  <c r="Z34" i="5"/>
  <c r="AM34" i="5"/>
  <c r="L138" i="5"/>
  <c r="AC138" i="5" s="1" a="1"/>
  <c r="AC138" i="5" s="1"/>
  <c r="AM138" i="5"/>
  <c r="Z138" i="5"/>
  <c r="I138" i="12"/>
  <c r="Z124" i="5"/>
  <c r="AM124" i="5"/>
  <c r="I124" i="12"/>
  <c r="L124" i="5"/>
  <c r="AC124" i="5" s="1" a="1"/>
  <c r="AC124" i="5" s="1"/>
  <c r="AM228" i="5"/>
  <c r="X227" i="5" a="1"/>
  <c r="X227" i="5" s="1"/>
  <c r="I228" i="12"/>
  <c r="I228" i="5"/>
  <c r="I229" i="5" s="1"/>
  <c r="X226" i="5" a="1"/>
  <c r="X226" i="5" s="1"/>
  <c r="L228" i="5"/>
  <c r="AC228" i="5" s="1" a="1"/>
  <c r="AC228" i="5" s="1"/>
  <c r="Z228" i="5"/>
  <c r="Z76" i="5"/>
  <c r="AM76" i="5"/>
  <c r="L76" i="5"/>
  <c r="I76" i="12"/>
  <c r="I69" i="12"/>
  <c r="AM69" i="5"/>
  <c r="L69" i="5"/>
  <c r="AC69" i="5" s="1" a="1"/>
  <c r="AC69" i="5" s="1"/>
  <c r="Z69" i="5"/>
  <c r="AM64" i="5"/>
  <c r="I64" i="12"/>
  <c r="Z64" i="5"/>
  <c r="L64" i="5"/>
  <c r="AC64" i="5" s="1" a="1"/>
  <c r="AC64" i="5" s="1"/>
  <c r="L146" i="5"/>
  <c r="AC146" i="5" s="1" a="1"/>
  <c r="AC146" i="5" s="1"/>
  <c r="AM146" i="5"/>
  <c r="Z146" i="5"/>
  <c r="I146" i="12"/>
  <c r="Z189" i="5"/>
  <c r="L189" i="5"/>
  <c r="AC189" i="5" s="1" a="1"/>
  <c r="AC189" i="5" s="1"/>
  <c r="I189" i="12"/>
  <c r="AM189" i="5"/>
  <c r="I184" i="12"/>
  <c r="L184" i="5"/>
  <c r="AC184" i="5" s="1" a="1"/>
  <c r="AC184" i="5" s="1"/>
  <c r="Z184" i="5"/>
  <c r="AM184" i="5"/>
  <c r="L75" i="5"/>
  <c r="AC75" i="5" s="1" a="1"/>
  <c r="AC75" i="5" s="1"/>
  <c r="I75" i="12"/>
  <c r="AM75" i="5"/>
  <c r="Z75" i="5"/>
  <c r="Z141" i="5"/>
  <c r="I141" i="5"/>
  <c r="I142" i="5" s="1"/>
  <c r="I143" i="5" s="1"/>
  <c r="I144" i="5" s="1"/>
  <c r="I145" i="5" s="1"/>
  <c r="I146" i="5" s="1"/>
  <c r="I147" i="5" s="1"/>
  <c r="I148" i="5" s="1"/>
  <c r="I149" i="5" s="1"/>
  <c r="I150" i="5" s="1"/>
  <c r="I151" i="5" s="1"/>
  <c r="I152" i="5" s="1"/>
  <c r="L141" i="5"/>
  <c r="AC141" i="5" s="1" a="1"/>
  <c r="AC141" i="5" s="1"/>
  <c r="X140" i="5" a="1"/>
  <c r="X140" i="5" s="1"/>
  <c r="AM141" i="5"/>
  <c r="I141" i="12"/>
  <c r="I74" i="12"/>
  <c r="AM74" i="5"/>
  <c r="Z74" i="5"/>
  <c r="L74" i="5"/>
  <c r="AC74" i="5" s="1" a="1"/>
  <c r="AC74" i="5" s="1"/>
  <c r="I74" i="5"/>
  <c r="I75" i="5" s="1"/>
  <c r="I76" i="5" s="1"/>
  <c r="X204" i="5" a="1"/>
  <c r="X204" i="5" s="1"/>
  <c r="X203" i="5" a="1"/>
  <c r="X203" i="5" s="1"/>
  <c r="I205" i="5"/>
  <c r="I206" i="5" s="1"/>
  <c r="I207" i="5" s="1"/>
  <c r="I208" i="5" s="1"/>
  <c r="I209" i="5" s="1"/>
  <c r="I210" i="5" s="1"/>
  <c r="AM205" i="5"/>
  <c r="Z205" i="5"/>
  <c r="I205" i="12"/>
  <c r="L205" i="5"/>
  <c r="AC205" i="5" s="1" a="1"/>
  <c r="AC205" i="5" s="1"/>
  <c r="I18" i="5"/>
  <c r="I20" i="5" s="1"/>
  <c r="I21" i="5" s="1"/>
  <c r="I22" i="5" s="1"/>
  <c r="I23" i="5" s="1"/>
  <c r="I24" i="5" s="1"/>
  <c r="I25" i="5" s="1"/>
  <c r="I26" i="5" s="1"/>
  <c r="I27" i="5" s="1"/>
  <c r="I28" i="5" s="1"/>
  <c r="I29" i="5" s="1"/>
  <c r="I30" i="5" s="1"/>
  <c r="L18" i="5"/>
  <c r="AC18" i="5" s="1" a="1"/>
  <c r="AC18" i="5" s="1"/>
  <c r="I18" i="12"/>
  <c r="AM18" i="5"/>
  <c r="Z18" i="5"/>
  <c r="X17" i="5" a="1"/>
  <c r="X17" i="5" s="1"/>
  <c r="X16" i="5" a="1"/>
  <c r="X16" i="5" s="1"/>
  <c r="X15" i="5"/>
  <c r="I70" i="12"/>
  <c r="Z70" i="5"/>
  <c r="L70" i="5"/>
  <c r="AM70" i="5"/>
  <c r="AM43" i="5"/>
  <c r="I43" i="12"/>
  <c r="Z43" i="5"/>
  <c r="L43" i="5"/>
  <c r="AC43" i="5" s="1" a="1"/>
  <c r="AC43" i="5" s="1"/>
  <c r="I37" i="12"/>
  <c r="AM37" i="5"/>
  <c r="L37" i="5"/>
  <c r="AC37" i="5" s="1" a="1"/>
  <c r="AC37" i="5" s="1"/>
  <c r="Z37" i="5"/>
  <c r="I105" i="5"/>
  <c r="Z105" i="5"/>
  <c r="X103" i="5" a="1"/>
  <c r="X103" i="5" s="1"/>
  <c r="I105" i="12"/>
  <c r="L105" i="5"/>
  <c r="AC105" i="5" s="1" a="1"/>
  <c r="AC105" i="5" s="1"/>
  <c r="AM105" i="5"/>
  <c r="X104" i="5" a="1"/>
  <c r="X104" i="5" s="1"/>
  <c r="Z218" i="5"/>
  <c r="AM218" i="5"/>
  <c r="I218" i="12"/>
  <c r="L218" i="5"/>
  <c r="AC218" i="5" s="1" a="1"/>
  <c r="AC218" i="5" s="1"/>
  <c r="AM19" i="5"/>
  <c r="Z19" i="5"/>
  <c r="I19" i="12"/>
  <c r="L19" i="5"/>
  <c r="I19" i="5"/>
  <c r="O19" i="5" s="1"/>
  <c r="I187" i="12"/>
  <c r="L187" i="5"/>
  <c r="AC187" i="5" s="1" a="1"/>
  <c r="AC187" i="5" s="1"/>
  <c r="Z187" i="5"/>
  <c r="AM187" i="5"/>
  <c r="I191" i="5"/>
  <c r="I192" i="5" s="1"/>
  <c r="AM191" i="5"/>
  <c r="L191" i="5"/>
  <c r="AC191" i="5" s="1" a="1"/>
  <c r="AC191" i="5" s="1"/>
  <c r="X190" i="5" a="1"/>
  <c r="X190" i="5" s="1"/>
  <c r="I191" i="12"/>
  <c r="Z191" i="5"/>
  <c r="I51" i="5"/>
  <c r="I52" i="5" s="1"/>
  <c r="I53" i="5" s="1"/>
  <c r="I54" i="5" s="1"/>
  <c r="Z51" i="5"/>
  <c r="X50" i="5" a="1"/>
  <c r="X50" i="5" s="1"/>
  <c r="L51" i="5"/>
  <c r="AC51" i="5" s="1" a="1"/>
  <c r="AC51" i="5" s="1"/>
  <c r="I51" i="12"/>
  <c r="AM51" i="5"/>
  <c r="Z151" i="5"/>
  <c r="AM151" i="5"/>
  <c r="I151" i="12"/>
  <c r="L151" i="5"/>
  <c r="AC151" i="5" s="1" a="1"/>
  <c r="AC151" i="5" s="1"/>
  <c r="L120" i="5"/>
  <c r="AC120" i="5" s="1" a="1"/>
  <c r="AC120" i="5" s="1"/>
  <c r="AM120" i="5"/>
  <c r="I120" i="12"/>
  <c r="Z120" i="5"/>
  <c r="Z143" i="5"/>
  <c r="I143" i="12"/>
  <c r="AM143" i="5"/>
  <c r="L143" i="5"/>
  <c r="AC143" i="5" s="1" a="1"/>
  <c r="AC143" i="5" s="1"/>
  <c r="I107" i="5"/>
  <c r="I108" i="5" s="1"/>
  <c r="I109" i="5" s="1"/>
  <c r="I110" i="5" s="1"/>
  <c r="L107" i="5"/>
  <c r="AC107" i="5" s="1" a="1"/>
  <c r="AC107" i="5" s="1"/>
  <c r="X106" i="5" a="1"/>
  <c r="X106" i="5" s="1"/>
  <c r="Z107" i="5"/>
  <c r="I107" i="12"/>
  <c r="AM107" i="5"/>
  <c r="L85" i="5"/>
  <c r="AC85" i="5" s="1" a="1"/>
  <c r="AC85" i="5" s="1"/>
  <c r="AM85" i="5"/>
  <c r="Z85" i="5"/>
  <c r="I85" i="12"/>
  <c r="AM86" i="5"/>
  <c r="Z86" i="5"/>
  <c r="I86" i="12"/>
  <c r="L86" i="5"/>
  <c r="AC86" i="5" s="1" a="1"/>
  <c r="AC86" i="5" s="1"/>
  <c r="L168" i="5"/>
  <c r="AC168" i="5" s="1" a="1"/>
  <c r="AC168" i="5" s="1"/>
  <c r="AM168" i="5"/>
  <c r="I168" i="12"/>
  <c r="Z168" i="5"/>
  <c r="AM96" i="5"/>
  <c r="L96" i="5"/>
  <c r="AC96" i="5" s="1" a="1"/>
  <c r="AC96" i="5" s="1"/>
  <c r="I96" i="12"/>
  <c r="Z96" i="5"/>
  <c r="AM182" i="5"/>
  <c r="Z182" i="5"/>
  <c r="L182" i="5"/>
  <c r="AC182" i="5" s="1" a="1"/>
  <c r="AC182" i="5" s="1"/>
  <c r="I182" i="12"/>
  <c r="AM233" i="5"/>
  <c r="I233" i="12"/>
  <c r="L233" i="5"/>
  <c r="AC233" i="5" s="1" a="1"/>
  <c r="AC233" i="5" s="1"/>
  <c r="Z233" i="5"/>
  <c r="I65" i="12"/>
  <c r="L65" i="5"/>
  <c r="AC65" i="5" s="1" a="1"/>
  <c r="AC65" i="5" s="1"/>
  <c r="AM65" i="5"/>
  <c r="Z65" i="5"/>
  <c r="L179" i="5"/>
  <c r="AC179" i="5" s="1" a="1"/>
  <c r="AC179" i="5" s="1"/>
  <c r="Z179" i="5"/>
  <c r="I179" i="12"/>
  <c r="AM179" i="5"/>
  <c r="Z95" i="5"/>
  <c r="I95" i="5"/>
  <c r="I96" i="5" s="1"/>
  <c r="I97" i="5" s="1"/>
  <c r="I98" i="5" s="1"/>
  <c r="I99" i="5" s="1"/>
  <c r="X94" i="5" a="1"/>
  <c r="X94" i="5" s="1"/>
  <c r="L95" i="5"/>
  <c r="AC95" i="5" s="1" a="1"/>
  <c r="AC95" i="5" s="1"/>
  <c r="I95" i="12"/>
  <c r="AM95" i="5"/>
  <c r="X180" i="5" a="1"/>
  <c r="X180" i="5" s="1"/>
  <c r="AM181" i="5"/>
  <c r="L181" i="5"/>
  <c r="AC181" i="5" s="1" a="1"/>
  <c r="AC181" i="5" s="1"/>
  <c r="Z181" i="5"/>
  <c r="I181" i="12"/>
  <c r="I181" i="5"/>
  <c r="I182" i="5" s="1"/>
  <c r="I183" i="5" s="1"/>
  <c r="I184" i="5" s="1"/>
  <c r="I27" i="12"/>
  <c r="Z27" i="5"/>
  <c r="L27" i="5"/>
  <c r="AC27" i="5" s="1" a="1"/>
  <c r="AC27" i="5" s="1"/>
  <c r="AM27" i="5"/>
  <c r="I61" i="12"/>
  <c r="Z61" i="5"/>
  <c r="L61" i="5"/>
  <c r="AC61" i="5" s="1" a="1"/>
  <c r="AC61" i="5" s="1"/>
  <c r="AM61" i="5"/>
  <c r="I87" i="12"/>
  <c r="AM87" i="5"/>
  <c r="Z87" i="5"/>
  <c r="L87" i="5"/>
  <c r="AC87" i="5" s="1" a="1"/>
  <c r="AC87" i="5" s="1"/>
  <c r="AM178" i="5"/>
  <c r="Z178" i="5"/>
  <c r="I178" i="12"/>
  <c r="L178" i="5"/>
  <c r="AC178" i="5" s="1" a="1"/>
  <c r="AC178" i="5" s="1"/>
  <c r="AM236" i="5"/>
  <c r="L236" i="5"/>
  <c r="AC236" i="5" s="1" a="1"/>
  <c r="AC236" i="5" s="1"/>
  <c r="I236" i="12"/>
  <c r="Z236" i="5"/>
  <c r="AM84" i="5"/>
  <c r="Z84" i="5"/>
  <c r="L84" i="5"/>
  <c r="AC84" i="5" s="1" a="1"/>
  <c r="AC84" i="5" s="1"/>
  <c r="I84" i="12"/>
  <c r="I139" i="12"/>
  <c r="AM139" i="5"/>
  <c r="L139" i="5"/>
  <c r="AC139" i="5" s="1" a="1"/>
  <c r="AC139" i="5" s="1"/>
  <c r="Z139" i="5"/>
  <c r="L159" i="5"/>
  <c r="AC159" i="5" s="1" a="1"/>
  <c r="AC159" i="5" s="1"/>
  <c r="Z159" i="5"/>
  <c r="I159" i="5"/>
  <c r="AM159" i="5"/>
  <c r="X158" i="5" a="1"/>
  <c r="X158" i="5" s="1"/>
  <c r="I159" i="12"/>
  <c r="AM198" i="5"/>
  <c r="L198" i="5"/>
  <c r="AC198" i="5" s="1" a="1"/>
  <c r="AC198" i="5" s="1"/>
  <c r="X196" i="5" a="1"/>
  <c r="X196" i="5" s="1"/>
  <c r="X197" i="5" a="1"/>
  <c r="X197" i="5" s="1"/>
  <c r="I198" i="12"/>
  <c r="I198" i="5"/>
  <c r="I199" i="5" s="1"/>
  <c r="Z198" i="5"/>
  <c r="C19" i="6" l="1"/>
  <c r="AC19" i="5" a="1"/>
  <c r="AC19" i="5" s="1"/>
  <c r="C102" i="6"/>
  <c r="AC102" i="5" a="1"/>
  <c r="AC102" i="5" s="1"/>
  <c r="C70" i="6"/>
  <c r="AC70" i="5" a="1"/>
  <c r="AC70" i="5" s="1"/>
  <c r="C76" i="6"/>
  <c r="AC76" i="5" a="1"/>
  <c r="AC76" i="5" s="1"/>
  <c r="O76" i="5"/>
  <c r="E76" i="6" s="1"/>
  <c r="I69" i="5"/>
  <c r="I70" i="5" s="1"/>
  <c r="D76" i="12"/>
  <c r="Z50" i="5"/>
  <c r="L50" i="5"/>
  <c r="AM50" i="5"/>
  <c r="I50" i="12"/>
  <c r="AB19" i="5" a="1"/>
  <c r="AB19" i="5" s="1"/>
  <c r="AO37" i="12" a="1"/>
  <c r="AO37" i="12" s="1"/>
  <c r="O37" i="12" a="1"/>
  <c r="O37" i="12" s="1"/>
  <c r="C37" i="12"/>
  <c r="M37" i="12" a="1"/>
  <c r="M37" i="12" s="1"/>
  <c r="O141" i="5"/>
  <c r="C141" i="6"/>
  <c r="O146" i="12" a="1"/>
  <c r="O146" i="12" s="1"/>
  <c r="C146" i="12"/>
  <c r="AO146" i="12" a="1"/>
  <c r="AO146" i="12" s="1"/>
  <c r="M146" i="12" a="1"/>
  <c r="M146" i="12" s="1"/>
  <c r="C138" i="6"/>
  <c r="O138" i="5"/>
  <c r="C98" i="12"/>
  <c r="AO98" i="12" a="1"/>
  <c r="AO98" i="12" s="1"/>
  <c r="O98" i="12" a="1"/>
  <c r="O98" i="12" s="1"/>
  <c r="M98" i="12" a="1"/>
  <c r="M98" i="12" s="1"/>
  <c r="AO117" i="12" a="1"/>
  <c r="AO117" i="12" s="1"/>
  <c r="O117" i="12" a="1"/>
  <c r="O117" i="12" s="1"/>
  <c r="M117" i="12" a="1"/>
  <c r="M117" i="12" s="1"/>
  <c r="C117" i="12"/>
  <c r="O238" i="5"/>
  <c r="C238" i="6"/>
  <c r="O114" i="12" a="1"/>
  <c r="O114" i="12" s="1"/>
  <c r="M114" i="12" a="1"/>
  <c r="M114" i="12" s="1"/>
  <c r="AO114" i="12" a="1"/>
  <c r="AO114" i="12" s="1"/>
  <c r="C114" i="12"/>
  <c r="C28" i="12"/>
  <c r="O28" i="12" a="1"/>
  <c r="O28" i="12" s="1"/>
  <c r="M28" i="12" a="1"/>
  <c r="M28" i="12" s="1"/>
  <c r="AO28" i="12" a="1"/>
  <c r="AO28" i="12" s="1"/>
  <c r="AB59" i="5" a="1"/>
  <c r="AB59" i="5" s="1"/>
  <c r="AO144" i="12" a="1"/>
  <c r="AO144" i="12" s="1"/>
  <c r="O144" i="12" a="1"/>
  <c r="O144" i="12" s="1"/>
  <c r="M144" i="12" a="1"/>
  <c r="M144" i="12" s="1"/>
  <c r="C144" i="12"/>
  <c r="AB44" i="5" a="1"/>
  <c r="AB44" i="5" s="1"/>
  <c r="AB148" i="5" a="1"/>
  <c r="AB148" i="5" s="1"/>
  <c r="AB134" i="5" a="1"/>
  <c r="AB134" i="5" s="1"/>
  <c r="M163" i="12" a="1"/>
  <c r="M163" i="12" s="1"/>
  <c r="O163" i="12" a="1"/>
  <c r="O163" i="12" s="1"/>
  <c r="C163" i="12"/>
  <c r="AO163" i="12" a="1"/>
  <c r="AO163" i="12" s="1"/>
  <c r="AB152" i="5" a="1"/>
  <c r="AB152" i="5" s="1"/>
  <c r="C142" i="6"/>
  <c r="O142" i="5"/>
  <c r="AO157" i="12" a="1"/>
  <c r="AO157" i="12" s="1"/>
  <c r="C157" i="12"/>
  <c r="O157" i="12" a="1"/>
  <c r="O157" i="12" s="1"/>
  <c r="M157" i="12" a="1"/>
  <c r="M157" i="12" s="1"/>
  <c r="AB123" i="5" a="1"/>
  <c r="AB123" i="5" s="1"/>
  <c r="AB188" i="5" a="1"/>
  <c r="AB188" i="5" s="1"/>
  <c r="AO101" i="12" a="1"/>
  <c r="AO101" i="12" s="1"/>
  <c r="O101" i="12" a="1"/>
  <c r="O101" i="12" s="1"/>
  <c r="C101" i="12"/>
  <c r="M101" i="12" a="1"/>
  <c r="M101" i="12" s="1"/>
  <c r="O73" i="12" a="1"/>
  <c r="O73" i="12" s="1"/>
  <c r="C73" i="12"/>
  <c r="AO73" i="12" a="1"/>
  <c r="AO73" i="12" s="1"/>
  <c r="M73" i="12" a="1"/>
  <c r="M73" i="12" s="1"/>
  <c r="AB195" i="5" a="1"/>
  <c r="AB195" i="5" s="1"/>
  <c r="O67" i="12" a="1"/>
  <c r="O67" i="12" s="1"/>
  <c r="M67" i="12" a="1"/>
  <c r="M67" i="12" s="1"/>
  <c r="C67" i="12"/>
  <c r="AO67" i="12" a="1"/>
  <c r="AO67" i="12" s="1"/>
  <c r="AB78" i="5" a="1"/>
  <c r="AB78" i="5" s="1"/>
  <c r="AB145" i="5" a="1"/>
  <c r="AB145" i="5" s="1"/>
  <c r="O23" i="12" a="1"/>
  <c r="O23" i="12" s="1"/>
  <c r="AO23" i="12" a="1"/>
  <c r="AO23" i="12" s="1"/>
  <c r="C23" i="12"/>
  <c r="M23" i="12" a="1"/>
  <c r="M23" i="12" s="1"/>
  <c r="M22" i="12" s="1" a="1"/>
  <c r="M22" i="12" s="1"/>
  <c r="AB32" i="5" a="1"/>
  <c r="AB32" i="5" s="1"/>
  <c r="AO161" i="12" a="1"/>
  <c r="AO161" i="12" s="1"/>
  <c r="O161" i="12" a="1"/>
  <c r="O161" i="12" s="1"/>
  <c r="C161" i="12"/>
  <c r="M161" i="12" a="1"/>
  <c r="M161" i="12" s="1"/>
  <c r="M160" i="12" s="1" a="1"/>
  <c r="M160" i="12" s="1"/>
  <c r="M126" i="12" a="1"/>
  <c r="M126" i="12" s="1"/>
  <c r="O126" i="12" a="1"/>
  <c r="O126" i="12" s="1"/>
  <c r="AO126" i="12" a="1"/>
  <c r="AO126" i="12" s="1"/>
  <c r="C126" i="12"/>
  <c r="AB159" i="5" a="1"/>
  <c r="AB159" i="5" s="1"/>
  <c r="AB158" i="5" s="1" a="1"/>
  <c r="AB158" i="5" s="1"/>
  <c r="AB178" i="5" a="1"/>
  <c r="AB178" i="5" s="1"/>
  <c r="AB181" i="5" a="1"/>
  <c r="AB181" i="5" s="1"/>
  <c r="C65" i="6"/>
  <c r="O65" i="5"/>
  <c r="O143" i="5"/>
  <c r="C143" i="6"/>
  <c r="AB51" i="5" a="1"/>
  <c r="AB51" i="5" s="1"/>
  <c r="C43" i="6"/>
  <c r="O43" i="5"/>
  <c r="C205" i="6"/>
  <c r="O205" i="5"/>
  <c r="AB146" i="5" a="1"/>
  <c r="AB146" i="5" s="1"/>
  <c r="AB76" i="5" a="1"/>
  <c r="AB76" i="5" s="1"/>
  <c r="O98" i="5"/>
  <c r="C98" i="6"/>
  <c r="C208" i="6"/>
  <c r="O208" i="5"/>
  <c r="C26" i="12"/>
  <c r="O26" i="12" a="1"/>
  <c r="O26" i="12" s="1"/>
  <c r="AO26" i="12" a="1"/>
  <c r="AO26" i="12" s="1"/>
  <c r="M26" i="12" a="1"/>
  <c r="M26" i="12" s="1"/>
  <c r="AB114" i="5" a="1"/>
  <c r="AB114" i="5" s="1"/>
  <c r="AB28" i="5" a="1"/>
  <c r="AB28" i="5" s="1"/>
  <c r="C59" i="6"/>
  <c r="O59" i="5"/>
  <c r="AB144" i="5" a="1"/>
  <c r="AB144" i="5" s="1"/>
  <c r="C44" i="6"/>
  <c r="O44" i="5"/>
  <c r="AB186" i="5" a="1"/>
  <c r="AB186" i="5" s="1"/>
  <c r="AB163" i="5" a="1"/>
  <c r="AB163" i="5" s="1"/>
  <c r="C152" i="6"/>
  <c r="O152" i="5"/>
  <c r="O142" i="12" a="1"/>
  <c r="O142" i="12" s="1"/>
  <c r="C142" i="12"/>
  <c r="M142" i="12" a="1"/>
  <c r="M142" i="12" s="1"/>
  <c r="AO142" i="12" a="1"/>
  <c r="AO142" i="12" s="1"/>
  <c r="C202" i="6"/>
  <c r="O202" i="5"/>
  <c r="Z121" i="5"/>
  <c r="S35" i="8"/>
  <c r="L121" i="5"/>
  <c r="AM121" i="5"/>
  <c r="I121" i="12"/>
  <c r="L111" i="5"/>
  <c r="Z111" i="5"/>
  <c r="I111" i="12"/>
  <c r="AM111" i="5"/>
  <c r="S32" i="8"/>
  <c r="O188" i="12" a="1"/>
  <c r="O188" i="12" s="1"/>
  <c r="M188" i="12" a="1"/>
  <c r="M188" i="12" s="1"/>
  <c r="AO188" i="12" a="1"/>
  <c r="AO188" i="12" s="1"/>
  <c r="C188" i="12"/>
  <c r="AM100" i="5"/>
  <c r="Z100" i="5"/>
  <c r="I100" i="12"/>
  <c r="L100" i="5"/>
  <c r="O67" i="5"/>
  <c r="C67" i="6"/>
  <c r="M174" i="12" a="1"/>
  <c r="M174" i="12" s="1"/>
  <c r="C174" i="12"/>
  <c r="AO174" i="12" a="1"/>
  <c r="AO174" i="12" s="1"/>
  <c r="O174" i="12" a="1"/>
  <c r="O174" i="12" s="1"/>
  <c r="C33" i="12"/>
  <c r="M33" i="12" a="1"/>
  <c r="M33" i="12" s="1"/>
  <c r="O33" i="12" a="1"/>
  <c r="O33" i="12" s="1"/>
  <c r="AO33" i="12" a="1"/>
  <c r="AO33" i="12" s="1"/>
  <c r="C23" i="6"/>
  <c r="O23" i="5"/>
  <c r="AO32" i="12" a="1"/>
  <c r="AO32" i="12" s="1"/>
  <c r="C32" i="12"/>
  <c r="M32" i="12" a="1"/>
  <c r="M32" i="12" s="1"/>
  <c r="O32" i="12" a="1"/>
  <c r="O32" i="12" s="1"/>
  <c r="O161" i="5"/>
  <c r="C161" i="6"/>
  <c r="AB126" i="5" a="1"/>
  <c r="AB126" i="5" s="1"/>
  <c r="AB208" i="5" a="1"/>
  <c r="AB208" i="5" s="1"/>
  <c r="C28" i="6"/>
  <c r="O28" i="5"/>
  <c r="C134" i="12"/>
  <c r="O134" i="12" a="1"/>
  <c r="O134" i="12" s="1"/>
  <c r="AO134" i="12" a="1"/>
  <c r="AO134" i="12" s="1"/>
  <c r="M134" i="12" a="1"/>
  <c r="M134" i="12" s="1"/>
  <c r="C186" i="6"/>
  <c r="O186" i="5"/>
  <c r="O163" i="5"/>
  <c r="C163" i="6"/>
  <c r="M235" i="12" a="1"/>
  <c r="M235" i="12" s="1"/>
  <c r="O235" i="12" a="1"/>
  <c r="O235" i="12" s="1"/>
  <c r="C235" i="12"/>
  <c r="AO235" i="12" a="1"/>
  <c r="AO235" i="12" s="1"/>
  <c r="AB142" i="5" a="1"/>
  <c r="AB142" i="5" s="1"/>
  <c r="AO202" i="12" a="1"/>
  <c r="AO202" i="12" s="1"/>
  <c r="C202" i="12"/>
  <c r="O202" i="12" a="1"/>
  <c r="O202" i="12" s="1"/>
  <c r="M202" i="12" a="1"/>
  <c r="M202" i="12" s="1"/>
  <c r="AB224" i="5" a="1"/>
  <c r="AB224" i="5" s="1"/>
  <c r="AO128" i="12" a="1"/>
  <c r="AO128" i="12" s="1"/>
  <c r="C128" i="12"/>
  <c r="O128" i="12" a="1"/>
  <c r="O128" i="12" s="1"/>
  <c r="M128" i="12" a="1"/>
  <c r="M128" i="12" s="1"/>
  <c r="AB113" i="5" a="1"/>
  <c r="AB113" i="5" s="1"/>
  <c r="O188" i="5"/>
  <c r="C188" i="6"/>
  <c r="O102" i="5"/>
  <c r="AB220" i="5" a="1"/>
  <c r="AB220" i="5" s="1"/>
  <c r="C195" i="6"/>
  <c r="O195" i="5"/>
  <c r="O78" i="5"/>
  <c r="C78" i="6"/>
  <c r="AB183" i="5" a="1"/>
  <c r="AB183" i="5" s="1"/>
  <c r="AB33" i="5" a="1"/>
  <c r="AB33" i="5" s="1"/>
  <c r="AM22" i="5"/>
  <c r="I22" i="12"/>
  <c r="S23" i="8"/>
  <c r="L22" i="5"/>
  <c r="Z22" i="5"/>
  <c r="O32" i="5"/>
  <c r="C32" i="6"/>
  <c r="AB102" i="5" a="1"/>
  <c r="AB102" i="5" s="1"/>
  <c r="AB139" i="5" a="1"/>
  <c r="AB139" i="5" s="1"/>
  <c r="O87" i="5"/>
  <c r="C87" i="6"/>
  <c r="AB233" i="5" a="1"/>
  <c r="AB233" i="5" s="1"/>
  <c r="C86" i="6"/>
  <c r="O86" i="5"/>
  <c r="O143" i="12" a="1"/>
  <c r="O143" i="12" s="1"/>
  <c r="M143" i="12" a="1"/>
  <c r="M143" i="12" s="1"/>
  <c r="C143" i="12"/>
  <c r="AO143" i="12" a="1"/>
  <c r="AO143" i="12" s="1"/>
  <c r="AB191" i="5" a="1"/>
  <c r="AB191" i="5" s="1"/>
  <c r="O218" i="12" a="1"/>
  <c r="O218" i="12" s="1"/>
  <c r="C218" i="12"/>
  <c r="AO218" i="12" a="1"/>
  <c r="AO218" i="12" s="1"/>
  <c r="M218" i="12" a="1"/>
  <c r="M218" i="12" s="1"/>
  <c r="C43" i="12"/>
  <c r="O43" i="12" a="1"/>
  <c r="O43" i="12" s="1"/>
  <c r="M43" i="12" a="1"/>
  <c r="M43" i="12" s="1"/>
  <c r="AO43" i="12" a="1"/>
  <c r="AO43" i="12" s="1"/>
  <c r="AB205" i="5" a="1"/>
  <c r="AB205" i="5" s="1"/>
  <c r="C146" i="6"/>
  <c r="O146" i="5"/>
  <c r="C228" i="6"/>
  <c r="O228" i="5"/>
  <c r="C34" i="6"/>
  <c r="O34" i="5"/>
  <c r="M53" i="12" a="1"/>
  <c r="M53" i="12" s="1"/>
  <c r="C53" i="12"/>
  <c r="AO53" i="12" a="1"/>
  <c r="AO53" i="12" s="1"/>
  <c r="O53" i="12" a="1"/>
  <c r="O53" i="12" s="1"/>
  <c r="O26" i="5"/>
  <c r="C26" i="6"/>
  <c r="AO210" i="12" a="1"/>
  <c r="AO210" i="12" s="1"/>
  <c r="O210" i="12" a="1"/>
  <c r="O210" i="12" s="1"/>
  <c r="M210" i="12" a="1"/>
  <c r="M210" i="12" s="1"/>
  <c r="C210" i="12"/>
  <c r="O114" i="5"/>
  <c r="C114" i="6"/>
  <c r="C144" i="6"/>
  <c r="O144" i="5"/>
  <c r="AO44" i="12" a="1"/>
  <c r="AO44" i="12" s="1"/>
  <c r="O44" i="12" a="1"/>
  <c r="O44" i="12" s="1"/>
  <c r="C44" i="12"/>
  <c r="M44" i="12" a="1"/>
  <c r="M44" i="12" s="1"/>
  <c r="AM133" i="5"/>
  <c r="I133" i="12"/>
  <c r="Z133" i="5"/>
  <c r="L133" i="5"/>
  <c r="C29" i="6"/>
  <c r="O29" i="5"/>
  <c r="O235" i="5"/>
  <c r="C235" i="6"/>
  <c r="C41" i="6"/>
  <c r="O41" i="5"/>
  <c r="C101" i="6"/>
  <c r="O101" i="5"/>
  <c r="C174" i="6"/>
  <c r="O174" i="5"/>
  <c r="O183" i="5"/>
  <c r="C183" i="6"/>
  <c r="O33" i="5"/>
  <c r="C33" i="6"/>
  <c r="AB60" i="5" a="1"/>
  <c r="AB60" i="5" s="1"/>
  <c r="M168" i="12" a="1"/>
  <c r="M168" i="12" s="1"/>
  <c r="O168" i="12" a="1"/>
  <c r="O168" i="12" s="1"/>
  <c r="AO168" i="12" a="1"/>
  <c r="AO168" i="12" s="1"/>
  <c r="C168" i="12"/>
  <c r="C181" i="6"/>
  <c r="O181" i="5"/>
  <c r="AB143" i="5" a="1"/>
  <c r="AB143" i="5" s="1"/>
  <c r="M191" i="12" a="1"/>
  <c r="M191" i="12" s="1"/>
  <c r="AO191" i="12" a="1"/>
  <c r="AO191" i="12" s="1"/>
  <c r="C191" i="12"/>
  <c r="O191" i="12" a="1"/>
  <c r="O191" i="12" s="1"/>
  <c r="AB75" i="5" a="1"/>
  <c r="AB75" i="5" s="1"/>
  <c r="O64" i="5"/>
  <c r="C64" i="6"/>
  <c r="AM226" i="5"/>
  <c r="I226" i="12"/>
  <c r="Z226" i="5"/>
  <c r="L226" i="5"/>
  <c r="AO34" i="12" a="1"/>
  <c r="AO34" i="12" s="1"/>
  <c r="M34" i="12" a="1"/>
  <c r="M34" i="12" s="1"/>
  <c r="C34" i="12"/>
  <c r="O34" i="12" a="1"/>
  <c r="O34" i="12" s="1"/>
  <c r="AB53" i="5" a="1"/>
  <c r="AB53" i="5" s="1"/>
  <c r="AO208" i="12" a="1"/>
  <c r="AO208" i="12" s="1"/>
  <c r="M208" i="12" a="1"/>
  <c r="M208" i="12" s="1"/>
  <c r="O208" i="12" a="1"/>
  <c r="O208" i="12" s="1"/>
  <c r="C208" i="12"/>
  <c r="C210" i="6"/>
  <c r="O210" i="5"/>
  <c r="O169" i="12" a="1"/>
  <c r="O169" i="12" s="1"/>
  <c r="AO169" i="12" a="1"/>
  <c r="AO169" i="12" s="1"/>
  <c r="C169" i="12"/>
  <c r="M169" i="12" a="1"/>
  <c r="M169" i="12" s="1"/>
  <c r="C131" i="6"/>
  <c r="O131" i="5"/>
  <c r="O109" i="5"/>
  <c r="C109" i="6"/>
  <c r="C102" i="12"/>
  <c r="M102" i="12" a="1"/>
  <c r="M102" i="12" s="1"/>
  <c r="AO102" i="12" a="1"/>
  <c r="AO102" i="12" s="1"/>
  <c r="O102" i="12" a="1"/>
  <c r="O102" i="12" s="1"/>
  <c r="O134" i="5"/>
  <c r="C134" i="6"/>
  <c r="M29" i="12" a="1"/>
  <c r="M29" i="12" s="1"/>
  <c r="O29" i="12" a="1"/>
  <c r="O29" i="12" s="1"/>
  <c r="AO29" i="12" a="1"/>
  <c r="AO29" i="12" s="1"/>
  <c r="C29" i="12"/>
  <c r="I162" i="12"/>
  <c r="AM162" i="5"/>
  <c r="Z162" i="5"/>
  <c r="L162" i="5"/>
  <c r="O49" i="5"/>
  <c r="C49" i="6"/>
  <c r="S53" i="8"/>
  <c r="I234" i="12"/>
  <c r="AM234" i="5"/>
  <c r="Z234" i="5"/>
  <c r="L234" i="5"/>
  <c r="L216" i="5"/>
  <c r="I216" i="12"/>
  <c r="AM216" i="5"/>
  <c r="Z216" i="5"/>
  <c r="I222" i="12"/>
  <c r="AM222" i="5"/>
  <c r="Z222" i="5"/>
  <c r="L222" i="5"/>
  <c r="S50" i="8"/>
  <c r="L127" i="5"/>
  <c r="Z127" i="5"/>
  <c r="I127" i="12"/>
  <c r="AM127" i="5"/>
  <c r="AM112" i="5"/>
  <c r="L112" i="5"/>
  <c r="Z112" i="5"/>
  <c r="I112" i="12"/>
  <c r="O170" i="5"/>
  <c r="C170" i="6"/>
  <c r="M220" i="12" a="1"/>
  <c r="M220" i="12" s="1"/>
  <c r="C220" i="12"/>
  <c r="AO220" i="12" a="1"/>
  <c r="AO220" i="12" s="1"/>
  <c r="O220" i="12" a="1"/>
  <c r="O220" i="12" s="1"/>
  <c r="Z193" i="5"/>
  <c r="AM193" i="5"/>
  <c r="L193" i="5"/>
  <c r="I193" i="12"/>
  <c r="S44" i="8"/>
  <c r="C129" i="6"/>
  <c r="O129" i="5"/>
  <c r="AB174" i="5" a="1"/>
  <c r="AB174" i="5" s="1"/>
  <c r="M183" i="12" a="1"/>
  <c r="M183" i="12" s="1"/>
  <c r="C183" i="12"/>
  <c r="O183" i="12" a="1"/>
  <c r="O183" i="12" s="1"/>
  <c r="AO183" i="12" a="1"/>
  <c r="AO183" i="12" s="1"/>
  <c r="AB23" i="5" a="1"/>
  <c r="AB23" i="5" s="1"/>
  <c r="AB22" i="5" s="1" a="1"/>
  <c r="AB22" i="5" s="1"/>
  <c r="AM160" i="5"/>
  <c r="Z160" i="5"/>
  <c r="I160" i="12"/>
  <c r="L160" i="5"/>
  <c r="C60" i="6"/>
  <c r="O60" i="5"/>
  <c r="AB228" i="5" a="1"/>
  <c r="AB228" i="5" s="1"/>
  <c r="M59" i="12" a="1"/>
  <c r="M59" i="12" s="1"/>
  <c r="O59" i="12" a="1"/>
  <c r="O59" i="12" s="1"/>
  <c r="C59" i="12"/>
  <c r="AO59" i="12" a="1"/>
  <c r="AO59" i="12" s="1"/>
  <c r="AB86" i="5" a="1"/>
  <c r="AB86" i="5" s="1"/>
  <c r="AB64" i="5" a="1"/>
  <c r="AB64" i="5" s="1"/>
  <c r="L206" i="5"/>
  <c r="AM206" i="5"/>
  <c r="Z206" i="5"/>
  <c r="I206" i="12"/>
  <c r="AO171" i="12" a="1"/>
  <c r="AO171" i="12" s="1"/>
  <c r="C171" i="12"/>
  <c r="M171" i="12" a="1"/>
  <c r="M171" i="12" s="1"/>
  <c r="O171" i="12" a="1"/>
  <c r="O171" i="12" s="1"/>
  <c r="AB164" i="5" a="1"/>
  <c r="AB164" i="5" s="1"/>
  <c r="C149" i="6"/>
  <c r="O149" i="5"/>
  <c r="C169" i="6"/>
  <c r="O169" i="5"/>
  <c r="AB131" i="5" a="1"/>
  <c r="AB131" i="5" s="1"/>
  <c r="I108" i="12"/>
  <c r="L108" i="5"/>
  <c r="Z108" i="5"/>
  <c r="AM108" i="5"/>
  <c r="C93" i="6"/>
  <c r="O93" i="5"/>
  <c r="AB29" i="5" a="1"/>
  <c r="AB29" i="5" s="1"/>
  <c r="M49" i="12" a="1"/>
  <c r="M49" i="12" s="1"/>
  <c r="AO49" i="12" a="1"/>
  <c r="AO49" i="12" s="1"/>
  <c r="C49" i="12"/>
  <c r="O49" i="12" a="1"/>
  <c r="O49" i="12" s="1"/>
  <c r="AB41" i="5" a="1"/>
  <c r="AB41" i="5" s="1"/>
  <c r="C224" i="12"/>
  <c r="M224" i="12" a="1"/>
  <c r="M224" i="12" s="1"/>
  <c r="O224" i="12" a="1"/>
  <c r="O224" i="12" s="1"/>
  <c r="AO224" i="12" a="1"/>
  <c r="AO224" i="12" s="1"/>
  <c r="C113" i="12"/>
  <c r="AO113" i="12" a="1"/>
  <c r="AO113" i="12" s="1"/>
  <c r="M113" i="12" a="1"/>
  <c r="M113" i="12" s="1"/>
  <c r="O113" i="12" a="1"/>
  <c r="O113" i="12" s="1"/>
  <c r="O170" i="12" a="1"/>
  <c r="O170" i="12" s="1"/>
  <c r="AO170" i="12" a="1"/>
  <c r="AO170" i="12" s="1"/>
  <c r="M170" i="12" a="1"/>
  <c r="M170" i="12" s="1"/>
  <c r="C170" i="12"/>
  <c r="AB231" i="5" a="1"/>
  <c r="AB231" i="5" s="1"/>
  <c r="O220" i="5"/>
  <c r="C220" i="6"/>
  <c r="L194" i="5"/>
  <c r="I194" i="12"/>
  <c r="AM194" i="5"/>
  <c r="Z194" i="5"/>
  <c r="AB129" i="5" a="1"/>
  <c r="AB129" i="5" s="1"/>
  <c r="O165" i="12" a="1"/>
  <c r="O165" i="12" s="1"/>
  <c r="C165" i="12"/>
  <c r="AO165" i="12" a="1"/>
  <c r="AO165" i="12" s="1"/>
  <c r="M165" i="12" a="1"/>
  <c r="M165" i="12" s="1"/>
  <c r="C52" i="12"/>
  <c r="AO52" i="12" a="1"/>
  <c r="AO52" i="12" s="1"/>
  <c r="O52" i="12" a="1"/>
  <c r="O52" i="12" s="1"/>
  <c r="M52" i="12" a="1"/>
  <c r="M52" i="12" s="1"/>
  <c r="S41" i="8"/>
  <c r="AM175" i="5"/>
  <c r="L175" i="5"/>
  <c r="Z175" i="5"/>
  <c r="I175" i="12"/>
  <c r="AM132" i="5"/>
  <c r="I132" i="12"/>
  <c r="Z132" i="5"/>
  <c r="L132" i="5"/>
  <c r="S38" i="8"/>
  <c r="AO60" i="12" a="1"/>
  <c r="AO60" i="12" s="1"/>
  <c r="C60" i="12"/>
  <c r="M60" i="12" a="1"/>
  <c r="M60" i="12" s="1"/>
  <c r="O60" i="12" a="1"/>
  <c r="O60" i="12" s="1"/>
  <c r="AB141" i="5" a="1"/>
  <c r="AB141" i="5" s="1"/>
  <c r="AO120" i="12" a="1"/>
  <c r="AO120" i="12" s="1"/>
  <c r="O120" i="12" a="1"/>
  <c r="O120" i="12" s="1"/>
  <c r="C120" i="12"/>
  <c r="M120" i="12" a="1"/>
  <c r="M120" i="12" s="1"/>
  <c r="AO207" i="12" a="1"/>
  <c r="AO207" i="12" s="1"/>
  <c r="M207" i="12" a="1"/>
  <c r="M207" i="12" s="1"/>
  <c r="O207" i="12" a="1"/>
  <c r="O207" i="12" s="1"/>
  <c r="C207" i="12"/>
  <c r="O30" i="5"/>
  <c r="C30" i="6"/>
  <c r="AB110" i="5" a="1"/>
  <c r="AB110" i="5" s="1"/>
  <c r="O171" i="5"/>
  <c r="C171" i="6"/>
  <c r="AB66" i="5" a="1"/>
  <c r="AB66" i="5" s="1"/>
  <c r="C164" i="6"/>
  <c r="O164" i="5"/>
  <c r="AB149" i="5" a="1"/>
  <c r="AB149" i="5" s="1"/>
  <c r="AB215" i="5" a="1"/>
  <c r="AB215" i="5" s="1"/>
  <c r="AB214" i="5" s="1" a="1"/>
  <c r="AB214" i="5" s="1"/>
  <c r="AO93" i="12" a="1"/>
  <c r="AO93" i="12" s="1"/>
  <c r="O93" i="12" a="1"/>
  <c r="O93" i="12" s="1"/>
  <c r="C93" i="12"/>
  <c r="M93" i="12" a="1"/>
  <c r="M93" i="12" s="1"/>
  <c r="Z62" i="5"/>
  <c r="L62" i="5"/>
  <c r="AM62" i="5"/>
  <c r="I62" i="12"/>
  <c r="AB49" i="5" a="1"/>
  <c r="AB49" i="5" s="1"/>
  <c r="AB235" i="5" a="1"/>
  <c r="AB235" i="5" s="1"/>
  <c r="C41" i="12"/>
  <c r="AO41" i="12" a="1"/>
  <c r="AO41" i="12" s="1"/>
  <c r="M41" i="12" a="1"/>
  <c r="M41" i="12" s="1"/>
  <c r="O41" i="12" a="1"/>
  <c r="O41" i="12" s="1"/>
  <c r="AB217" i="5" a="1"/>
  <c r="AB217" i="5" s="1"/>
  <c r="C224" i="6"/>
  <c r="O224" i="5"/>
  <c r="C128" i="6"/>
  <c r="O128" i="5"/>
  <c r="AB170" i="5" a="1"/>
  <c r="AB170" i="5" s="1"/>
  <c r="C231" i="6"/>
  <c r="O231" i="5"/>
  <c r="M195" i="12" a="1"/>
  <c r="M195" i="12" s="1"/>
  <c r="AO195" i="12" a="1"/>
  <c r="AO195" i="12" s="1"/>
  <c r="C195" i="12"/>
  <c r="O195" i="12" a="1"/>
  <c r="O195" i="12" s="1"/>
  <c r="AO129" i="12" a="1"/>
  <c r="AO129" i="12" s="1"/>
  <c r="C129" i="12"/>
  <c r="O129" i="12" a="1"/>
  <c r="O129" i="12" s="1"/>
  <c r="M129" i="12" a="1"/>
  <c r="M129" i="12" s="1"/>
  <c r="O118" i="5"/>
  <c r="C118" i="6"/>
  <c r="C165" i="6"/>
  <c r="O165" i="5"/>
  <c r="AB52" i="5" a="1"/>
  <c r="AB52" i="5" s="1"/>
  <c r="AB177" i="5" a="1"/>
  <c r="AB177" i="5" s="1"/>
  <c r="AO58" i="12" a="1"/>
  <c r="AO58" i="12" s="1"/>
  <c r="C58" i="12"/>
  <c r="O58" i="12" a="1"/>
  <c r="O58" i="12" s="1"/>
  <c r="M58" i="12" a="1"/>
  <c r="M58" i="12" s="1"/>
  <c r="AB38" i="5" a="1"/>
  <c r="AB38" i="5" s="1"/>
  <c r="AO81" i="12" a="1"/>
  <c r="AO81" i="12" s="1"/>
  <c r="O81" i="12" a="1"/>
  <c r="O81" i="12" s="1"/>
  <c r="M81" i="12" a="1"/>
  <c r="M81" i="12" s="1"/>
  <c r="C81" i="12"/>
  <c r="AB56" i="5" a="1"/>
  <c r="AB56" i="5" s="1"/>
  <c r="C159" i="6"/>
  <c r="O159" i="5"/>
  <c r="AB43" i="5" a="1"/>
  <c r="AB43" i="5" s="1"/>
  <c r="AB26" i="5" a="1"/>
  <c r="AB26" i="5" s="1"/>
  <c r="AB198" i="5" a="1"/>
  <c r="AB198" i="5" s="1"/>
  <c r="AO139" i="12" a="1"/>
  <c r="AO139" i="12" s="1"/>
  <c r="O139" i="12" a="1"/>
  <c r="O139" i="12" s="1"/>
  <c r="C139" i="12"/>
  <c r="M139" i="12" a="1"/>
  <c r="M139" i="12" s="1"/>
  <c r="AO87" i="12" a="1"/>
  <c r="AO87" i="12" s="1"/>
  <c r="C87" i="12"/>
  <c r="O87" i="12" a="1"/>
  <c r="O87" i="12" s="1"/>
  <c r="M87" i="12" a="1"/>
  <c r="M87" i="12" s="1"/>
  <c r="AO95" i="12" a="1"/>
  <c r="AO95" i="12" s="1"/>
  <c r="O95" i="12" a="1"/>
  <c r="O95" i="12" s="1"/>
  <c r="C95" i="12"/>
  <c r="M95" i="12" a="1"/>
  <c r="M95" i="12" s="1"/>
  <c r="O191" i="5"/>
  <c r="C191" i="6"/>
  <c r="I104" i="12"/>
  <c r="AM104" i="5"/>
  <c r="L104" i="5"/>
  <c r="Z104" i="5"/>
  <c r="I203" i="12"/>
  <c r="Z203" i="5"/>
  <c r="L203" i="5"/>
  <c r="AM203" i="5"/>
  <c r="C75" i="12"/>
  <c r="AO75" i="12" a="1"/>
  <c r="AO75" i="12" s="1"/>
  <c r="M75" i="12" a="1"/>
  <c r="M75" i="12" s="1"/>
  <c r="O75" i="12" a="1"/>
  <c r="O75" i="12" s="1"/>
  <c r="M64" i="12" a="1"/>
  <c r="M64" i="12" s="1"/>
  <c r="O64" i="12" a="1"/>
  <c r="O64" i="12" s="1"/>
  <c r="C64" i="12"/>
  <c r="AO64" i="12" a="1"/>
  <c r="AO64" i="12" s="1"/>
  <c r="O228" i="12" a="1"/>
  <c r="O228" i="12" s="1"/>
  <c r="AO228" i="12" a="1"/>
  <c r="AO228" i="12" s="1"/>
  <c r="C228" i="12"/>
  <c r="M228" i="12" a="1"/>
  <c r="M228" i="12" s="1"/>
  <c r="AO84" i="12" a="1"/>
  <c r="AO84" i="12" s="1"/>
  <c r="C84" i="12"/>
  <c r="M84" i="12" a="1"/>
  <c r="M84" i="12" s="1"/>
  <c r="O84" i="12" a="1"/>
  <c r="O84" i="12" s="1"/>
  <c r="O95" i="5"/>
  <c r="C95" i="6"/>
  <c r="AO182" i="12" a="1"/>
  <c r="AO182" i="12" s="1"/>
  <c r="O182" i="12" a="1"/>
  <c r="O182" i="12" s="1"/>
  <c r="M182" i="12" a="1"/>
  <c r="M182" i="12" s="1"/>
  <c r="C182" i="12"/>
  <c r="C85" i="12"/>
  <c r="O85" i="12" a="1"/>
  <c r="O85" i="12" s="1"/>
  <c r="AO85" i="12" a="1"/>
  <c r="AO85" i="12" s="1"/>
  <c r="M85" i="12" a="1"/>
  <c r="M85" i="12" s="1"/>
  <c r="AB70" i="5" a="1"/>
  <c r="AB70" i="5" s="1"/>
  <c r="L204" i="5"/>
  <c r="AM204" i="5"/>
  <c r="I204" i="12"/>
  <c r="Z204" i="5"/>
  <c r="C75" i="6"/>
  <c r="O75" i="5"/>
  <c r="Z227" i="5"/>
  <c r="AM227" i="5"/>
  <c r="I227" i="12"/>
  <c r="L227" i="5"/>
  <c r="AB207" i="5" a="1"/>
  <c r="AB207" i="5" s="1"/>
  <c r="C30" i="12"/>
  <c r="O30" i="12" a="1"/>
  <c r="O30" i="12" s="1"/>
  <c r="AO30" i="12" a="1"/>
  <c r="AO30" i="12" s="1"/>
  <c r="M30" i="12" a="1"/>
  <c r="M30" i="12" s="1"/>
  <c r="C110" i="12"/>
  <c r="O110" i="12" a="1"/>
  <c r="O110" i="12" s="1"/>
  <c r="M110" i="12" a="1"/>
  <c r="M110" i="12" s="1"/>
  <c r="AO110" i="12" a="1"/>
  <c r="AO110" i="12" s="1"/>
  <c r="Y110" i="12" s="1"/>
  <c r="AB171" i="5" a="1"/>
  <c r="AB171" i="5" s="1"/>
  <c r="AO66" i="12" a="1"/>
  <c r="AO66" i="12" s="1"/>
  <c r="C66" i="12"/>
  <c r="M66" i="12" a="1"/>
  <c r="M66" i="12" s="1"/>
  <c r="O66" i="12" a="1"/>
  <c r="O66" i="12" s="1"/>
  <c r="N66" i="12" s="1"/>
  <c r="O164" i="12" a="1"/>
  <c r="O164" i="12" s="1"/>
  <c r="AO164" i="12" a="1"/>
  <c r="AO164" i="12" s="1"/>
  <c r="M164" i="12" a="1"/>
  <c r="M164" i="12" s="1"/>
  <c r="C164" i="12"/>
  <c r="M149" i="12" a="1"/>
  <c r="M149" i="12" s="1"/>
  <c r="AO149" i="12" a="1"/>
  <c r="AO149" i="12" s="1"/>
  <c r="O149" i="12" a="1"/>
  <c r="O149" i="12" s="1"/>
  <c r="C149" i="12"/>
  <c r="AB169" i="5" a="1"/>
  <c r="AB169" i="5" s="1"/>
  <c r="C131" i="12"/>
  <c r="O131" i="12" a="1"/>
  <c r="O131" i="12" s="1"/>
  <c r="AO131" i="12" a="1"/>
  <c r="AO131" i="12" s="1"/>
  <c r="M131" i="12" a="1"/>
  <c r="M131" i="12" s="1"/>
  <c r="C109" i="12"/>
  <c r="AO109" i="12" a="1"/>
  <c r="AO109" i="12" s="1"/>
  <c r="M109" i="12" a="1"/>
  <c r="M109" i="12" s="1"/>
  <c r="O109" i="12" a="1"/>
  <c r="O109" i="12" s="1"/>
  <c r="I214" i="12"/>
  <c r="AM214" i="5"/>
  <c r="L214" i="5"/>
  <c r="Z214" i="5"/>
  <c r="AB93" i="5" a="1"/>
  <c r="AB93" i="5" s="1"/>
  <c r="AB92" i="5" a="1"/>
  <c r="AB92" i="5" s="1"/>
  <c r="D68" i="12"/>
  <c r="E68" i="6"/>
  <c r="C201" i="12"/>
  <c r="M201" i="12" a="1"/>
  <c r="M201" i="12" s="1"/>
  <c r="M200" i="12" s="1" a="1"/>
  <c r="M200" i="12" s="1"/>
  <c r="O201" i="12" a="1"/>
  <c r="O201" i="12" s="1"/>
  <c r="AO201" i="12" a="1"/>
  <c r="AO201" i="12" s="1"/>
  <c r="C35" i="12"/>
  <c r="AO35" i="12" a="1"/>
  <c r="AO35" i="12" s="1"/>
  <c r="O35" i="12" a="1"/>
  <c r="O35" i="12" s="1"/>
  <c r="M35" i="12" a="1"/>
  <c r="M35" i="12" s="1"/>
  <c r="I40" i="12"/>
  <c r="L40" i="5"/>
  <c r="Z40" i="5"/>
  <c r="AM40" i="5"/>
  <c r="M217" i="12" a="1"/>
  <c r="M217" i="12" s="1"/>
  <c r="M216" i="12" s="1" a="1"/>
  <c r="M216" i="12" s="1"/>
  <c r="AO217" i="12" a="1"/>
  <c r="AO217" i="12" s="1"/>
  <c r="C217" i="12"/>
  <c r="O217" i="12" a="1"/>
  <c r="O217" i="12" s="1"/>
  <c r="L223" i="5"/>
  <c r="Z223" i="5"/>
  <c r="AM223" i="5"/>
  <c r="I223" i="12"/>
  <c r="AB128" i="5" a="1"/>
  <c r="AB128" i="5" s="1"/>
  <c r="C113" i="6"/>
  <c r="O113" i="5"/>
  <c r="C231" i="12"/>
  <c r="AO231" i="12" a="1"/>
  <c r="AO231" i="12" s="1"/>
  <c r="M231" i="12" a="1"/>
  <c r="M231" i="12" s="1"/>
  <c r="O231" i="12" a="1"/>
  <c r="O231" i="12" s="1"/>
  <c r="Z219" i="5"/>
  <c r="I219" i="12"/>
  <c r="AM219" i="5"/>
  <c r="L219" i="5"/>
  <c r="S47" i="8"/>
  <c r="C150" i="6"/>
  <c r="O150" i="5"/>
  <c r="M199" i="12" a="1"/>
  <c r="M199" i="12" s="1"/>
  <c r="AO199" i="12" a="1"/>
  <c r="AO199" i="12" s="1"/>
  <c r="O199" i="12" a="1"/>
  <c r="O199" i="12" s="1"/>
  <c r="C199" i="12"/>
  <c r="AO118" i="12" a="1"/>
  <c r="AO118" i="12" s="1"/>
  <c r="O118" i="12" a="1"/>
  <c r="O118" i="12" s="1"/>
  <c r="C118" i="12"/>
  <c r="M118" i="12" a="1"/>
  <c r="M118" i="12" s="1"/>
  <c r="AB57" i="5" a="1"/>
  <c r="AB57" i="5" s="1"/>
  <c r="O52" i="5"/>
  <c r="C52" i="6"/>
  <c r="C177" i="6"/>
  <c r="O177" i="5"/>
  <c r="AB58" i="5" a="1"/>
  <c r="AB58" i="5" s="1"/>
  <c r="C38" i="12"/>
  <c r="AO38" i="12" a="1"/>
  <c r="AO38" i="12" s="1"/>
  <c r="M38" i="12" a="1"/>
  <c r="M38" i="12" s="1"/>
  <c r="O38" i="12" a="1"/>
  <c r="O38" i="12" s="1"/>
  <c r="C218" i="6"/>
  <c r="O218" i="5"/>
  <c r="AO233" i="12" a="1"/>
  <c r="AO233" i="12" s="1"/>
  <c r="M233" i="12" a="1"/>
  <c r="M233" i="12" s="1"/>
  <c r="C233" i="12"/>
  <c r="O233" i="12" a="1"/>
  <c r="O233" i="12" s="1"/>
  <c r="AB218" i="5" a="1"/>
  <c r="AB218" i="5" s="1"/>
  <c r="O61" i="5"/>
  <c r="C61" i="6"/>
  <c r="C182" i="6"/>
  <c r="O182" i="5"/>
  <c r="AB85" i="5" a="1"/>
  <c r="AB85" i="5" s="1"/>
  <c r="O120" i="5"/>
  <c r="C120" i="6"/>
  <c r="C105" i="6"/>
  <c r="O105" i="5"/>
  <c r="C70" i="12"/>
  <c r="M70" i="12" a="1"/>
  <c r="M70" i="12" s="1"/>
  <c r="O70" i="12" a="1"/>
  <c r="O70" i="12" s="1"/>
  <c r="AO70" i="12" a="1"/>
  <c r="AO70" i="12" s="1"/>
  <c r="Y70" i="12" s="1"/>
  <c r="O70" i="5"/>
  <c r="O207" i="5"/>
  <c r="C207" i="6"/>
  <c r="C110" i="6"/>
  <c r="O110" i="5"/>
  <c r="O66" i="5"/>
  <c r="C66" i="6"/>
  <c r="AO155" i="12" a="1"/>
  <c r="AO155" i="12" s="1"/>
  <c r="C155" i="12"/>
  <c r="O155" i="12" a="1"/>
  <c r="O155" i="12" s="1"/>
  <c r="M155" i="12" a="1"/>
  <c r="M155" i="12" s="1"/>
  <c r="C135" i="6"/>
  <c r="O135" i="5"/>
  <c r="O232" i="12" a="1"/>
  <c r="O232" i="12" s="1"/>
  <c r="AO232" i="12" a="1"/>
  <c r="AO232" i="12" s="1"/>
  <c r="M232" i="12" a="1"/>
  <c r="M232" i="12" s="1"/>
  <c r="C232" i="12"/>
  <c r="AB109" i="5" a="1"/>
  <c r="AB109" i="5" s="1"/>
  <c r="AB108" i="5" s="1" a="1"/>
  <c r="AB108" i="5" s="1"/>
  <c r="O215" i="12" a="1"/>
  <c r="O215" i="12" s="1"/>
  <c r="M215" i="12" a="1"/>
  <c r="M215" i="12" s="1"/>
  <c r="M214" i="12" s="1" a="1"/>
  <c r="M214" i="12" s="1"/>
  <c r="C215" i="12"/>
  <c r="AO215" i="12" a="1"/>
  <c r="AO215" i="12" s="1"/>
  <c r="AO92" i="12" a="1"/>
  <c r="AO92" i="12" s="1"/>
  <c r="M92" i="12" a="1"/>
  <c r="M92" i="12" s="1"/>
  <c r="C92" i="12"/>
  <c r="O92" i="12" a="1"/>
  <c r="O92" i="12" s="1"/>
  <c r="AB63" i="5" a="1"/>
  <c r="AB63" i="5" s="1"/>
  <c r="Z200" i="5"/>
  <c r="AM200" i="5"/>
  <c r="L200" i="5"/>
  <c r="I200" i="12"/>
  <c r="O35" i="5"/>
  <c r="C35" i="6"/>
  <c r="O217" i="5"/>
  <c r="C217" i="6"/>
  <c r="C79" i="12"/>
  <c r="O79" i="12" a="1"/>
  <c r="O79" i="12" s="1"/>
  <c r="M79" i="12" a="1"/>
  <c r="M79" i="12" s="1"/>
  <c r="AO79" i="12" a="1"/>
  <c r="AO79" i="12" s="1"/>
  <c r="Z45" i="5"/>
  <c r="I45" i="12"/>
  <c r="L45" i="5"/>
  <c r="AM45" i="5"/>
  <c r="I230" i="12"/>
  <c r="AM230" i="5"/>
  <c r="L230" i="5"/>
  <c r="Z230" i="5"/>
  <c r="O225" i="12" a="1"/>
  <c r="O225" i="12" s="1"/>
  <c r="AO225" i="12" a="1"/>
  <c r="AO225" i="12" s="1"/>
  <c r="C225" i="12"/>
  <c r="M225" i="12" a="1"/>
  <c r="M225" i="12" s="1"/>
  <c r="AB150" i="5" a="1"/>
  <c r="AB150" i="5" s="1"/>
  <c r="AB118" i="5" a="1"/>
  <c r="AB118" i="5" s="1"/>
  <c r="O58" i="5"/>
  <c r="C58" i="6"/>
  <c r="O38" i="5"/>
  <c r="C38" i="6"/>
  <c r="AB81" i="5" a="1"/>
  <c r="AB81" i="5" s="1"/>
  <c r="C168" i="6"/>
  <c r="O168" i="5"/>
  <c r="C139" i="6"/>
  <c r="O139" i="5"/>
  <c r="O233" i="5"/>
  <c r="C233" i="6"/>
  <c r="AM94" i="5"/>
  <c r="Z94" i="5"/>
  <c r="I94" i="12"/>
  <c r="L94" i="5"/>
  <c r="M105" i="12" a="1"/>
  <c r="M105" i="12" s="1"/>
  <c r="AO105" i="12" a="1"/>
  <c r="AO105" i="12" s="1"/>
  <c r="C105" i="12"/>
  <c r="O105" i="12" a="1"/>
  <c r="O105" i="12" s="1"/>
  <c r="AE72" i="10"/>
  <c r="AE75" i="10" s="1"/>
  <c r="Y70" i="10"/>
  <c r="K70" i="10"/>
  <c r="AA72" i="10"/>
  <c r="AA75" i="10" s="1"/>
  <c r="AE70" i="10"/>
  <c r="AA70" i="10"/>
  <c r="Y72" i="10"/>
  <c r="Y75" i="10" s="1"/>
  <c r="M70" i="10"/>
  <c r="O70" i="10"/>
  <c r="AC70" i="10"/>
  <c r="I72" i="10"/>
  <c r="AM15" i="5"/>
  <c r="Q70" i="10"/>
  <c r="U72" i="10"/>
  <c r="U75" i="10" s="1"/>
  <c r="Q72" i="10"/>
  <c r="Q75" i="10" s="1"/>
  <c r="U70" i="10"/>
  <c r="Z15" i="5"/>
  <c r="S72" i="10"/>
  <c r="S75" i="10" s="1"/>
  <c r="I70" i="10"/>
  <c r="Y9" i="10" s="1"/>
  <c r="C11" i="10" s="1" a="1"/>
  <c r="C11" i="10" s="1"/>
  <c r="K72" i="10"/>
  <c r="K75" i="10" s="1"/>
  <c r="S70" i="10"/>
  <c r="O72" i="10"/>
  <c r="O75" i="10" s="1"/>
  <c r="AC72" i="10"/>
  <c r="AC75" i="10" s="1"/>
  <c r="M72" i="10"/>
  <c r="M75" i="10" s="1"/>
  <c r="W70" i="10"/>
  <c r="W72" i="10"/>
  <c r="W75" i="10" s="1"/>
  <c r="C74" i="6"/>
  <c r="O74" i="5"/>
  <c r="AB184" i="5" a="1"/>
  <c r="AB184" i="5" s="1"/>
  <c r="AB69" i="5" a="1"/>
  <c r="AB69" i="5" s="1"/>
  <c r="C124" i="6"/>
  <c r="O124" i="5"/>
  <c r="AB30" i="5" a="1"/>
  <c r="AB30" i="5" s="1"/>
  <c r="AB39" i="5" a="1"/>
  <c r="AB39" i="5" s="1"/>
  <c r="AB90" i="5" a="1"/>
  <c r="AB90" i="5" s="1"/>
  <c r="AB155" i="5" a="1"/>
  <c r="AB155" i="5" s="1"/>
  <c r="AB156" i="5" a="1"/>
  <c r="AB156" i="5" s="1"/>
  <c r="AB232" i="5" a="1"/>
  <c r="AB232" i="5" s="1"/>
  <c r="O192" i="12" a="1"/>
  <c r="O192" i="12" s="1"/>
  <c r="C192" i="12"/>
  <c r="M192" i="12" a="1"/>
  <c r="M192" i="12" s="1"/>
  <c r="AO192" i="12" a="1"/>
  <c r="AO192" i="12" s="1"/>
  <c r="AO147" i="12" a="1"/>
  <c r="AO147" i="12" s="1"/>
  <c r="C147" i="12"/>
  <c r="O147" i="12" a="1"/>
  <c r="O147" i="12" s="1"/>
  <c r="M147" i="12" a="1"/>
  <c r="M147" i="12" s="1"/>
  <c r="C63" i="6"/>
  <c r="O63" i="5"/>
  <c r="AB35" i="5" a="1"/>
  <c r="AB35" i="5" s="1"/>
  <c r="O212" i="5"/>
  <c r="C212" i="6"/>
  <c r="AB99" i="5" a="1"/>
  <c r="AB99" i="5" s="1"/>
  <c r="AB79" i="5" a="1"/>
  <c r="AB79" i="5" s="1"/>
  <c r="M21" i="12" a="1"/>
  <c r="M21" i="12" s="1"/>
  <c r="M20" i="12" s="1" a="1"/>
  <c r="M20" i="12" s="1"/>
  <c r="O21" i="12" a="1"/>
  <c r="O21" i="12" s="1"/>
  <c r="AO21" i="12" a="1"/>
  <c r="AO21" i="12" s="1"/>
  <c r="C21" i="12"/>
  <c r="AO36" i="12" a="1"/>
  <c r="AO36" i="12" s="1"/>
  <c r="C36" i="12"/>
  <c r="O36" i="12" a="1"/>
  <c r="O36" i="12" s="1"/>
  <c r="M36" i="12" a="1"/>
  <c r="M36" i="12" s="1"/>
  <c r="O46" i="5"/>
  <c r="C46" i="6"/>
  <c r="C150" i="12"/>
  <c r="M150" i="12" a="1"/>
  <c r="M150" i="12" s="1"/>
  <c r="AO150" i="12" a="1"/>
  <c r="AO150" i="12" s="1"/>
  <c r="O150" i="12" a="1"/>
  <c r="O150" i="12" s="1"/>
  <c r="C199" i="6"/>
  <c r="O199" i="5"/>
  <c r="M57" i="12" a="1"/>
  <c r="M57" i="12" s="1"/>
  <c r="O57" i="12" a="1"/>
  <c r="O57" i="12" s="1"/>
  <c r="AO57" i="12" a="1"/>
  <c r="AO57" i="12" s="1"/>
  <c r="Y57" i="12" s="1"/>
  <c r="C57" i="12"/>
  <c r="C137" i="6"/>
  <c r="O137" i="5"/>
  <c r="M154" i="12" a="1"/>
  <c r="M154" i="12" s="1"/>
  <c r="C154" i="12"/>
  <c r="AO154" i="12" a="1"/>
  <c r="AO154" i="12" s="1"/>
  <c r="O154" i="12" a="1"/>
  <c r="O154" i="12" s="1"/>
  <c r="C81" i="6"/>
  <c r="O81" i="5"/>
  <c r="Z55" i="5"/>
  <c r="L55" i="5"/>
  <c r="I55" i="12"/>
  <c r="AM55" i="5"/>
  <c r="AO205" i="12" a="1"/>
  <c r="AO205" i="12" s="1"/>
  <c r="O205" i="12" a="1"/>
  <c r="O205" i="12" s="1"/>
  <c r="M205" i="12" a="1"/>
  <c r="M205" i="12" s="1"/>
  <c r="C205" i="12"/>
  <c r="C53" i="6"/>
  <c r="O53" i="5"/>
  <c r="C151" i="6"/>
  <c r="O151" i="5"/>
  <c r="AM196" i="5"/>
  <c r="I196" i="12"/>
  <c r="L196" i="5"/>
  <c r="Z196" i="5"/>
  <c r="C61" i="12"/>
  <c r="M61" i="12" a="1"/>
  <c r="M61" i="12" s="1"/>
  <c r="O61" i="12" a="1"/>
  <c r="O61" i="12" s="1"/>
  <c r="AO61" i="12" a="1"/>
  <c r="AO61" i="12" s="1"/>
  <c r="AB95" i="5" a="1"/>
  <c r="AB95" i="5" s="1"/>
  <c r="O85" i="5"/>
  <c r="C85" i="6"/>
  <c r="C151" i="12"/>
  <c r="M151" i="12" a="1"/>
  <c r="M151" i="12" s="1"/>
  <c r="O151" i="12" a="1"/>
  <c r="O151" i="12" s="1"/>
  <c r="AO151" i="12" a="1"/>
  <c r="AO151" i="12" s="1"/>
  <c r="AB187" i="5" a="1"/>
  <c r="AB187" i="5" s="1"/>
  <c r="L103" i="5"/>
  <c r="I103" i="12"/>
  <c r="AM103" i="5"/>
  <c r="Z103" i="5"/>
  <c r="S29" i="8"/>
  <c r="S14" i="8"/>
  <c r="Z16" i="5"/>
  <c r="AM16" i="5"/>
  <c r="L16" i="5"/>
  <c r="I16" i="12"/>
  <c r="O14" i="11" a="1"/>
  <c r="O14" i="11" s="1"/>
  <c r="AB74" i="5" a="1"/>
  <c r="AB74" i="5" s="1"/>
  <c r="C184" i="6"/>
  <c r="O184" i="5"/>
  <c r="C69" i="6"/>
  <c r="O69" i="5"/>
  <c r="AO124" i="12" a="1"/>
  <c r="AO124" i="12" s="1"/>
  <c r="O124" i="12" a="1"/>
  <c r="O124" i="12" s="1"/>
  <c r="M124" i="12" a="1"/>
  <c r="M124" i="12" s="1"/>
  <c r="C124" i="12"/>
  <c r="C39" i="6"/>
  <c r="O39" i="5"/>
  <c r="Z89" i="5"/>
  <c r="I89" i="12"/>
  <c r="L89" i="5"/>
  <c r="AM89" i="5"/>
  <c r="C155" i="6"/>
  <c r="O155" i="5"/>
  <c r="C156" i="6"/>
  <c r="O156" i="5"/>
  <c r="AB135" i="5" a="1"/>
  <c r="AB135" i="5" s="1"/>
  <c r="C192" i="6"/>
  <c r="O192" i="5"/>
  <c r="C215" i="6"/>
  <c r="O215" i="5"/>
  <c r="O147" i="5"/>
  <c r="C147" i="6"/>
  <c r="O92" i="5"/>
  <c r="C92" i="6"/>
  <c r="M63" i="12" a="1"/>
  <c r="M63" i="12" s="1"/>
  <c r="C63" i="12"/>
  <c r="AO63" i="12" a="1"/>
  <c r="AO63" i="12" s="1"/>
  <c r="O63" i="12" a="1"/>
  <c r="O63" i="12" s="1"/>
  <c r="O99" i="5"/>
  <c r="C99" i="6"/>
  <c r="O79" i="5"/>
  <c r="C79" i="6"/>
  <c r="AB21" i="5" a="1"/>
  <c r="AB21" i="5" s="1"/>
  <c r="AB20" i="5" s="1" a="1"/>
  <c r="AB20" i="5" s="1"/>
  <c r="O36" i="5"/>
  <c r="C36" i="6"/>
  <c r="AB46" i="5" a="1"/>
  <c r="AB46" i="5" s="1"/>
  <c r="O130" i="5"/>
  <c r="C130" i="6"/>
  <c r="AB225" i="5" a="1"/>
  <c r="AB225" i="5" s="1"/>
  <c r="AB199" i="5" a="1"/>
  <c r="AB199" i="5" s="1"/>
  <c r="O80" i="12" a="1"/>
  <c r="O80" i="12" s="1"/>
  <c r="M80" i="12" a="1"/>
  <c r="M80" i="12" s="1"/>
  <c r="AO80" i="12" a="1"/>
  <c r="AO80" i="12" s="1"/>
  <c r="C80" i="12"/>
  <c r="O57" i="5"/>
  <c r="C57" i="6"/>
  <c r="Z176" i="5"/>
  <c r="L176" i="5"/>
  <c r="I176" i="12"/>
  <c r="AM176" i="5"/>
  <c r="AM82" i="5"/>
  <c r="Z82" i="5"/>
  <c r="L82" i="5"/>
  <c r="I82" i="12"/>
  <c r="C97" i="12"/>
  <c r="O97" i="12" a="1"/>
  <c r="O97" i="12" s="1"/>
  <c r="M97" i="12" a="1"/>
  <c r="M97" i="12" s="1"/>
  <c r="AO97" i="12" a="1"/>
  <c r="AO97" i="12" s="1"/>
  <c r="C56" i="12"/>
  <c r="O56" i="12" a="1"/>
  <c r="O56" i="12" s="1"/>
  <c r="M56" i="12" a="1"/>
  <c r="M56" i="12" s="1"/>
  <c r="AO56" i="12" a="1"/>
  <c r="AO56" i="12" s="1"/>
  <c r="AO178" i="12" a="1"/>
  <c r="AO178" i="12" s="1"/>
  <c r="C178" i="12"/>
  <c r="O178" i="12" a="1"/>
  <c r="O178" i="12" s="1"/>
  <c r="M178" i="12" a="1"/>
  <c r="M178" i="12" s="1"/>
  <c r="AB34" i="5" a="1"/>
  <c r="AB34" i="5" s="1"/>
  <c r="Z180" i="5"/>
  <c r="AM180" i="5"/>
  <c r="L180" i="5"/>
  <c r="I180" i="12"/>
  <c r="AB236" i="5" a="1"/>
  <c r="AB236" i="5" s="1"/>
  <c r="AB96" i="5" a="1"/>
  <c r="AB96" i="5" s="1"/>
  <c r="C187" i="6"/>
  <c r="O187" i="5"/>
  <c r="AB105" i="5" a="1"/>
  <c r="AB105" i="5" s="1"/>
  <c r="L17" i="5"/>
  <c r="AM17" i="5"/>
  <c r="I17" i="12"/>
  <c r="S17" i="8"/>
  <c r="Z17" i="5"/>
  <c r="AO184" i="12" a="1"/>
  <c r="AO184" i="12" s="1"/>
  <c r="C184" i="12"/>
  <c r="M184" i="12" a="1"/>
  <c r="M184" i="12" s="1"/>
  <c r="O184" i="12" a="1"/>
  <c r="O184" i="12" s="1"/>
  <c r="AO237" i="12" a="1"/>
  <c r="AO237" i="12" s="1"/>
  <c r="O237" i="12" a="1"/>
  <c r="O237" i="12" s="1"/>
  <c r="M237" i="12" a="1"/>
  <c r="M237" i="12" s="1"/>
  <c r="C237" i="12"/>
  <c r="Z116" i="5"/>
  <c r="AM116" i="5"/>
  <c r="L116" i="5"/>
  <c r="I116" i="12"/>
  <c r="O90" i="12" a="1"/>
  <c r="O90" i="12" s="1"/>
  <c r="M90" i="12" a="1"/>
  <c r="M90" i="12" s="1"/>
  <c r="AO90" i="12" a="1"/>
  <c r="AO90" i="12" s="1"/>
  <c r="C90" i="12"/>
  <c r="O167" i="5"/>
  <c r="C167" i="6"/>
  <c r="C156" i="12"/>
  <c r="AO156" i="12" a="1"/>
  <c r="AO156" i="12" s="1"/>
  <c r="O156" i="12" a="1"/>
  <c r="O156" i="12" s="1"/>
  <c r="M156" i="12" a="1"/>
  <c r="M156" i="12" s="1"/>
  <c r="C135" i="12"/>
  <c r="M135" i="12" a="1"/>
  <c r="M135" i="12" s="1"/>
  <c r="AO135" i="12" a="1"/>
  <c r="AO135" i="12" s="1"/>
  <c r="O135" i="12" a="1"/>
  <c r="O135" i="12" s="1"/>
  <c r="O232" i="5"/>
  <c r="C232" i="6"/>
  <c r="O209" i="5"/>
  <c r="C209" i="6"/>
  <c r="C221" i="12"/>
  <c r="O221" i="12" a="1"/>
  <c r="O221" i="12" s="1"/>
  <c r="M221" i="12" a="1"/>
  <c r="M221" i="12" s="1"/>
  <c r="AO221" i="12" a="1"/>
  <c r="AO221" i="12" s="1"/>
  <c r="C42" i="6"/>
  <c r="O42" i="5"/>
  <c r="AB201" i="5" a="1"/>
  <c r="AB201" i="5" s="1"/>
  <c r="AB212" i="5" a="1"/>
  <c r="AB212" i="5" s="1"/>
  <c r="C99" i="12"/>
  <c r="M99" i="12" a="1"/>
  <c r="M99" i="12" s="1"/>
  <c r="AO99" i="12" a="1"/>
  <c r="AO99" i="12" s="1"/>
  <c r="O99" i="12" a="1"/>
  <c r="O99" i="12" s="1"/>
  <c r="O21" i="5"/>
  <c r="C21" i="6"/>
  <c r="AB36" i="5" a="1"/>
  <c r="AB36" i="5" s="1"/>
  <c r="C46" i="12"/>
  <c r="M46" i="12" a="1"/>
  <c r="M46" i="12" s="1"/>
  <c r="AO46" i="12" a="1"/>
  <c r="AO46" i="12" s="1"/>
  <c r="O46" i="12" a="1"/>
  <c r="O46" i="12" s="1"/>
  <c r="O225" i="5"/>
  <c r="C225" i="6"/>
  <c r="AB88" i="5" a="1"/>
  <c r="AB88" i="5" s="1"/>
  <c r="C80" i="6"/>
  <c r="O80" i="5"/>
  <c r="C72" i="12"/>
  <c r="O72" i="12" a="1"/>
  <c r="O72" i="12" s="1"/>
  <c r="M72" i="12" a="1"/>
  <c r="M72" i="12" s="1"/>
  <c r="AO72" i="12" a="1"/>
  <c r="AO72" i="12" s="1"/>
  <c r="AB137" i="5" a="1"/>
  <c r="AB137" i="5" s="1"/>
  <c r="AO177" i="12" a="1"/>
  <c r="AO177" i="12" s="1"/>
  <c r="C177" i="12"/>
  <c r="O177" i="12" a="1"/>
  <c r="O177" i="12" s="1"/>
  <c r="M177" i="12" a="1"/>
  <c r="M177" i="12" s="1"/>
  <c r="AB83" i="5" a="1"/>
  <c r="AB83" i="5" s="1"/>
  <c r="C56" i="6"/>
  <c r="O56" i="5"/>
  <c r="O181" i="12" a="1"/>
  <c r="O181" i="12" s="1"/>
  <c r="AO181" i="12" a="1"/>
  <c r="AO181" i="12" s="1"/>
  <c r="C181" i="12"/>
  <c r="M181" i="12" a="1"/>
  <c r="M181" i="12" s="1"/>
  <c r="M65" i="12" a="1"/>
  <c r="M65" i="12" s="1"/>
  <c r="AO65" i="12" a="1"/>
  <c r="AO65" i="12" s="1"/>
  <c r="C65" i="12"/>
  <c r="O65" i="12" a="1"/>
  <c r="O65" i="12" s="1"/>
  <c r="AB87" i="5" a="1"/>
  <c r="AB87" i="5" s="1"/>
  <c r="C86" i="12"/>
  <c r="AO86" i="12" a="1"/>
  <c r="AO86" i="12" s="1"/>
  <c r="M86" i="12" a="1"/>
  <c r="M86" i="12" s="1"/>
  <c r="O86" i="12" a="1"/>
  <c r="O86" i="12" s="1"/>
  <c r="N86" i="12" s="1"/>
  <c r="C198" i="12"/>
  <c r="O198" i="12" a="1"/>
  <c r="O198" i="12" s="1"/>
  <c r="AO198" i="12" a="1"/>
  <c r="AO198" i="12" s="1"/>
  <c r="M198" i="12" a="1"/>
  <c r="M198" i="12" s="1"/>
  <c r="L197" i="5"/>
  <c r="I197" i="12"/>
  <c r="Z197" i="5"/>
  <c r="AM197" i="5"/>
  <c r="AB182" i="5" a="1"/>
  <c r="AB182" i="5" s="1"/>
  <c r="M236" i="12" a="1"/>
  <c r="M236" i="12" s="1"/>
  <c r="O236" i="12" a="1"/>
  <c r="O236" i="12" s="1"/>
  <c r="AO236" i="12" a="1"/>
  <c r="AO236" i="12" s="1"/>
  <c r="C236" i="12"/>
  <c r="C27" i="6"/>
  <c r="O27" i="5"/>
  <c r="M179" i="12" a="1"/>
  <c r="M179" i="12" s="1"/>
  <c r="C179" i="12"/>
  <c r="AO179" i="12" a="1"/>
  <c r="AO179" i="12" s="1"/>
  <c r="O179" i="12" a="1"/>
  <c r="O179" i="12" s="1"/>
  <c r="M96" i="12" a="1"/>
  <c r="M96" i="12" s="1"/>
  <c r="O96" i="12" a="1"/>
  <c r="O96" i="12" s="1"/>
  <c r="C96" i="12"/>
  <c r="AO96" i="12" a="1"/>
  <c r="AO96" i="12" s="1"/>
  <c r="M107" i="12" a="1"/>
  <c r="M107" i="12" s="1"/>
  <c r="M106" i="12" s="1" a="1"/>
  <c r="M106" i="12" s="1"/>
  <c r="O107" i="12" a="1"/>
  <c r="O107" i="12" s="1"/>
  <c r="C107" i="12"/>
  <c r="AO107" i="12" a="1"/>
  <c r="AO107" i="12" s="1"/>
  <c r="AB151" i="5" a="1"/>
  <c r="AB151" i="5" s="1"/>
  <c r="O187" i="12" a="1"/>
  <c r="O187" i="12" s="1"/>
  <c r="AO187" i="12" a="1"/>
  <c r="AO187" i="12" s="1"/>
  <c r="Y187" i="12" s="1"/>
  <c r="C187" i="12"/>
  <c r="M187" i="12" a="1"/>
  <c r="M187" i="12" s="1"/>
  <c r="AB18" i="5" a="1"/>
  <c r="AB18" i="5" s="1"/>
  <c r="M74" i="12" a="1"/>
  <c r="M74" i="12" s="1"/>
  <c r="C74" i="12"/>
  <c r="O74" i="12" a="1"/>
  <c r="O74" i="12" s="1"/>
  <c r="AO74" i="12" a="1"/>
  <c r="AO74" i="12" s="1"/>
  <c r="AO69" i="12" a="1"/>
  <c r="AO69" i="12" s="1"/>
  <c r="C69" i="12"/>
  <c r="M69" i="12" a="1"/>
  <c r="M69" i="12" s="1"/>
  <c r="O69" i="12" a="1"/>
  <c r="O69" i="12" s="1"/>
  <c r="AB124" i="5" a="1"/>
  <c r="AB124" i="5" s="1"/>
  <c r="AB237" i="5" a="1"/>
  <c r="AB237" i="5" s="1"/>
  <c r="O117" i="5"/>
  <c r="C117" i="6"/>
  <c r="AO39" i="12" a="1"/>
  <c r="AO39" i="12" s="1"/>
  <c r="C39" i="12"/>
  <c r="M39" i="12" a="1"/>
  <c r="M39" i="12" s="1"/>
  <c r="O39" i="12" a="1"/>
  <c r="O39" i="12" s="1"/>
  <c r="C90" i="6"/>
  <c r="O90" i="5"/>
  <c r="I166" i="12"/>
  <c r="AM166" i="5"/>
  <c r="L166" i="5"/>
  <c r="Z166" i="5"/>
  <c r="C48" i="12"/>
  <c r="M48" i="12" a="1"/>
  <c r="M48" i="12" s="1"/>
  <c r="O48" i="12" a="1"/>
  <c r="O48" i="12" s="1"/>
  <c r="AO48" i="12" a="1"/>
  <c r="AO48" i="12" s="1"/>
  <c r="Y48" i="12" s="1"/>
  <c r="AB229" i="5" a="1"/>
  <c r="AB229" i="5" s="1"/>
  <c r="AB192" i="5" a="1"/>
  <c r="AB192" i="5" s="1"/>
  <c r="AB147" i="5" a="1"/>
  <c r="AB147" i="5" s="1"/>
  <c r="C201" i="6"/>
  <c r="O201" i="5"/>
  <c r="C119" i="6"/>
  <c r="O119" i="5"/>
  <c r="Z211" i="5"/>
  <c r="AM211" i="5"/>
  <c r="L211" i="5"/>
  <c r="I211" i="12"/>
  <c r="O123" i="5"/>
  <c r="C123" i="6"/>
  <c r="S20" i="8"/>
  <c r="AM20" i="5"/>
  <c r="I20" i="12"/>
  <c r="Z20" i="5"/>
  <c r="L20" i="5"/>
  <c r="C239" i="6"/>
  <c r="O239" i="5"/>
  <c r="M130" i="12" a="1"/>
  <c r="M130" i="12" s="1"/>
  <c r="O130" i="12" a="1"/>
  <c r="O130" i="12" s="1"/>
  <c r="N130" i="12" s="1"/>
  <c r="AO130" i="12" a="1"/>
  <c r="AO130" i="12" s="1"/>
  <c r="C130" i="12"/>
  <c r="C88" i="6"/>
  <c r="O88" i="5"/>
  <c r="C173" i="6"/>
  <c r="O173" i="5"/>
  <c r="AB80" i="5" a="1"/>
  <c r="AB80" i="5" s="1"/>
  <c r="L71" i="5"/>
  <c r="AM71" i="5"/>
  <c r="I71" i="12"/>
  <c r="Z71" i="5"/>
  <c r="AO137" i="12" a="1"/>
  <c r="AO137" i="12" s="1"/>
  <c r="O137" i="12" a="1"/>
  <c r="O137" i="12" s="1"/>
  <c r="C137" i="12"/>
  <c r="M137" i="12" a="1"/>
  <c r="M137" i="12" s="1"/>
  <c r="O115" i="12" a="1"/>
  <c r="O115" i="12" s="1"/>
  <c r="C115" i="12"/>
  <c r="M115" i="12" a="1"/>
  <c r="M115" i="12" s="1"/>
  <c r="AO115" i="12" a="1"/>
  <c r="AO115" i="12" s="1"/>
  <c r="L153" i="5"/>
  <c r="AM153" i="5"/>
  <c r="Z153" i="5"/>
  <c r="I153" i="12"/>
  <c r="C83" i="6"/>
  <c r="O83" i="5"/>
  <c r="AB97" i="5" a="1"/>
  <c r="AB97" i="5" s="1"/>
  <c r="AB210" i="5" a="1"/>
  <c r="AB210" i="5" s="1"/>
  <c r="O84" i="5"/>
  <c r="C84" i="6"/>
  <c r="C198" i="6"/>
  <c r="O198" i="5"/>
  <c r="AB27" i="5" a="1"/>
  <c r="AB27" i="5" s="1"/>
  <c r="AO141" i="12" a="1"/>
  <c r="AO141" i="12" s="1"/>
  <c r="O141" i="12" a="1"/>
  <c r="O141" i="12" s="1"/>
  <c r="C141" i="12"/>
  <c r="M141" i="12" a="1"/>
  <c r="M141" i="12" s="1"/>
  <c r="C189" i="12"/>
  <c r="M189" i="12" a="1"/>
  <c r="M189" i="12" s="1"/>
  <c r="O189" i="12" a="1"/>
  <c r="O189" i="12" s="1"/>
  <c r="AO189" i="12" a="1"/>
  <c r="AO189" i="12" s="1"/>
  <c r="AO138" i="12" a="1"/>
  <c r="AO138" i="12" s="1"/>
  <c r="C138" i="12"/>
  <c r="O138" i="12" a="1"/>
  <c r="O138" i="12" s="1"/>
  <c r="M138" i="12" a="1"/>
  <c r="M138" i="12" s="1"/>
  <c r="C237" i="6"/>
  <c r="O237" i="5"/>
  <c r="AB167" i="5" a="1"/>
  <c r="AB167" i="5" s="1"/>
  <c r="M54" i="12" a="1"/>
  <c r="M54" i="12" s="1"/>
  <c r="C54" i="12"/>
  <c r="AO54" i="12" a="1"/>
  <c r="AO54" i="12" s="1"/>
  <c r="O54" i="12" a="1"/>
  <c r="O54" i="12" s="1"/>
  <c r="C91" i="12"/>
  <c r="M91" i="12" a="1"/>
  <c r="M91" i="12" s="1"/>
  <c r="O91" i="12" a="1"/>
  <c r="O91" i="12" s="1"/>
  <c r="AO91" i="12" a="1"/>
  <c r="AO91" i="12" s="1"/>
  <c r="AB48" i="5" a="1"/>
  <c r="AB48" i="5" s="1"/>
  <c r="M229" i="12" a="1"/>
  <c r="M229" i="12" s="1"/>
  <c r="C229" i="12"/>
  <c r="AO229" i="12" a="1"/>
  <c r="AO229" i="12" s="1"/>
  <c r="O229" i="12" a="1"/>
  <c r="O229" i="12" s="1"/>
  <c r="O148" i="12" a="1"/>
  <c r="O148" i="12" s="1"/>
  <c r="M148" i="12" a="1"/>
  <c r="M148" i="12" s="1"/>
  <c r="C148" i="12"/>
  <c r="AO148" i="12" a="1"/>
  <c r="AO148" i="12" s="1"/>
  <c r="AB209" i="5" a="1"/>
  <c r="AB209" i="5" s="1"/>
  <c r="O186" i="12" a="1"/>
  <c r="O186" i="12" s="1"/>
  <c r="C186" i="12"/>
  <c r="M186" i="12" a="1"/>
  <c r="M186" i="12" s="1"/>
  <c r="AO186" i="12" a="1"/>
  <c r="AO186" i="12" s="1"/>
  <c r="O221" i="5"/>
  <c r="C221" i="6"/>
  <c r="AB42" i="5" a="1"/>
  <c r="AB42" i="5" s="1"/>
  <c r="AO47" i="12" a="1"/>
  <c r="AO47" i="12" s="1"/>
  <c r="O47" i="12" a="1"/>
  <c r="O47" i="12" s="1"/>
  <c r="C47" i="12"/>
  <c r="M47" i="12" a="1"/>
  <c r="M47" i="12" s="1"/>
  <c r="AB119" i="5" a="1"/>
  <c r="AB119" i="5" s="1"/>
  <c r="AO212" i="12" a="1"/>
  <c r="AO212" i="12" s="1"/>
  <c r="C212" i="12"/>
  <c r="M212" i="12" a="1"/>
  <c r="M212" i="12" s="1"/>
  <c r="O212" i="12" a="1"/>
  <c r="O212" i="12" s="1"/>
  <c r="C157" i="6"/>
  <c r="O157" i="5"/>
  <c r="AM122" i="5"/>
  <c r="L122" i="5"/>
  <c r="Z122" i="5"/>
  <c r="I122" i="12"/>
  <c r="AB213" i="5" a="1"/>
  <c r="AB213" i="5" s="1"/>
  <c r="AB130" i="5" a="1"/>
  <c r="AB130" i="5" s="1"/>
  <c r="C125" i="12"/>
  <c r="M125" i="12" a="1"/>
  <c r="M125" i="12" s="1"/>
  <c r="O125" i="12" a="1"/>
  <c r="O125" i="12" s="1"/>
  <c r="AO125" i="12" a="1"/>
  <c r="AO125" i="12" s="1"/>
  <c r="O88" i="12" a="1"/>
  <c r="O88" i="12" s="1"/>
  <c r="M88" i="12" a="1"/>
  <c r="M88" i="12" s="1"/>
  <c r="AO88" i="12" a="1"/>
  <c r="AO88" i="12" s="1"/>
  <c r="Y88" i="12" s="1"/>
  <c r="C88" i="12"/>
  <c r="AB173" i="5" a="1"/>
  <c r="AB173" i="5" s="1"/>
  <c r="AB172" i="5" s="1" a="1"/>
  <c r="AB172" i="5" s="1"/>
  <c r="AB72" i="5" a="1"/>
  <c r="AB72" i="5" s="1"/>
  <c r="M145" i="12" a="1"/>
  <c r="M145" i="12" s="1"/>
  <c r="O145" i="12" a="1"/>
  <c r="O145" i="12" s="1"/>
  <c r="C145" i="12"/>
  <c r="AO145" i="12" a="1"/>
  <c r="AO145" i="12" s="1"/>
  <c r="O115" i="5"/>
  <c r="C115" i="6"/>
  <c r="AB154" i="5" a="1"/>
  <c r="AB154" i="5" s="1"/>
  <c r="C97" i="6"/>
  <c r="O97" i="5"/>
  <c r="AB136" i="5" a="1"/>
  <c r="AB136" i="5" s="1"/>
  <c r="AB120" i="5" a="1"/>
  <c r="AB120" i="5" s="1"/>
  <c r="E19" i="6"/>
  <c r="D19" i="12"/>
  <c r="L158" i="5"/>
  <c r="Z158" i="5"/>
  <c r="AM158" i="5"/>
  <c r="I158" i="12"/>
  <c r="C179" i="6"/>
  <c r="O179" i="5"/>
  <c r="AM106" i="5"/>
  <c r="Z106" i="5"/>
  <c r="L106" i="5"/>
  <c r="I106" i="12"/>
  <c r="C51" i="12"/>
  <c r="AO51" i="12" a="1"/>
  <c r="AO51" i="12" s="1"/>
  <c r="M51" i="12" a="1"/>
  <c r="M51" i="12" s="1"/>
  <c r="O51" i="12" a="1"/>
  <c r="O51" i="12" s="1"/>
  <c r="C37" i="6"/>
  <c r="O37" i="5"/>
  <c r="O18" i="12" a="1"/>
  <c r="O18" i="12" s="1"/>
  <c r="C18" i="12"/>
  <c r="AO18" i="12" a="1"/>
  <c r="AO18" i="12" s="1"/>
  <c r="M18" i="12" a="1"/>
  <c r="M18" i="12" s="1"/>
  <c r="C189" i="6"/>
  <c r="O189" i="5"/>
  <c r="AO76" i="12" a="1"/>
  <c r="AO76" i="12" s="1"/>
  <c r="O76" i="12" a="1"/>
  <c r="O76" i="12" s="1"/>
  <c r="M76" i="12" a="1"/>
  <c r="M76" i="12" s="1"/>
  <c r="C76" i="12"/>
  <c r="AB138" i="5" a="1"/>
  <c r="AB138" i="5" s="1"/>
  <c r="S26" i="8"/>
  <c r="L24" i="5"/>
  <c r="AM24" i="5"/>
  <c r="I24" i="12"/>
  <c r="Z24" i="5"/>
  <c r="C238" i="12"/>
  <c r="AO238" i="12" a="1"/>
  <c r="AO238" i="12" s="1"/>
  <c r="M238" i="12" a="1"/>
  <c r="M238" i="12" s="1"/>
  <c r="O238" i="12" a="1"/>
  <c r="O238" i="12" s="1"/>
  <c r="M167" i="12" a="1"/>
  <c r="M167" i="12" s="1"/>
  <c r="M166" i="12" s="1" a="1"/>
  <c r="M166" i="12" s="1"/>
  <c r="AO167" i="12" a="1"/>
  <c r="AO167" i="12" s="1"/>
  <c r="C167" i="12"/>
  <c r="O167" i="12" a="1"/>
  <c r="O167" i="12" s="1"/>
  <c r="C54" i="6"/>
  <c r="O54" i="5"/>
  <c r="C91" i="6"/>
  <c r="O91" i="5"/>
  <c r="C148" i="6"/>
  <c r="O148" i="5"/>
  <c r="M209" i="12" a="1"/>
  <c r="M209" i="12" s="1"/>
  <c r="AO209" i="12" a="1"/>
  <c r="AO209" i="12" s="1"/>
  <c r="C209" i="12"/>
  <c r="O209" i="12" a="1"/>
  <c r="O209" i="12" s="1"/>
  <c r="AB221" i="5" a="1"/>
  <c r="AB221" i="5" s="1"/>
  <c r="AO42" i="12" a="1"/>
  <c r="AO42" i="12" s="1"/>
  <c r="M42" i="12" a="1"/>
  <c r="M42" i="12" s="1"/>
  <c r="O42" i="12" a="1"/>
  <c r="O42" i="12" s="1"/>
  <c r="C42" i="12"/>
  <c r="C47" i="6"/>
  <c r="O47" i="5"/>
  <c r="O119" i="12" a="1"/>
  <c r="O119" i="12" s="1"/>
  <c r="AO119" i="12" a="1"/>
  <c r="AO119" i="12" s="1"/>
  <c r="M119" i="12" a="1"/>
  <c r="M119" i="12" s="1"/>
  <c r="C119" i="12"/>
  <c r="AB157" i="5" a="1"/>
  <c r="AB157" i="5" s="1"/>
  <c r="AO123" i="12" a="1"/>
  <c r="AO123" i="12" s="1"/>
  <c r="M123" i="12" a="1"/>
  <c r="M123" i="12" s="1"/>
  <c r="O123" i="12" a="1"/>
  <c r="O123" i="12" s="1"/>
  <c r="C123" i="12"/>
  <c r="M213" i="12" a="1"/>
  <c r="M213" i="12" s="1"/>
  <c r="AO213" i="12" a="1"/>
  <c r="AO213" i="12" s="1"/>
  <c r="O213" i="12" a="1"/>
  <c r="O213" i="12" s="1"/>
  <c r="N213" i="12" s="1"/>
  <c r="C213" i="12"/>
  <c r="C239" i="12"/>
  <c r="AO239" i="12" a="1"/>
  <c r="AO239" i="12" s="1"/>
  <c r="O239" i="12" a="1"/>
  <c r="O239" i="12" s="1"/>
  <c r="M239" i="12" a="1"/>
  <c r="M239" i="12" s="1"/>
  <c r="AB73" i="5" a="1"/>
  <c r="AB73" i="5" s="1"/>
  <c r="AB125" i="5" a="1"/>
  <c r="AB125" i="5" s="1"/>
  <c r="O173" i="12" a="1"/>
  <c r="O173" i="12" s="1"/>
  <c r="AO173" i="12" a="1"/>
  <c r="AO173" i="12" s="1"/>
  <c r="M173" i="12" a="1"/>
  <c r="M173" i="12" s="1"/>
  <c r="M172" i="12" s="1" a="1"/>
  <c r="M172" i="12" s="1"/>
  <c r="C173" i="12"/>
  <c r="M78" i="12" a="1"/>
  <c r="M78" i="12" s="1"/>
  <c r="M77" i="12" s="1" a="1"/>
  <c r="M77" i="12" s="1"/>
  <c r="C78" i="12"/>
  <c r="O78" i="12" a="1"/>
  <c r="O78" i="12" s="1"/>
  <c r="AO78" i="12" a="1"/>
  <c r="AO78" i="12" s="1"/>
  <c r="C145" i="6"/>
  <c r="O145" i="5"/>
  <c r="C154" i="6"/>
  <c r="O154" i="5"/>
  <c r="M83" i="12" a="1"/>
  <c r="M83" i="12" s="1"/>
  <c r="C83" i="12"/>
  <c r="O83" i="12" a="1"/>
  <c r="O83" i="12" s="1"/>
  <c r="AO83" i="12" a="1"/>
  <c r="AO83" i="12" s="1"/>
  <c r="O136" i="12" a="1"/>
  <c r="O136" i="12" s="1"/>
  <c r="M136" i="12" a="1"/>
  <c r="M136" i="12" s="1"/>
  <c r="AO136" i="12" a="1"/>
  <c r="AO136" i="12" s="1"/>
  <c r="C136" i="12"/>
  <c r="L190" i="5"/>
  <c r="Z190" i="5"/>
  <c r="I190" i="12"/>
  <c r="AM190" i="5"/>
  <c r="AB84" i="5" a="1"/>
  <c r="AB84" i="5" s="1"/>
  <c r="AB61" i="5" a="1"/>
  <c r="AB61" i="5" s="1"/>
  <c r="AO159" i="12" a="1"/>
  <c r="AO159" i="12" s="1"/>
  <c r="C159" i="12"/>
  <c r="O159" i="12" a="1"/>
  <c r="O159" i="12" s="1"/>
  <c r="M159" i="12" a="1"/>
  <c r="M159" i="12" s="1"/>
  <c r="M158" i="12" s="1" a="1"/>
  <c r="M158" i="12" s="1"/>
  <c r="C236" i="6"/>
  <c r="O236" i="5"/>
  <c r="AB179" i="5" a="1"/>
  <c r="AB179" i="5" s="1"/>
  <c r="C96" i="6"/>
  <c r="O96" i="5"/>
  <c r="AB107" i="5" a="1"/>
  <c r="AB107" i="5" s="1"/>
  <c r="AB106" i="5" s="1" a="1"/>
  <c r="AB106" i="5" s="1"/>
  <c r="AB37" i="5" a="1"/>
  <c r="AB37" i="5" s="1"/>
  <c r="M27" i="12" a="1"/>
  <c r="M27" i="12" s="1"/>
  <c r="AO27" i="12" a="1"/>
  <c r="AO27" i="12" s="1"/>
  <c r="C27" i="12"/>
  <c r="O27" i="12" a="1"/>
  <c r="O27" i="12" s="1"/>
  <c r="O178" i="5"/>
  <c r="C178" i="6"/>
  <c r="AB65" i="5" a="1"/>
  <c r="AB65" i="5" s="1"/>
  <c r="AB168" i="5" a="1"/>
  <c r="AB168" i="5" s="1"/>
  <c r="O107" i="5"/>
  <c r="C107" i="6"/>
  <c r="O51" i="5"/>
  <c r="C51" i="6"/>
  <c r="M19" i="12" a="1"/>
  <c r="M19" i="12" s="1"/>
  <c r="O19" i="12" a="1"/>
  <c r="O19" i="12" s="1"/>
  <c r="N19" i="12" s="1"/>
  <c r="C19" i="12"/>
  <c r="AO19" i="12" a="1"/>
  <c r="AO19" i="12" s="1"/>
  <c r="O18" i="5"/>
  <c r="C18" i="6"/>
  <c r="L140" i="5"/>
  <c r="Z140" i="5"/>
  <c r="AM140" i="5"/>
  <c r="I140" i="12"/>
  <c r="AB189" i="5" a="1"/>
  <c r="AB189" i="5" s="1"/>
  <c r="AB98" i="5" a="1"/>
  <c r="AB98" i="5" s="1"/>
  <c r="AB117" i="5" a="1"/>
  <c r="AB117" i="5" s="1"/>
  <c r="AM25" i="5"/>
  <c r="L25" i="5"/>
  <c r="Z25" i="5"/>
  <c r="I25" i="12"/>
  <c r="AB238" i="5" a="1"/>
  <c r="AB238" i="5" s="1"/>
  <c r="AB54" i="5" a="1"/>
  <c r="AB54" i="5" s="1"/>
  <c r="AB91" i="5" a="1"/>
  <c r="AB91" i="5" s="1"/>
  <c r="O48" i="5"/>
  <c r="C48" i="6"/>
  <c r="O229" i="5"/>
  <c r="C229" i="6"/>
  <c r="L185" i="5"/>
  <c r="AM185" i="5"/>
  <c r="I185" i="12"/>
  <c r="Z185" i="5"/>
  <c r="C152" i="12"/>
  <c r="M152" i="12" a="1"/>
  <c r="M152" i="12" s="1"/>
  <c r="O152" i="12" a="1"/>
  <c r="O152" i="12" s="1"/>
  <c r="AO152" i="12" a="1"/>
  <c r="AO152" i="12" s="1"/>
  <c r="AB47" i="5" a="1"/>
  <c r="AB47" i="5" s="1"/>
  <c r="AB202" i="5" a="1"/>
  <c r="AB202" i="5" s="1"/>
  <c r="O213" i="5"/>
  <c r="C213" i="6"/>
  <c r="AB239" i="5" a="1"/>
  <c r="AB239" i="5" s="1"/>
  <c r="AB101" i="5" a="1"/>
  <c r="AB101" i="5" s="1"/>
  <c r="AB100" i="5" s="1" a="1"/>
  <c r="AB100" i="5" s="1"/>
  <c r="C73" i="6"/>
  <c r="O73" i="5"/>
  <c r="C125" i="6"/>
  <c r="O125" i="5"/>
  <c r="AB67" i="5" a="1"/>
  <c r="AB67" i="5" s="1"/>
  <c r="I172" i="12"/>
  <c r="AM172" i="5"/>
  <c r="L172" i="5"/>
  <c r="Z172" i="5"/>
  <c r="AM77" i="5"/>
  <c r="I77" i="12"/>
  <c r="L77" i="5"/>
  <c r="Z77" i="5"/>
  <c r="O72" i="5"/>
  <c r="C72" i="6"/>
  <c r="AB115" i="5" a="1"/>
  <c r="AB115" i="5" s="1"/>
  <c r="I31" i="12"/>
  <c r="AM31" i="5"/>
  <c r="Z31" i="5"/>
  <c r="L31" i="5"/>
  <c r="AB161" i="5" a="1"/>
  <c r="AB161" i="5" s="1"/>
  <c r="AB160" i="5" s="1" a="1"/>
  <c r="AB160" i="5" s="1"/>
  <c r="C126" i="6"/>
  <c r="O126" i="5"/>
  <c r="C136" i="6"/>
  <c r="O136" i="5"/>
  <c r="Y156" i="12" l="1"/>
  <c r="Y27" i="12"/>
  <c r="N36" i="12"/>
  <c r="Y168" i="12"/>
  <c r="Y178" i="12"/>
  <c r="N225" i="12"/>
  <c r="Y182" i="12"/>
  <c r="M82" i="12" a="1"/>
  <c r="M82" i="12" s="1"/>
  <c r="N80" i="12"/>
  <c r="N179" i="12"/>
  <c r="N135" i="12"/>
  <c r="N150" i="12"/>
  <c r="N92" i="12"/>
  <c r="M211" i="12" a="1"/>
  <c r="M211" i="12" s="1"/>
  <c r="Y183" i="12"/>
  <c r="Y29" i="12"/>
  <c r="Y53" i="12"/>
  <c r="N202" i="12"/>
  <c r="N188" i="12"/>
  <c r="N142" i="12"/>
  <c r="N218" i="12"/>
  <c r="N87" i="12"/>
  <c r="Y165" i="12"/>
  <c r="Y144" i="12"/>
  <c r="Y81" i="12"/>
  <c r="N129" i="12"/>
  <c r="Y119" i="12"/>
  <c r="M50" i="12" a="1"/>
  <c r="M50" i="12" s="1"/>
  <c r="Y138" i="12"/>
  <c r="N145" i="12"/>
  <c r="N47" i="12"/>
  <c r="N229" i="12"/>
  <c r="Y184" i="12"/>
  <c r="Y36" i="12"/>
  <c r="N149" i="12"/>
  <c r="Y93" i="12"/>
  <c r="Y233" i="12"/>
  <c r="N139" i="12"/>
  <c r="Y34" i="12"/>
  <c r="M185" i="12" a="1"/>
  <c r="M185" i="12" s="1"/>
  <c r="N91" i="12"/>
  <c r="N189" i="12"/>
  <c r="Y118" i="12"/>
  <c r="N88" i="12"/>
  <c r="Y79" i="12"/>
  <c r="N199" i="12"/>
  <c r="Y35" i="12"/>
  <c r="Y64" i="12"/>
  <c r="N169" i="12"/>
  <c r="Y210" i="12"/>
  <c r="Y239" i="12"/>
  <c r="N42" i="12"/>
  <c r="Y125" i="12"/>
  <c r="N183" i="12"/>
  <c r="N29" i="12"/>
  <c r="Y86" i="12"/>
  <c r="X86" i="12" s="1" a="1"/>
  <c r="X86" i="12" s="1"/>
  <c r="N33" i="12"/>
  <c r="N146" i="12"/>
  <c r="N184" i="12"/>
  <c r="Y151" i="12"/>
  <c r="X151" i="12" s="1" a="1"/>
  <c r="X151" i="12" s="1"/>
  <c r="N209" i="12"/>
  <c r="Y238" i="12"/>
  <c r="N148" i="12"/>
  <c r="AB166" i="5" a="1"/>
  <c r="AB166" i="5" s="1"/>
  <c r="M45" i="12" a="1"/>
  <c r="M45" i="12" s="1"/>
  <c r="Y221" i="12"/>
  <c r="Y225" i="12"/>
  <c r="N131" i="12"/>
  <c r="Y75" i="12"/>
  <c r="Y102" i="12"/>
  <c r="Y208" i="12"/>
  <c r="Y202" i="12"/>
  <c r="Y60" i="12"/>
  <c r="N170" i="12"/>
  <c r="N44" i="12"/>
  <c r="N174" i="12"/>
  <c r="N84" i="12"/>
  <c r="Y157" i="12"/>
  <c r="Y73" i="12"/>
  <c r="Y37" i="12"/>
  <c r="N152" i="12"/>
  <c r="N137" i="12"/>
  <c r="N74" i="12"/>
  <c r="M71" i="12" a="1"/>
  <c r="M71" i="12" s="1"/>
  <c r="N232" i="12"/>
  <c r="Y84" i="12"/>
  <c r="M180" i="12" a="1"/>
  <c r="M180" i="12" s="1"/>
  <c r="M31" i="12" a="1"/>
  <c r="M31" i="12" s="1"/>
  <c r="Y30" i="12"/>
  <c r="N30" i="12"/>
  <c r="Y39" i="12"/>
  <c r="N28" i="12"/>
  <c r="Y155" i="12"/>
  <c r="Y38" i="12"/>
  <c r="Y199" i="12"/>
  <c r="M108" i="12" a="1"/>
  <c r="M108" i="12" s="1"/>
  <c r="N164" i="12"/>
  <c r="Y58" i="12"/>
  <c r="Y120" i="12"/>
  <c r="N43" i="12"/>
  <c r="N54" i="12"/>
  <c r="Y67" i="12"/>
  <c r="E73" i="6"/>
  <c r="D73" i="12"/>
  <c r="X88" i="12" a="1"/>
  <c r="X88" i="12" s="1"/>
  <c r="W88" i="12" a="1"/>
  <c r="W88" i="12" s="1"/>
  <c r="C77" i="6"/>
  <c r="O77" i="5"/>
  <c r="AC77" i="5" a="1"/>
  <c r="AC77" i="5" s="1"/>
  <c r="D229" i="12"/>
  <c r="E229" i="6"/>
  <c r="D107" i="12"/>
  <c r="E107" i="6"/>
  <c r="AC190" i="5" a="1"/>
  <c r="AC190" i="5" s="1"/>
  <c r="O190" i="5"/>
  <c r="C190" i="6"/>
  <c r="Y42" i="12"/>
  <c r="E189" i="6"/>
  <c r="D189" i="12"/>
  <c r="D179" i="12"/>
  <c r="E179" i="6"/>
  <c r="Y148" i="12"/>
  <c r="N141" i="12"/>
  <c r="O140" i="12" a="1"/>
  <c r="O140" i="12" s="1"/>
  <c r="D173" i="12"/>
  <c r="E173" i="6"/>
  <c r="D123" i="12"/>
  <c r="E123" i="6"/>
  <c r="N48" i="12"/>
  <c r="N187" i="12"/>
  <c r="AB82" i="5" a="1"/>
  <c r="AB82" i="5" s="1"/>
  <c r="D225" i="12"/>
  <c r="E225" i="6"/>
  <c r="AB200" i="5" a="1"/>
  <c r="AB200" i="5" s="1"/>
  <c r="N156" i="12"/>
  <c r="Y237" i="12"/>
  <c r="Y97" i="12"/>
  <c r="D156" i="12"/>
  <c r="E156" i="6"/>
  <c r="E184" i="6"/>
  <c r="D184" i="12"/>
  <c r="Y154" i="12"/>
  <c r="AO153" i="12" a="1"/>
  <c r="AO153" i="12" s="1"/>
  <c r="E46" i="6"/>
  <c r="D46" i="12"/>
  <c r="D66" i="12"/>
  <c r="E66" i="6"/>
  <c r="D182" i="12"/>
  <c r="E182" i="6"/>
  <c r="E150" i="6"/>
  <c r="D150" i="12"/>
  <c r="O200" i="12" a="1"/>
  <c r="O200" i="12" s="1"/>
  <c r="N200" i="12" s="1"/>
  <c r="N201" i="12"/>
  <c r="J227" i="12" a="1"/>
  <c r="J227" i="12" s="1"/>
  <c r="L227" i="12" a="1"/>
  <c r="L227" i="12" s="1"/>
  <c r="C227" i="12"/>
  <c r="AB176" i="5" a="1"/>
  <c r="AB176" i="5" s="1"/>
  <c r="AB175" i="5" a="1"/>
  <c r="AB175" i="5" s="1"/>
  <c r="AB140" i="5" a="1"/>
  <c r="AB140" i="5" s="1"/>
  <c r="N52" i="12"/>
  <c r="AB230" i="5" a="1"/>
  <c r="AB230" i="5" s="1"/>
  <c r="L112" i="12" a="1"/>
  <c r="L112" i="12" s="1"/>
  <c r="K112" i="12" s="1"/>
  <c r="J112" i="12" a="1"/>
  <c r="J112" i="12" s="1"/>
  <c r="C112" i="12"/>
  <c r="C216" i="6"/>
  <c r="AC216" i="5" a="1"/>
  <c r="AC216" i="5" s="1"/>
  <c r="O216" i="5"/>
  <c r="J133" i="12" a="1"/>
  <c r="J133" i="12" s="1"/>
  <c r="L133" i="12" a="1"/>
  <c r="L133" i="12" s="1"/>
  <c r="C133" i="12"/>
  <c r="N53" i="12"/>
  <c r="D78" i="12"/>
  <c r="E78" i="6"/>
  <c r="O133" i="12" a="1"/>
  <c r="O133" i="12" s="1"/>
  <c r="N134" i="12"/>
  <c r="O132" i="12" a="1"/>
  <c r="O132" i="12" s="1"/>
  <c r="Y33" i="12"/>
  <c r="E43" i="6"/>
  <c r="D43" i="12"/>
  <c r="N126" i="12"/>
  <c r="W67" i="12" a="1"/>
  <c r="W67" i="12" s="1"/>
  <c r="X67" i="12" a="1"/>
  <c r="X67" i="12" s="1"/>
  <c r="E136" i="6"/>
  <c r="D136" i="12"/>
  <c r="L77" i="12" a="1"/>
  <c r="L77" i="12" s="1"/>
  <c r="J77" i="12" a="1"/>
  <c r="J77" i="12" s="1"/>
  <c r="C77" i="12"/>
  <c r="N238" i="12"/>
  <c r="E115" i="6"/>
  <c r="D115" i="12"/>
  <c r="AO140" i="12" a="1"/>
  <c r="AO140" i="12" s="1"/>
  <c r="Y140" i="12" s="1"/>
  <c r="Y141" i="12"/>
  <c r="AC153" i="5" a="1"/>
  <c r="AC153" i="5" s="1"/>
  <c r="C153" i="6"/>
  <c r="O153" i="5"/>
  <c r="J211" i="12" a="1"/>
  <c r="J211" i="12" s="1"/>
  <c r="C211" i="12"/>
  <c r="L211" i="12" a="1"/>
  <c r="L211" i="12" s="1"/>
  <c r="W86" i="12" a="1"/>
  <c r="W86" i="12" s="1"/>
  <c r="M176" i="12" a="1"/>
  <c r="M176" i="12" s="1"/>
  <c r="M175" i="12" a="1"/>
  <c r="M175" i="12" s="1"/>
  <c r="O45" i="12" a="1"/>
  <c r="O45" i="12" s="1"/>
  <c r="N45" i="12" s="1"/>
  <c r="N46" i="12"/>
  <c r="E42" i="6"/>
  <c r="D42" i="12"/>
  <c r="W156" i="12" a="1"/>
  <c r="W156" i="12" s="1"/>
  <c r="X156" i="12" a="1"/>
  <c r="X156" i="12" s="1"/>
  <c r="D99" i="12"/>
  <c r="E99" i="6"/>
  <c r="W151" i="12" a="1"/>
  <c r="W151" i="12" s="1"/>
  <c r="E151" i="6"/>
  <c r="D151" i="12"/>
  <c r="E63" i="6"/>
  <c r="D63" i="12"/>
  <c r="D110" i="12"/>
  <c r="E110" i="6"/>
  <c r="N182" i="12"/>
  <c r="N75" i="12"/>
  <c r="O94" i="12" a="1"/>
  <c r="O94" i="12" s="1"/>
  <c r="N95" i="12"/>
  <c r="D159" i="12"/>
  <c r="E159" i="6"/>
  <c r="L62" i="12" a="1"/>
  <c r="L62" i="12" s="1"/>
  <c r="C62" i="12"/>
  <c r="J62" i="12" a="1"/>
  <c r="J62" i="12" s="1"/>
  <c r="N60" i="12"/>
  <c r="Y52" i="12"/>
  <c r="Y49" i="12"/>
  <c r="N59" i="12"/>
  <c r="O234" i="5"/>
  <c r="AC234" i="5" a="1"/>
  <c r="AC234" i="5" s="1"/>
  <c r="C234" i="6"/>
  <c r="D134" i="12"/>
  <c r="E134" i="6"/>
  <c r="N208" i="12"/>
  <c r="E33" i="6"/>
  <c r="D33" i="12"/>
  <c r="X53" i="12" a="1"/>
  <c r="X53" i="12" s="1"/>
  <c r="W53" i="12" a="1"/>
  <c r="W53" i="12" s="1"/>
  <c r="Y218" i="12"/>
  <c r="E195" i="6"/>
  <c r="D195" i="12"/>
  <c r="AB121" i="5" a="1"/>
  <c r="AB121" i="5" s="1"/>
  <c r="AB122" i="5" a="1"/>
  <c r="AB122" i="5" s="1"/>
  <c r="N114" i="12"/>
  <c r="E213" i="6"/>
  <c r="D213" i="12"/>
  <c r="E48" i="6"/>
  <c r="D48" i="12"/>
  <c r="Y136" i="12"/>
  <c r="O121" i="12" a="1"/>
  <c r="O121" i="12" s="1"/>
  <c r="N123" i="12"/>
  <c r="O122" i="12" a="1"/>
  <c r="O122" i="12" s="1"/>
  <c r="M17" i="12" a="1"/>
  <c r="M17" i="12" s="1"/>
  <c r="M16" i="12" a="1"/>
  <c r="M16" i="12" s="1"/>
  <c r="L158" i="12" a="1"/>
  <c r="L158" i="12" s="1"/>
  <c r="J158" i="12" a="1"/>
  <c r="J158" i="12" s="1"/>
  <c r="C158" i="12"/>
  <c r="Y145" i="12"/>
  <c r="Y115" i="12"/>
  <c r="D88" i="12"/>
  <c r="E88" i="6"/>
  <c r="AC211" i="5" a="1"/>
  <c r="AC211" i="5" s="1"/>
  <c r="C211" i="6"/>
  <c r="O211" i="5"/>
  <c r="Y236" i="12"/>
  <c r="O176" i="12" a="1"/>
  <c r="O176" i="12" s="1"/>
  <c r="N176" i="12" s="1"/>
  <c r="N177" i="12"/>
  <c r="O175" i="12" a="1"/>
  <c r="O175" i="12" s="1"/>
  <c r="N175" i="12" s="1"/>
  <c r="AO45" i="12" a="1"/>
  <c r="AO45" i="12" s="1"/>
  <c r="Y46" i="12"/>
  <c r="C180" i="12"/>
  <c r="J180" i="12" a="1"/>
  <c r="J180" i="12" s="1"/>
  <c r="L180" i="12" a="1"/>
  <c r="L180" i="12" s="1"/>
  <c r="N97" i="12"/>
  <c r="O62" i="12" a="1"/>
  <c r="O62" i="12" s="1"/>
  <c r="N63" i="12"/>
  <c r="D155" i="12"/>
  <c r="E155" i="6"/>
  <c r="N151" i="12"/>
  <c r="M153" i="12" a="1"/>
  <c r="M153" i="12" s="1"/>
  <c r="AB89" i="5" a="1"/>
  <c r="AB89" i="5" s="1"/>
  <c r="E233" i="6"/>
  <c r="D233" i="12"/>
  <c r="D217" i="12"/>
  <c r="E217" i="6"/>
  <c r="N215" i="12"/>
  <c r="O214" i="12" a="1"/>
  <c r="O214" i="12" s="1"/>
  <c r="N214" i="12" s="1"/>
  <c r="E177" i="6"/>
  <c r="D177" i="12"/>
  <c r="G47" i="8"/>
  <c r="G48" i="8" s="1" a="1"/>
  <c r="G48" i="8" s="1"/>
  <c r="V49" i="8" a="1"/>
  <c r="V49" i="8" s="1"/>
  <c r="V47" i="8" s="1" a="1"/>
  <c r="V47" i="8" s="1"/>
  <c r="AC49" i="8" a="1"/>
  <c r="AC49" i="8" s="1"/>
  <c r="AC47" i="8" s="1" a="1"/>
  <c r="AC47" i="8" s="1"/>
  <c r="AD49" i="8" a="1"/>
  <c r="AD49" i="8" s="1"/>
  <c r="AD47" i="8" s="1" a="1"/>
  <c r="AD47" i="8" s="1"/>
  <c r="AE49" i="8" a="1"/>
  <c r="AE49" i="8" s="1"/>
  <c r="AE47" i="8" s="1" a="1"/>
  <c r="AE47" i="8" s="1"/>
  <c r="U49" i="8" a="1"/>
  <c r="U49" i="8" s="1"/>
  <c r="U47" i="8" s="1" a="1"/>
  <c r="U47" i="8" s="1"/>
  <c r="AB49" i="8" a="1"/>
  <c r="AB49" i="8" s="1"/>
  <c r="AB47" i="8" s="1" a="1"/>
  <c r="AB47" i="8" s="1"/>
  <c r="Y49" i="8" a="1"/>
  <c r="Y49" i="8" s="1"/>
  <c r="Y47" i="8" s="1" a="1"/>
  <c r="Y47" i="8" s="1"/>
  <c r="X49" i="8" a="1"/>
  <c r="X49" i="8" s="1"/>
  <c r="X47" i="8" s="1" a="1"/>
  <c r="X47" i="8" s="1"/>
  <c r="H48" i="8" a="1"/>
  <c r="H48" i="8" s="1"/>
  <c r="AF49" i="8" a="1"/>
  <c r="AF49" i="8" s="1"/>
  <c r="AF47" i="8" s="1" a="1"/>
  <c r="AF47" i="8" s="1"/>
  <c r="E49" i="8" a="1"/>
  <c r="E49" i="8" s="1"/>
  <c r="E47" i="8" s="1" a="1"/>
  <c r="E47" i="8" s="1"/>
  <c r="W49" i="8" a="1"/>
  <c r="W49" i="8" s="1"/>
  <c r="W47" i="8" s="1" a="1"/>
  <c r="W47" i="8" s="1"/>
  <c r="Z49" i="8" a="1"/>
  <c r="Z49" i="8" s="1"/>
  <c r="Z47" i="8" s="1" a="1"/>
  <c r="Z47" i="8" s="1"/>
  <c r="AA49" i="8" a="1"/>
  <c r="AA49" i="8" s="1"/>
  <c r="AA47" i="8" s="1" a="1"/>
  <c r="AA47" i="8" s="1"/>
  <c r="AC223" i="5" a="1"/>
  <c r="AC223" i="5" s="1"/>
  <c r="C223" i="6"/>
  <c r="O223" i="5"/>
  <c r="Y131" i="12"/>
  <c r="Y66" i="12"/>
  <c r="X182" i="12" a="1"/>
  <c r="X182" i="12" s="1"/>
  <c r="W182" i="12" a="1"/>
  <c r="W182" i="12" s="1"/>
  <c r="AO94" i="12" a="1"/>
  <c r="AO94" i="12" s="1"/>
  <c r="Y95" i="12"/>
  <c r="D171" i="12"/>
  <c r="E171" i="6"/>
  <c r="O112" i="5"/>
  <c r="AC112" i="5" a="1"/>
  <c r="AC112" i="5" s="1"/>
  <c r="C112" i="6"/>
  <c r="N102" i="12"/>
  <c r="N191" i="12"/>
  <c r="O190" i="12" a="1"/>
  <c r="O190" i="12" s="1"/>
  <c r="E28" i="6"/>
  <c r="D28" i="12"/>
  <c r="G32" i="8"/>
  <c r="G33" i="8" s="1" a="1"/>
  <c r="G33" i="8" s="1"/>
  <c r="W34" i="8" a="1"/>
  <c r="W34" i="8" s="1"/>
  <c r="W32" i="8" s="1" a="1"/>
  <c r="W32" i="8" s="1"/>
  <c r="V34" i="8" a="1"/>
  <c r="V34" i="8" s="1"/>
  <c r="V32" i="8" s="1" a="1"/>
  <c r="V32" i="8" s="1"/>
  <c r="E34" i="8" a="1"/>
  <c r="E34" i="8" s="1"/>
  <c r="E32" i="8" s="1" a="1"/>
  <c r="E32" i="8" s="1"/>
  <c r="H33" i="8" a="1"/>
  <c r="H33" i="8" s="1"/>
  <c r="AF34" i="8" a="1"/>
  <c r="AF34" i="8" s="1"/>
  <c r="AF32" i="8" s="1" a="1"/>
  <c r="AF32" i="8" s="1"/>
  <c r="AB34" i="8" a="1"/>
  <c r="AB34" i="8" s="1"/>
  <c r="AB32" i="8" s="1" a="1"/>
  <c r="AB32" i="8" s="1"/>
  <c r="AA34" i="8" a="1"/>
  <c r="AA34" i="8" s="1"/>
  <c r="AA32" i="8" s="1" a="1"/>
  <c r="AA32" i="8" s="1"/>
  <c r="Z34" i="8" a="1"/>
  <c r="Z34" i="8" s="1"/>
  <c r="Z32" i="8" s="1" a="1"/>
  <c r="Z32" i="8" s="1"/>
  <c r="AE34" i="8" a="1"/>
  <c r="AE34" i="8" s="1"/>
  <c r="AE32" i="8" s="1" a="1"/>
  <c r="AE32" i="8" s="1"/>
  <c r="U34" i="8" a="1"/>
  <c r="U34" i="8" s="1"/>
  <c r="U32" i="8" s="1" a="1"/>
  <c r="U32" i="8" s="1"/>
  <c r="AC34" i="8" a="1"/>
  <c r="AC34" i="8" s="1"/>
  <c r="AC32" i="8" s="1" a="1"/>
  <c r="AC32" i="8" s="1"/>
  <c r="Y34" i="8" a="1"/>
  <c r="Y34" i="8" s="1"/>
  <c r="Y32" i="8" s="1" a="1"/>
  <c r="Y32" i="8" s="1"/>
  <c r="AD34" i="8" a="1"/>
  <c r="AD34" i="8" s="1"/>
  <c r="AD32" i="8" s="1" a="1"/>
  <c r="AD32" i="8" s="1"/>
  <c r="X34" i="8" a="1"/>
  <c r="X34" i="8" s="1"/>
  <c r="X32" i="8" s="1" a="1"/>
  <c r="X32" i="8" s="1"/>
  <c r="E152" i="6"/>
  <c r="D152" i="12"/>
  <c r="M25" i="12" a="1"/>
  <c r="M25" i="12" s="1"/>
  <c r="M24" i="12" a="1"/>
  <c r="M24" i="12" s="1"/>
  <c r="Y18" i="12"/>
  <c r="AO17" i="12" a="1"/>
  <c r="AO17" i="12" s="1"/>
  <c r="AO16" i="12" a="1"/>
  <c r="AO16" i="12" s="1"/>
  <c r="N69" i="12"/>
  <c r="AO106" i="12" a="1"/>
  <c r="AO106" i="12" s="1"/>
  <c r="Y107" i="12"/>
  <c r="N236" i="12"/>
  <c r="W221" i="12" a="1"/>
  <c r="W221" i="12" s="1"/>
  <c r="X221" i="12" a="1"/>
  <c r="X221" i="12" s="1"/>
  <c r="O180" i="5"/>
  <c r="C180" i="6"/>
  <c r="AC180" i="5" a="1"/>
  <c r="AC180" i="5" s="1"/>
  <c r="Y63" i="12"/>
  <c r="AO62" i="12" a="1"/>
  <c r="AO62" i="12" s="1"/>
  <c r="E53" i="6"/>
  <c r="D53" i="12"/>
  <c r="D137" i="12"/>
  <c r="E137" i="6"/>
  <c r="E139" i="6"/>
  <c r="D139" i="12"/>
  <c r="X225" i="12" a="1"/>
  <c r="X225" i="12" s="1"/>
  <c r="W225" i="12" a="1"/>
  <c r="W225" i="12" s="1"/>
  <c r="D61" i="12"/>
  <c r="E61" i="6"/>
  <c r="C219" i="6"/>
  <c r="AC219" i="5" a="1"/>
  <c r="AC219" i="5" s="1"/>
  <c r="O219" i="5"/>
  <c r="O216" i="12" a="1"/>
  <c r="O216" i="12" s="1"/>
  <c r="N216" i="12" s="1"/>
  <c r="N217" i="12"/>
  <c r="D75" i="12"/>
  <c r="E75" i="6"/>
  <c r="X75" i="12" a="1"/>
  <c r="X75" i="12" s="1"/>
  <c r="W75" i="12" a="1"/>
  <c r="W75" i="12" s="1"/>
  <c r="D165" i="12"/>
  <c r="E165" i="6"/>
  <c r="D128" i="12"/>
  <c r="E128" i="6"/>
  <c r="O62" i="5"/>
  <c r="C62" i="6"/>
  <c r="AC62" i="5" a="1"/>
  <c r="AC62" i="5" s="1"/>
  <c r="Y170" i="12"/>
  <c r="N171" i="12"/>
  <c r="D129" i="12"/>
  <c r="E129" i="6"/>
  <c r="X102" i="12" a="1"/>
  <c r="X102" i="12" s="1"/>
  <c r="W102" i="12" a="1"/>
  <c r="W102" i="12" s="1"/>
  <c r="W208" i="12" a="1"/>
  <c r="W208" i="12" s="1"/>
  <c r="X208" i="12" a="1"/>
  <c r="X208" i="12" s="1"/>
  <c r="D183" i="12"/>
  <c r="E183" i="6"/>
  <c r="W202" i="12" a="1"/>
  <c r="W202" i="12" s="1"/>
  <c r="X202" i="12" a="1"/>
  <c r="X202" i="12" s="1"/>
  <c r="Y26" i="12"/>
  <c r="AO24" i="12" a="1"/>
  <c r="AO24" i="12" s="1"/>
  <c r="AO25" i="12" a="1"/>
  <c r="AO25" i="12" s="1"/>
  <c r="AB50" i="5" a="1"/>
  <c r="AB50" i="5" s="1"/>
  <c r="N67" i="12"/>
  <c r="N157" i="12"/>
  <c r="D238" i="12"/>
  <c r="E238" i="6"/>
  <c r="E141" i="6"/>
  <c r="D141" i="12"/>
  <c r="C140" i="12"/>
  <c r="L140" i="12" a="1"/>
  <c r="L140" i="12" s="1"/>
  <c r="J140" i="12" a="1"/>
  <c r="J140" i="12" s="1"/>
  <c r="N136" i="12"/>
  <c r="E237" i="6"/>
  <c r="D237" i="12"/>
  <c r="AC166" i="5" a="1"/>
  <c r="AC166" i="5" s="1"/>
  <c r="O166" i="5"/>
  <c r="C166" i="6"/>
  <c r="Y177" i="12"/>
  <c r="AO176" i="12" a="1"/>
  <c r="AO176" i="12" s="1"/>
  <c r="Y176" i="12" s="1"/>
  <c r="AO175" i="12" a="1"/>
  <c r="AO175" i="12" s="1"/>
  <c r="W184" i="12" a="1"/>
  <c r="W184" i="12" s="1"/>
  <c r="X184" i="12" a="1"/>
  <c r="X184" i="12" s="1"/>
  <c r="L82" i="12" a="1"/>
  <c r="L82" i="12" s="1"/>
  <c r="J82" i="12" a="1"/>
  <c r="J82" i="12" s="1"/>
  <c r="C82" i="12"/>
  <c r="C14" i="11"/>
  <c r="L14" i="13"/>
  <c r="P14" i="11"/>
  <c r="G11" i="11" s="1"/>
  <c r="G9" i="11" s="1"/>
  <c r="O24" i="11"/>
  <c r="W36" i="12" a="1"/>
  <c r="W36" i="12" s="1"/>
  <c r="X36" i="12" a="1"/>
  <c r="X36" i="12" s="1"/>
  <c r="N147" i="12"/>
  <c r="AB31" i="5" a="1"/>
  <c r="AB31" i="5" s="1"/>
  <c r="E35" i="6"/>
  <c r="D35" i="12"/>
  <c r="E207" i="6"/>
  <c r="D207" i="12"/>
  <c r="D95" i="12"/>
  <c r="E95" i="6"/>
  <c r="AB55" i="5" a="1"/>
  <c r="AB55" i="5" s="1"/>
  <c r="W60" i="12" a="1"/>
  <c r="W60" i="12" s="1"/>
  <c r="X60" i="12" a="1"/>
  <c r="X60" i="12" s="1"/>
  <c r="W165" i="12" a="1"/>
  <c r="W165" i="12" s="1"/>
  <c r="X165" i="12" a="1"/>
  <c r="X165" i="12" s="1"/>
  <c r="AB226" i="5" a="1"/>
  <c r="AB226" i="5" s="1"/>
  <c r="AB227" i="5" a="1"/>
  <c r="AB227" i="5" s="1"/>
  <c r="C234" i="12"/>
  <c r="J234" i="12" a="1"/>
  <c r="J234" i="12" s="1"/>
  <c r="L234" i="12" a="1"/>
  <c r="L234" i="12" s="1"/>
  <c r="Y191" i="12"/>
  <c r="AO190" i="12" a="1"/>
  <c r="AO190" i="12" s="1"/>
  <c r="Y190" i="12" s="1"/>
  <c r="D174" i="12"/>
  <c r="E174" i="6"/>
  <c r="D34" i="12"/>
  <c r="E34" i="6"/>
  <c r="AB219" i="5" a="1"/>
  <c r="AB219" i="5" s="1"/>
  <c r="D47" i="8" s="1"/>
  <c r="L111" i="12" a="1"/>
  <c r="L111" i="12" s="1"/>
  <c r="C111" i="12"/>
  <c r="J111" i="12" a="1"/>
  <c r="J111" i="12" s="1"/>
  <c r="N26" i="12"/>
  <c r="O25" i="12" a="1"/>
  <c r="O25" i="12" s="1"/>
  <c r="N25" i="12" s="1"/>
  <c r="O24" i="12" a="1"/>
  <c r="O24" i="12" s="1"/>
  <c r="N161" i="12"/>
  <c r="O160" i="12" a="1"/>
  <c r="O160" i="12" s="1"/>
  <c r="N160" i="12" s="1"/>
  <c r="Y83" i="12"/>
  <c r="AO82" i="12" a="1"/>
  <c r="AO82" i="12" s="1"/>
  <c r="Y209" i="12"/>
  <c r="O17" i="12" a="1"/>
  <c r="O17" i="12" s="1"/>
  <c r="N18" i="12"/>
  <c r="O16" i="12" a="1"/>
  <c r="O16" i="12" s="1"/>
  <c r="O158" i="5"/>
  <c r="AC158" i="5" a="1"/>
  <c r="AC158" i="5" s="1"/>
  <c r="C158" i="6"/>
  <c r="Y47" i="12"/>
  <c r="Y229" i="12"/>
  <c r="N115" i="12"/>
  <c r="Y130" i="12"/>
  <c r="E119" i="6"/>
  <c r="D119" i="12"/>
  <c r="O106" i="12" a="1"/>
  <c r="O106" i="12" s="1"/>
  <c r="N106" i="12" s="1"/>
  <c r="N107" i="12"/>
  <c r="N65" i="12"/>
  <c r="N221" i="12"/>
  <c r="C82" i="6"/>
  <c r="O82" i="5"/>
  <c r="AC82" i="5" a="1"/>
  <c r="AC82" i="5" s="1"/>
  <c r="M62" i="12" a="1"/>
  <c r="M62" i="12" s="1"/>
  <c r="AC89" i="5" a="1"/>
  <c r="AC89" i="5" s="1"/>
  <c r="O89" i="5"/>
  <c r="C89" i="6"/>
  <c r="J16" i="12" a="1"/>
  <c r="J16" i="12" s="1"/>
  <c r="C16" i="12"/>
  <c r="L16" i="12" a="1"/>
  <c r="L16" i="12" s="1"/>
  <c r="E168" i="6"/>
  <c r="D168" i="12"/>
  <c r="J200" i="12" a="1"/>
  <c r="J200" i="12" s="1"/>
  <c r="C200" i="12"/>
  <c r="L200" i="12" a="1"/>
  <c r="L200" i="12" s="1"/>
  <c r="D70" i="12"/>
  <c r="E70" i="6"/>
  <c r="E52" i="6"/>
  <c r="D52" i="12"/>
  <c r="C219" i="12"/>
  <c r="L219" i="12" a="1"/>
  <c r="L219" i="12" s="1"/>
  <c r="J219" i="12" a="1"/>
  <c r="J219" i="12" s="1"/>
  <c r="AO216" i="12" a="1"/>
  <c r="AO216" i="12" s="1"/>
  <c r="Y217" i="12"/>
  <c r="X110" i="12" a="1"/>
  <c r="X110" i="12" s="1"/>
  <c r="W110" i="12" a="1"/>
  <c r="W110" i="12" s="1"/>
  <c r="D224" i="12"/>
  <c r="E224" i="6"/>
  <c r="G38" i="8"/>
  <c r="G39" i="8" s="1" a="1"/>
  <c r="G39" i="8" s="1"/>
  <c r="AF40" i="8" a="1"/>
  <c r="AF40" i="8" s="1"/>
  <c r="AF38" i="8" s="1" a="1"/>
  <c r="AF38" i="8" s="1"/>
  <c r="U40" i="8" a="1"/>
  <c r="U40" i="8" s="1"/>
  <c r="U38" i="8" s="1" a="1"/>
  <c r="U38" i="8" s="1"/>
  <c r="AD40" i="8" a="1"/>
  <c r="AD40" i="8" s="1"/>
  <c r="AD38" i="8" s="1" a="1"/>
  <c r="AD38" i="8" s="1"/>
  <c r="AA40" i="8" a="1"/>
  <c r="AA40" i="8" s="1"/>
  <c r="AA38" i="8" s="1" a="1"/>
  <c r="AA38" i="8" s="1"/>
  <c r="E40" i="8" a="1"/>
  <c r="E40" i="8" s="1"/>
  <c r="E38" i="8" s="1" a="1"/>
  <c r="E38" i="8" s="1"/>
  <c r="AC40" i="8" a="1"/>
  <c r="AC40" i="8" s="1"/>
  <c r="AC38" i="8" s="1" a="1"/>
  <c r="AC38" i="8" s="1"/>
  <c r="AB40" i="8" a="1"/>
  <c r="AB40" i="8" s="1"/>
  <c r="AB38" i="8" s="1" a="1"/>
  <c r="AB38" i="8" s="1"/>
  <c r="X40" i="8" a="1"/>
  <c r="X40" i="8" s="1"/>
  <c r="X38" i="8" s="1" a="1"/>
  <c r="X38" i="8" s="1"/>
  <c r="H39" i="8" a="1"/>
  <c r="H39" i="8" s="1"/>
  <c r="AE40" i="8" a="1"/>
  <c r="AE40" i="8" s="1"/>
  <c r="AE38" i="8" s="1" a="1"/>
  <c r="AE38" i="8" s="1"/>
  <c r="W40" i="8" a="1"/>
  <c r="W40" i="8" s="1"/>
  <c r="W38" i="8" s="1" a="1"/>
  <c r="W38" i="8" s="1"/>
  <c r="V40" i="8" a="1"/>
  <c r="V40" i="8" s="1"/>
  <c r="V38" i="8" s="1" a="1"/>
  <c r="V38" i="8" s="1"/>
  <c r="Z40" i="8" a="1"/>
  <c r="Z40" i="8" s="1"/>
  <c r="Z38" i="8" s="1" a="1"/>
  <c r="Z38" i="8" s="1"/>
  <c r="Y40" i="8" a="1"/>
  <c r="Y40" i="8" s="1"/>
  <c r="Y38" i="8" s="1" a="1"/>
  <c r="Y38" i="8" s="1"/>
  <c r="O112" i="12" a="1"/>
  <c r="O112" i="12" s="1"/>
  <c r="O111" i="12" a="1"/>
  <c r="O111" i="12" s="1"/>
  <c r="N113" i="12"/>
  <c r="D93" i="12"/>
  <c r="E93" i="6"/>
  <c r="D60" i="12"/>
  <c r="E60" i="6"/>
  <c r="G44" i="8"/>
  <c r="G45" i="8" s="1" a="1"/>
  <c r="G45" i="8" s="1"/>
  <c r="U46" i="8" a="1"/>
  <c r="U46" i="8" s="1"/>
  <c r="U44" i="8" s="1" a="1"/>
  <c r="U44" i="8" s="1"/>
  <c r="X46" i="8" a="1"/>
  <c r="X46" i="8" s="1"/>
  <c r="X44" i="8" s="1" a="1"/>
  <c r="X44" i="8" s="1"/>
  <c r="AD46" i="8" a="1"/>
  <c r="AD46" i="8" s="1"/>
  <c r="AD44" i="8" s="1" a="1"/>
  <c r="AD44" i="8" s="1"/>
  <c r="V46" i="8" a="1"/>
  <c r="V46" i="8" s="1"/>
  <c r="V44" i="8" s="1" a="1"/>
  <c r="V44" i="8" s="1"/>
  <c r="H44" i="8" s="1" a="1"/>
  <c r="H44" i="8" s="1"/>
  <c r="J45" i="8" s="1"/>
  <c r="AA46" i="8" a="1"/>
  <c r="AA46" i="8" s="1"/>
  <c r="AA44" i="8" s="1" a="1"/>
  <c r="AA44" i="8" s="1"/>
  <c r="AB46" i="8" a="1"/>
  <c r="AB46" i="8" s="1"/>
  <c r="AB44" i="8" s="1" a="1"/>
  <c r="AB44" i="8" s="1"/>
  <c r="W46" i="8" a="1"/>
  <c r="W46" i="8" s="1"/>
  <c r="W44" i="8" s="1" a="1"/>
  <c r="W44" i="8" s="1"/>
  <c r="AF46" i="8" a="1"/>
  <c r="AF46" i="8" s="1"/>
  <c r="AF44" i="8" s="1" a="1"/>
  <c r="AF44" i="8" s="1"/>
  <c r="H45" i="8" a="1"/>
  <c r="H45" i="8" s="1"/>
  <c r="E46" i="8" a="1"/>
  <c r="E46" i="8" s="1"/>
  <c r="E44" i="8" s="1" a="1"/>
  <c r="E44" i="8" s="1"/>
  <c r="AE46" i="8" a="1"/>
  <c r="AE46" i="8" s="1"/>
  <c r="AE44" i="8" s="1" a="1"/>
  <c r="AE44" i="8" s="1"/>
  <c r="AC46" i="8" a="1"/>
  <c r="AC46" i="8" s="1"/>
  <c r="AC44" i="8" s="1" a="1"/>
  <c r="AC44" i="8" s="1"/>
  <c r="Y46" i="8" a="1"/>
  <c r="Y46" i="8" s="1"/>
  <c r="Y44" i="8" s="1" a="1"/>
  <c r="Y44" i="8" s="1"/>
  <c r="Z46" i="8" a="1"/>
  <c r="Z46" i="8" s="1"/>
  <c r="Z44" i="8" s="1" a="1"/>
  <c r="Z44" i="8" s="1"/>
  <c r="C127" i="12"/>
  <c r="J127" i="12" a="1"/>
  <c r="J127" i="12" s="1"/>
  <c r="L127" i="12" a="1"/>
  <c r="L127" i="12" s="1"/>
  <c r="G53" i="8"/>
  <c r="G54" i="8" s="1" a="1"/>
  <c r="G54" i="8" s="1"/>
  <c r="AB55" i="8" a="1"/>
  <c r="AB55" i="8" s="1"/>
  <c r="X55" i="8" a="1"/>
  <c r="X55" i="8" s="1"/>
  <c r="AF55" i="8" a="1"/>
  <c r="AF55" i="8" s="1"/>
  <c r="AC55" i="8" a="1"/>
  <c r="AC55" i="8" s="1"/>
  <c r="W55" i="8" a="1"/>
  <c r="W55" i="8" s="1"/>
  <c r="Z55" i="8" a="1"/>
  <c r="Z55" i="8" s="1"/>
  <c r="Z28" i="8" s="1" a="1"/>
  <c r="Z28" i="8" s="1"/>
  <c r="Z26" i="8" s="1" a="1"/>
  <c r="Z26" i="8" s="1"/>
  <c r="AD55" i="8" a="1"/>
  <c r="AD55" i="8" s="1"/>
  <c r="AD28" i="8" s="1" a="1"/>
  <c r="AD28" i="8" s="1"/>
  <c r="AD26" i="8" s="1" a="1"/>
  <c r="AD26" i="8" s="1"/>
  <c r="E55" i="8" a="1"/>
  <c r="E55" i="8" s="1"/>
  <c r="AA55" i="8" a="1"/>
  <c r="AA55" i="8" s="1"/>
  <c r="H54" i="8" a="1"/>
  <c r="H54" i="8" s="1"/>
  <c r="V55" i="8" a="1"/>
  <c r="V55" i="8" s="1"/>
  <c r="Y55" i="8" a="1"/>
  <c r="Y55" i="8" s="1"/>
  <c r="Y28" i="8" s="1" a="1"/>
  <c r="Y28" i="8" s="1"/>
  <c r="Y26" i="8" s="1" a="1"/>
  <c r="Y26" i="8" s="1"/>
  <c r="AE55" i="8" a="1"/>
  <c r="AE55" i="8" s="1"/>
  <c r="U55" i="8" a="1"/>
  <c r="U55" i="8" s="1"/>
  <c r="H53" i="8" a="1"/>
  <c r="H53" i="8" s="1"/>
  <c r="J54" i="8" s="1"/>
  <c r="M190" i="12" a="1"/>
  <c r="M190" i="12" s="1"/>
  <c r="Y44" i="12"/>
  <c r="AB190" i="5" a="1"/>
  <c r="AB190" i="5" s="1"/>
  <c r="E32" i="6"/>
  <c r="D32" i="12"/>
  <c r="E102" i="6"/>
  <c r="D102" i="12"/>
  <c r="Y174" i="12"/>
  <c r="AB162" i="5" a="1"/>
  <c r="AB162" i="5" s="1"/>
  <c r="E143" i="6"/>
  <c r="D143" i="12"/>
  <c r="AO160" i="12" a="1"/>
  <c r="AO160" i="12" s="1"/>
  <c r="Y161" i="12"/>
  <c r="AB194" i="5" a="1"/>
  <c r="AB194" i="5" s="1"/>
  <c r="AB193" i="5" a="1"/>
  <c r="AB193" i="5" s="1"/>
  <c r="D44" i="8" s="1"/>
  <c r="X157" i="12" a="1"/>
  <c r="X157" i="12" s="1"/>
  <c r="W157" i="12" a="1"/>
  <c r="W157" i="12" s="1"/>
  <c r="M116" i="12" a="1"/>
  <c r="M116" i="12" s="1"/>
  <c r="M122" i="12" a="1"/>
  <c r="M122" i="12" s="1"/>
  <c r="M121" i="12" a="1"/>
  <c r="M121" i="12" s="1"/>
  <c r="D198" i="12"/>
  <c r="E198" i="6"/>
  <c r="L172" i="12" a="1"/>
  <c r="L172" i="12" s="1"/>
  <c r="C172" i="12"/>
  <c r="J172" i="12" a="1"/>
  <c r="J172" i="12" s="1"/>
  <c r="AC140" i="5" a="1"/>
  <c r="AC140" i="5" s="1"/>
  <c r="O140" i="5"/>
  <c r="C140" i="6"/>
  <c r="D178" i="12"/>
  <c r="E178" i="6"/>
  <c r="N159" i="12"/>
  <c r="O158" i="12" a="1"/>
  <c r="O158" i="12" s="1"/>
  <c r="N158" i="12" s="1"/>
  <c r="O82" i="12" a="1"/>
  <c r="O82" i="12" s="1"/>
  <c r="N82" i="12" s="1"/>
  <c r="N83" i="12"/>
  <c r="L166" i="12" a="1"/>
  <c r="L166" i="12" s="1"/>
  <c r="C166" i="12"/>
  <c r="J166" i="12" a="1"/>
  <c r="J166" i="12" s="1"/>
  <c r="Y69" i="12"/>
  <c r="Y90" i="12"/>
  <c r="AO89" i="12" a="1"/>
  <c r="AO89" i="12" s="1"/>
  <c r="G17" i="8"/>
  <c r="G18" i="8" s="1" a="1"/>
  <c r="G18" i="8" s="1"/>
  <c r="W19" i="8" a="1"/>
  <c r="W19" i="8" s="1"/>
  <c r="W17" i="8" s="1" a="1"/>
  <c r="W17" i="8" s="1"/>
  <c r="V19" i="8" a="1"/>
  <c r="V19" i="8" s="1"/>
  <c r="V17" i="8" s="1" a="1"/>
  <c r="V17" i="8" s="1"/>
  <c r="H17" i="8" s="1" a="1"/>
  <c r="H17" i="8" s="1"/>
  <c r="J18" i="8" s="1"/>
  <c r="AC19" i="8" a="1"/>
  <c r="AC19" i="8" s="1"/>
  <c r="AC17" i="8" s="1" a="1"/>
  <c r="AC17" i="8" s="1"/>
  <c r="U19" i="8" a="1"/>
  <c r="U19" i="8" s="1"/>
  <c r="U17" i="8" s="1" a="1"/>
  <c r="U17" i="8" s="1"/>
  <c r="AF19" i="8" a="1"/>
  <c r="AF19" i="8" s="1"/>
  <c r="AF17" i="8" s="1" a="1"/>
  <c r="AF17" i="8" s="1"/>
  <c r="H18" i="8" a="1"/>
  <c r="H18" i="8" s="1"/>
  <c r="E19" i="8" a="1"/>
  <c r="E19" i="8" s="1"/>
  <c r="E17" i="8" s="1" a="1"/>
  <c r="E17" i="8" s="1"/>
  <c r="AA19" i="8" a="1"/>
  <c r="AA19" i="8" s="1"/>
  <c r="AA17" i="8" s="1" a="1"/>
  <c r="AA17" i="8" s="1"/>
  <c r="Z19" i="8" a="1"/>
  <c r="Z19" i="8" s="1"/>
  <c r="Z17" i="8" s="1" a="1"/>
  <c r="Z17" i="8" s="1"/>
  <c r="AD19" i="8" a="1"/>
  <c r="AD19" i="8" s="1"/>
  <c r="AD17" i="8" s="1" a="1"/>
  <c r="AD17" i="8" s="1"/>
  <c r="AB19" i="8" a="1"/>
  <c r="AB19" i="8" s="1"/>
  <c r="AB17" i="8" s="1" a="1"/>
  <c r="AB17" i="8" s="1"/>
  <c r="AE19" i="8" a="1"/>
  <c r="AE19" i="8" s="1"/>
  <c r="AE17" i="8" s="1" a="1"/>
  <c r="AE17" i="8" s="1"/>
  <c r="X19" i="8" a="1"/>
  <c r="X19" i="8" s="1"/>
  <c r="X17" i="8" s="1" a="1"/>
  <c r="X17" i="8" s="1"/>
  <c r="Y19" i="8" a="1"/>
  <c r="Y19" i="8" s="1"/>
  <c r="Y17" i="8" s="1" a="1"/>
  <c r="Y17" i="8" s="1"/>
  <c r="C89" i="12"/>
  <c r="J89" i="12" a="1"/>
  <c r="J89" i="12" s="1"/>
  <c r="L89" i="12" a="1"/>
  <c r="L89" i="12" s="1"/>
  <c r="O16" i="5"/>
  <c r="C14" i="6"/>
  <c r="AC16" i="5" a="1"/>
  <c r="AC16" i="5" s="1"/>
  <c r="C16" i="6"/>
  <c r="D85" i="12"/>
  <c r="E85" i="6"/>
  <c r="M203" i="12" a="1"/>
  <c r="M203" i="12" s="1"/>
  <c r="M204" i="12" a="1"/>
  <c r="M204" i="12" s="1"/>
  <c r="W57" i="12" a="1"/>
  <c r="W57" i="12" s="1"/>
  <c r="X57" i="12" a="1"/>
  <c r="X57" i="12" s="1"/>
  <c r="AO20" i="12" a="1"/>
  <c r="AO20" i="12" s="1"/>
  <c r="Y21" i="12"/>
  <c r="Y147" i="12"/>
  <c r="O230" i="5"/>
  <c r="AC230" i="5" a="1"/>
  <c r="AC230" i="5" s="1"/>
  <c r="C230" i="6"/>
  <c r="C200" i="6"/>
  <c r="O200" i="5"/>
  <c r="AC200" i="5" a="1"/>
  <c r="AC200" i="5" s="1"/>
  <c r="W70" i="12" a="1"/>
  <c r="W70" i="12" s="1"/>
  <c r="X70" i="12" a="1"/>
  <c r="X70" i="12" s="1"/>
  <c r="N233" i="12"/>
  <c r="L204" i="12" a="1"/>
  <c r="L204" i="12" s="1"/>
  <c r="C204" i="12"/>
  <c r="J204" i="12" a="1"/>
  <c r="J204" i="12" s="1"/>
  <c r="O203" i="5"/>
  <c r="C203" i="6"/>
  <c r="AC203" i="5" a="1"/>
  <c r="AC203" i="5" s="1"/>
  <c r="Y87" i="12"/>
  <c r="E118" i="6"/>
  <c r="D118" i="12"/>
  <c r="E30" i="6"/>
  <c r="D30" i="12"/>
  <c r="AC132" i="5" a="1"/>
  <c r="AC132" i="5" s="1"/>
  <c r="O132" i="5"/>
  <c r="C132" i="6"/>
  <c r="N165" i="12"/>
  <c r="M111" i="12" a="1"/>
  <c r="M111" i="12" s="1"/>
  <c r="M112" i="12" a="1"/>
  <c r="M112" i="12" s="1"/>
  <c r="Y171" i="12"/>
  <c r="C193" i="12"/>
  <c r="L193" i="12" a="1"/>
  <c r="L193" i="12" s="1"/>
  <c r="J193" i="12" a="1"/>
  <c r="J193" i="12" s="1"/>
  <c r="N34" i="12"/>
  <c r="D101" i="12"/>
  <c r="E101" i="6"/>
  <c r="D144" i="12"/>
  <c r="E144" i="6"/>
  <c r="E228" i="6"/>
  <c r="D228" i="12"/>
  <c r="Y143" i="12"/>
  <c r="AO234" i="12" a="1"/>
  <c r="AO234" i="12" s="1"/>
  <c r="Y235" i="12"/>
  <c r="C111" i="6"/>
  <c r="O111" i="5"/>
  <c r="AC111" i="5" a="1"/>
  <c r="AC111" i="5" s="1"/>
  <c r="E208" i="6"/>
  <c r="D208" i="12"/>
  <c r="D65" i="12"/>
  <c r="E65" i="6"/>
  <c r="D142" i="12"/>
  <c r="E142" i="6"/>
  <c r="N144" i="12"/>
  <c r="O116" i="12" a="1"/>
  <c r="O116" i="12" s="1"/>
  <c r="N116" i="12" s="1"/>
  <c r="N117" i="12"/>
  <c r="N37" i="12"/>
  <c r="E167" i="6"/>
  <c r="D167" i="12"/>
  <c r="C24" i="12"/>
  <c r="L24" i="12" a="1"/>
  <c r="L24" i="12" s="1"/>
  <c r="J24" i="12" a="1"/>
  <c r="J24" i="12" s="1"/>
  <c r="E37" i="6"/>
  <c r="D37" i="12"/>
  <c r="L122" i="12" a="1"/>
  <c r="L122" i="12" s="1"/>
  <c r="C122" i="12"/>
  <c r="J122" i="12" a="1"/>
  <c r="J122" i="12" s="1"/>
  <c r="AC31" i="5" a="1"/>
  <c r="AC31" i="5" s="1"/>
  <c r="C31" i="6"/>
  <c r="O31" i="5"/>
  <c r="Y152" i="12"/>
  <c r="N27" i="12"/>
  <c r="E148" i="6"/>
  <c r="D148" i="12"/>
  <c r="AB71" i="5" a="1"/>
  <c r="AB71" i="5" s="1"/>
  <c r="N138" i="12"/>
  <c r="D84" i="12"/>
  <c r="E84" i="6"/>
  <c r="D201" i="12"/>
  <c r="E201" i="6"/>
  <c r="E90" i="6"/>
  <c r="D90" i="12"/>
  <c r="Y74" i="12"/>
  <c r="Y96" i="12"/>
  <c r="Y65" i="12"/>
  <c r="AO71" i="12" a="1"/>
  <c r="AO71" i="12" s="1"/>
  <c r="Y72" i="12"/>
  <c r="M89" i="12" a="1"/>
  <c r="M89" i="12" s="1"/>
  <c r="C17" i="12"/>
  <c r="L17" i="12" a="1"/>
  <c r="L17" i="12" s="1"/>
  <c r="J17" i="12" a="1"/>
  <c r="J17" i="12" s="1"/>
  <c r="E130" i="6"/>
  <c r="D130" i="12"/>
  <c r="D92" i="12"/>
  <c r="E92" i="6"/>
  <c r="N205" i="12"/>
  <c r="O204" i="12" a="1"/>
  <c r="O204" i="12" s="1"/>
  <c r="O203" i="12" a="1"/>
  <c r="O203" i="12" s="1"/>
  <c r="N57" i="12"/>
  <c r="O20" i="12" a="1"/>
  <c r="O20" i="12" s="1"/>
  <c r="N20" i="12" s="1"/>
  <c r="N21" i="12"/>
  <c r="Y192" i="12"/>
  <c r="E124" i="6"/>
  <c r="D124" i="12"/>
  <c r="Y232" i="12"/>
  <c r="N70" i="12"/>
  <c r="N231" i="12"/>
  <c r="O230" i="12" a="1"/>
  <c r="O230" i="12" s="1"/>
  <c r="N110" i="12"/>
  <c r="N81" i="12"/>
  <c r="N93" i="12"/>
  <c r="AO112" i="12" a="1"/>
  <c r="AO112" i="12" s="1"/>
  <c r="AO111" i="12" a="1"/>
  <c r="AO111" i="12" s="1"/>
  <c r="Y111" i="12" s="1"/>
  <c r="Y113" i="12"/>
  <c r="L206" i="12" a="1"/>
  <c r="L206" i="12" s="1"/>
  <c r="J206" i="12" a="1"/>
  <c r="J206" i="12" s="1"/>
  <c r="C206" i="12"/>
  <c r="O160" i="5"/>
  <c r="C160" i="6"/>
  <c r="AC160" i="5" a="1"/>
  <c r="AC160" i="5" s="1"/>
  <c r="O193" i="5"/>
  <c r="C193" i="6"/>
  <c r="AC193" i="5" a="1"/>
  <c r="AC193" i="5" s="1"/>
  <c r="C127" i="6"/>
  <c r="AC127" i="5" a="1"/>
  <c r="AC127" i="5" s="1"/>
  <c r="O127" i="5"/>
  <c r="D49" i="12"/>
  <c r="E49" i="6"/>
  <c r="D109" i="12"/>
  <c r="E109" i="6"/>
  <c r="C22" i="6"/>
  <c r="O22" i="5"/>
  <c r="AC22" i="5" a="1"/>
  <c r="AC22" i="5" s="1"/>
  <c r="E188" i="6"/>
  <c r="D188" i="12"/>
  <c r="C121" i="12"/>
  <c r="L121" i="12" a="1"/>
  <c r="L121" i="12" s="1"/>
  <c r="J121" i="12" a="1"/>
  <c r="J121" i="12" s="1"/>
  <c r="AB185" i="5" a="1"/>
  <c r="AB185" i="5" s="1"/>
  <c r="X73" i="12" a="1"/>
  <c r="X73" i="12" s="1"/>
  <c r="W73" i="12" a="1"/>
  <c r="W73" i="12" s="1"/>
  <c r="X144" i="12" a="1"/>
  <c r="X144" i="12" s="1"/>
  <c r="W144" i="12" a="1"/>
  <c r="W144" i="12" s="1"/>
  <c r="Y117" i="12"/>
  <c r="AO116" i="12" a="1"/>
  <c r="AO116" i="12" s="1"/>
  <c r="W37" i="12" a="1"/>
  <c r="W37" i="12" s="1"/>
  <c r="X37" i="12" a="1"/>
  <c r="X37" i="12" s="1"/>
  <c r="E236" i="6"/>
  <c r="D236" i="12"/>
  <c r="Y173" i="12"/>
  <c r="AO172" i="12" a="1"/>
  <c r="AO172" i="12" s="1"/>
  <c r="Y123" i="12"/>
  <c r="AO122" i="12" a="1"/>
  <c r="AO122" i="12" s="1"/>
  <c r="Y122" i="12" s="1"/>
  <c r="AO121" i="12" a="1"/>
  <c r="AO121" i="12" s="1"/>
  <c r="Y121" i="12" s="1"/>
  <c r="D239" i="12"/>
  <c r="E239" i="6"/>
  <c r="E21" i="6"/>
  <c r="D21" i="12"/>
  <c r="E209" i="6"/>
  <c r="D209" i="12"/>
  <c r="O89" i="12" a="1"/>
  <c r="O89" i="12" s="1"/>
  <c r="N90" i="12"/>
  <c r="E39" i="6"/>
  <c r="D39" i="12"/>
  <c r="AB94" i="5" a="1"/>
  <c r="AB94" i="5" s="1"/>
  <c r="Y205" i="12"/>
  <c r="AO203" i="12" a="1"/>
  <c r="AO203" i="12" s="1"/>
  <c r="AO204" i="12" a="1"/>
  <c r="AO204" i="12" s="1"/>
  <c r="L230" i="12" a="1"/>
  <c r="L230" i="12" s="1"/>
  <c r="J230" i="12" a="1"/>
  <c r="J230" i="12" s="1"/>
  <c r="C230" i="12"/>
  <c r="M230" i="12" a="1"/>
  <c r="M230" i="12" s="1"/>
  <c r="O204" i="5"/>
  <c r="AC204" i="5" a="1"/>
  <c r="AC204" i="5" s="1"/>
  <c r="C204" i="6"/>
  <c r="W84" i="12" a="1"/>
  <c r="W84" i="12" s="1"/>
  <c r="X84" i="12" a="1"/>
  <c r="X84" i="12" s="1"/>
  <c r="C203" i="12"/>
  <c r="J203" i="12" a="1"/>
  <c r="J203" i="12" s="1"/>
  <c r="L203" i="12" a="1"/>
  <c r="L203" i="12" s="1"/>
  <c r="X81" i="12" a="1"/>
  <c r="X81" i="12" s="1"/>
  <c r="W81" i="12" a="1"/>
  <c r="W81" i="12" s="1"/>
  <c r="AB216" i="5" a="1"/>
  <c r="AB216" i="5" s="1"/>
  <c r="W93" i="12" a="1"/>
  <c r="W93" i="12" s="1"/>
  <c r="X93" i="12" a="1"/>
  <c r="X93" i="12" s="1"/>
  <c r="N207" i="12"/>
  <c r="O206" i="12" a="1"/>
  <c r="O206" i="12" s="1"/>
  <c r="L132" i="12" a="1"/>
  <c r="L132" i="12" s="1"/>
  <c r="C132" i="12"/>
  <c r="J132" i="12" a="1"/>
  <c r="J132" i="12" s="1"/>
  <c r="L160" i="12" a="1"/>
  <c r="L160" i="12" s="1"/>
  <c r="C160" i="12"/>
  <c r="J160" i="12" a="1"/>
  <c r="J160" i="12" s="1"/>
  <c r="G50" i="8"/>
  <c r="G51" i="8" s="1" a="1"/>
  <c r="G51" i="8" s="1"/>
  <c r="AC52" i="8" a="1"/>
  <c r="AC52" i="8" s="1"/>
  <c r="AC50" i="8" s="1" a="1"/>
  <c r="AC50" i="8" s="1"/>
  <c r="V52" i="8" a="1"/>
  <c r="V52" i="8" s="1"/>
  <c r="V50" i="8" s="1" a="1"/>
  <c r="V50" i="8" s="1"/>
  <c r="AA52" i="8" a="1"/>
  <c r="AA52" i="8" s="1"/>
  <c r="AA50" i="8" s="1" a="1"/>
  <c r="AA50" i="8" s="1"/>
  <c r="AB52" i="8" a="1"/>
  <c r="AB52" i="8" s="1"/>
  <c r="AB50" i="8" s="1" a="1"/>
  <c r="AB50" i="8" s="1"/>
  <c r="AE52" i="8" a="1"/>
  <c r="AE52" i="8" s="1"/>
  <c r="AE50" i="8" s="1" a="1"/>
  <c r="AE50" i="8" s="1"/>
  <c r="Z52" i="8" a="1"/>
  <c r="Z52" i="8" s="1"/>
  <c r="Z50" i="8" s="1" a="1"/>
  <c r="Z50" i="8" s="1"/>
  <c r="W52" i="8" a="1"/>
  <c r="W52" i="8" s="1"/>
  <c r="W50" i="8" s="1" a="1"/>
  <c r="W50" i="8" s="1"/>
  <c r="E52" i="8" a="1"/>
  <c r="E52" i="8" s="1"/>
  <c r="E50" i="8" s="1" a="1"/>
  <c r="E50" i="8" s="1"/>
  <c r="X52" i="8" a="1"/>
  <c r="X52" i="8" s="1"/>
  <c r="X50" i="8" s="1" a="1"/>
  <c r="X50" i="8" s="1"/>
  <c r="H51" i="8" a="1"/>
  <c r="H51" i="8" s="1"/>
  <c r="AF52" i="8" a="1"/>
  <c r="AF52" i="8" s="1"/>
  <c r="AF50" i="8" s="1" a="1"/>
  <c r="AF50" i="8" s="1"/>
  <c r="AD52" i="8" a="1"/>
  <c r="AD52" i="8" s="1"/>
  <c r="AD50" i="8" s="1" a="1"/>
  <c r="AD50" i="8" s="1"/>
  <c r="Y52" i="8" a="1"/>
  <c r="Y52" i="8" s="1"/>
  <c r="Y50" i="8" s="1" a="1"/>
  <c r="Y50" i="8" s="1"/>
  <c r="U52" i="8" a="1"/>
  <c r="U52" i="8" s="1"/>
  <c r="U50" i="8" s="1" a="1"/>
  <c r="U50" i="8" s="1"/>
  <c r="O162" i="5"/>
  <c r="C162" i="6"/>
  <c r="AC162" i="5" a="1"/>
  <c r="AC162" i="5" s="1"/>
  <c r="E131" i="6"/>
  <c r="D131" i="12"/>
  <c r="E181" i="6"/>
  <c r="D181" i="12"/>
  <c r="E41" i="6"/>
  <c r="D41" i="12"/>
  <c r="E146" i="6"/>
  <c r="D146" i="12"/>
  <c r="G23" i="8"/>
  <c r="G24" i="8" s="1" a="1"/>
  <c r="G24" i="8" s="1"/>
  <c r="W25" i="8" a="1"/>
  <c r="W25" i="8" s="1"/>
  <c r="W23" i="8" s="1" a="1"/>
  <c r="W23" i="8" s="1"/>
  <c r="Y25" i="8" a="1"/>
  <c r="Y25" i="8" s="1"/>
  <c r="Y23" i="8" s="1" a="1"/>
  <c r="Y23" i="8" s="1"/>
  <c r="AF25" i="8" a="1"/>
  <c r="AF25" i="8" s="1"/>
  <c r="AF23" i="8" s="1" a="1"/>
  <c r="AF23" i="8" s="1"/>
  <c r="AD25" i="8" a="1"/>
  <c r="AD25" i="8" s="1"/>
  <c r="AD23" i="8" s="1" a="1"/>
  <c r="AD23" i="8" s="1"/>
  <c r="Z25" i="8" a="1"/>
  <c r="Z25" i="8" s="1"/>
  <c r="Z23" i="8" s="1" a="1"/>
  <c r="Z23" i="8" s="1"/>
  <c r="AE25" i="8" a="1"/>
  <c r="AE25" i="8" s="1"/>
  <c r="AE23" i="8" s="1" a="1"/>
  <c r="AE23" i="8" s="1"/>
  <c r="E25" i="8" a="1"/>
  <c r="E25" i="8" s="1"/>
  <c r="E23" i="8" s="1" a="1"/>
  <c r="E23" i="8" s="1"/>
  <c r="AC25" i="8" a="1"/>
  <c r="AC25" i="8" s="1"/>
  <c r="AC23" i="8" s="1" a="1"/>
  <c r="AC23" i="8" s="1"/>
  <c r="V25" i="8" a="1"/>
  <c r="V25" i="8" s="1"/>
  <c r="V23" i="8" s="1" a="1"/>
  <c r="V23" i="8" s="1"/>
  <c r="D23" i="8"/>
  <c r="H24" i="8" a="1"/>
  <c r="H24" i="8" s="1"/>
  <c r="U25" i="8" a="1"/>
  <c r="U25" i="8" s="1"/>
  <c r="U23" i="8" s="1" a="1"/>
  <c r="U23" i="8" s="1"/>
  <c r="AA25" i="8" a="1"/>
  <c r="AA25" i="8" s="1"/>
  <c r="AA23" i="8" s="1" a="1"/>
  <c r="AA23" i="8" s="1"/>
  <c r="X25" i="8" a="1"/>
  <c r="X25" i="8" s="1"/>
  <c r="X23" i="8" s="1" a="1"/>
  <c r="X23" i="8" s="1"/>
  <c r="AB25" i="8" a="1"/>
  <c r="AB25" i="8" s="1"/>
  <c r="AB23" i="8" s="1" a="1"/>
  <c r="AB23" i="8" s="1"/>
  <c r="N235" i="12"/>
  <c r="O234" i="12" a="1"/>
  <c r="O234" i="12" s="1"/>
  <c r="E44" i="6"/>
  <c r="D44" i="12"/>
  <c r="D126" i="12"/>
  <c r="E126" i="6"/>
  <c r="AC172" i="5" a="1"/>
  <c r="AC172" i="5" s="1"/>
  <c r="O172" i="5"/>
  <c r="C172" i="6"/>
  <c r="D125" i="12"/>
  <c r="E125" i="6"/>
  <c r="L25" i="12" a="1"/>
  <c r="L25" i="12" s="1"/>
  <c r="J25" i="12" a="1"/>
  <c r="J25" i="12" s="1"/>
  <c r="C25" i="12"/>
  <c r="Y19" i="12"/>
  <c r="X27" i="12" a="1"/>
  <c r="X27" i="12" s="1"/>
  <c r="W27" i="12" a="1"/>
  <c r="W27" i="12" s="1"/>
  <c r="D154" i="12"/>
  <c r="E154" i="6"/>
  <c r="X119" i="12" a="1"/>
  <c r="X119" i="12" s="1"/>
  <c r="W119" i="12" a="1"/>
  <c r="W119" i="12" s="1"/>
  <c r="D91" i="12"/>
  <c r="E91" i="6"/>
  <c r="G26" i="8"/>
  <c r="G27" i="8" s="1" a="1"/>
  <c r="G27" i="8" s="1"/>
  <c r="H27" i="8" a="1"/>
  <c r="H27" i="8" s="1"/>
  <c r="AF28" i="8" a="1"/>
  <c r="AF28" i="8" s="1"/>
  <c r="AF26" i="8" s="1" a="1"/>
  <c r="AF26" i="8" s="1"/>
  <c r="AE28" i="8" a="1"/>
  <c r="AE28" i="8" s="1"/>
  <c r="AE26" i="8" s="1" a="1"/>
  <c r="AE26" i="8" s="1"/>
  <c r="W28" i="8" a="1"/>
  <c r="W28" i="8" s="1"/>
  <c r="W26" i="8" s="1" a="1"/>
  <c r="W26" i="8" s="1"/>
  <c r="AA28" i="8" a="1"/>
  <c r="AA28" i="8" s="1"/>
  <c r="AA26" i="8" s="1" a="1"/>
  <c r="AA26" i="8" s="1"/>
  <c r="X28" i="8" a="1"/>
  <c r="X28" i="8" s="1"/>
  <c r="X26" i="8" s="1" a="1"/>
  <c r="X26" i="8" s="1"/>
  <c r="AB28" i="8" a="1"/>
  <c r="AB28" i="8" s="1"/>
  <c r="AB26" i="8" s="1" a="1"/>
  <c r="AB26" i="8" s="1"/>
  <c r="AC28" i="8" a="1"/>
  <c r="AC28" i="8" s="1"/>
  <c r="AC26" i="8" s="1" a="1"/>
  <c r="AC26" i="8" s="1"/>
  <c r="U28" i="8" a="1"/>
  <c r="U28" i="8" s="1"/>
  <c r="U26" i="8" s="1" a="1"/>
  <c r="U26" i="8" s="1"/>
  <c r="V28" i="8" a="1"/>
  <c r="V28" i="8" s="1"/>
  <c r="V26" i="8" s="1" a="1"/>
  <c r="V26" i="8" s="1"/>
  <c r="E28" i="8" a="1"/>
  <c r="E28" i="8" s="1"/>
  <c r="E26" i="8" s="1" a="1"/>
  <c r="E26" i="8" s="1"/>
  <c r="E221" i="6"/>
  <c r="D221" i="12"/>
  <c r="W138" i="12" a="1"/>
  <c r="W138" i="12" s="1"/>
  <c r="X138" i="12" a="1"/>
  <c r="X138" i="12" s="1"/>
  <c r="Y137" i="12"/>
  <c r="N39" i="12"/>
  <c r="N96" i="12"/>
  <c r="C197" i="12"/>
  <c r="J197" i="12" a="1"/>
  <c r="J197" i="12" s="1"/>
  <c r="L197" i="12" a="1"/>
  <c r="L197" i="12" s="1"/>
  <c r="N72" i="12"/>
  <c r="O71" i="12" a="1"/>
  <c r="O71" i="12" s="1"/>
  <c r="N71" i="12" s="1"/>
  <c r="N99" i="12"/>
  <c r="L116" i="12" a="1"/>
  <c r="L116" i="12" s="1"/>
  <c r="J116" i="12" a="1"/>
  <c r="J116" i="12" s="1"/>
  <c r="C116" i="12"/>
  <c r="AC17" i="5" a="1"/>
  <c r="AC17" i="5" s="1"/>
  <c r="O17" i="5"/>
  <c r="C17" i="6"/>
  <c r="N178" i="12"/>
  <c r="J176" i="12" a="1"/>
  <c r="J176" i="12" s="1"/>
  <c r="L176" i="12" a="1"/>
  <c r="L176" i="12" s="1"/>
  <c r="C176" i="12"/>
  <c r="AB45" i="5" a="1"/>
  <c r="AB45" i="5" s="1"/>
  <c r="D147" i="12"/>
  <c r="E147" i="6"/>
  <c r="G14" i="8"/>
  <c r="G15" i="8" s="1" a="1"/>
  <c r="G15" i="8" s="1"/>
  <c r="R57" i="8"/>
  <c r="I57" i="8" s="1"/>
  <c r="H14" i="8" a="1"/>
  <c r="H14" i="8" s="1"/>
  <c r="J15" i="8" s="1"/>
  <c r="H15" i="8" a="1"/>
  <c r="H15" i="8" s="1"/>
  <c r="Y61" i="12"/>
  <c r="D199" i="12"/>
  <c r="E199" i="6"/>
  <c r="N105" i="12"/>
  <c r="O103" i="12" a="1"/>
  <c r="O103" i="12" s="1"/>
  <c r="O104" i="12" a="1"/>
  <c r="O104" i="12" s="1"/>
  <c r="E135" i="6"/>
  <c r="D135" i="12"/>
  <c r="X233" i="12" a="1"/>
  <c r="X233" i="12" s="1"/>
  <c r="W233" i="12" a="1"/>
  <c r="W233" i="12" s="1"/>
  <c r="AO230" i="12" a="1"/>
  <c r="AO230" i="12" s="1"/>
  <c r="Y231" i="12"/>
  <c r="O40" i="5"/>
  <c r="AC40" i="5" a="1"/>
  <c r="AC40" i="5" s="1"/>
  <c r="C40" i="6"/>
  <c r="Y149" i="12"/>
  <c r="M227" i="12" a="1"/>
  <c r="M227" i="12" s="1"/>
  <c r="M226" i="12" a="1"/>
  <c r="M226" i="12" s="1"/>
  <c r="N41" i="12"/>
  <c r="O40" i="12" a="1"/>
  <c r="O40" i="12" s="1"/>
  <c r="M206" i="12" a="1"/>
  <c r="M206" i="12" s="1"/>
  <c r="Y224" i="12"/>
  <c r="AO223" i="12" a="1"/>
  <c r="AO223" i="12" s="1"/>
  <c r="AO222" i="12" a="1"/>
  <c r="AO222" i="12" s="1"/>
  <c r="AC108" i="5" a="1"/>
  <c r="AC108" i="5" s="1"/>
  <c r="O108" i="5"/>
  <c r="C108" i="6"/>
  <c r="O222" i="5"/>
  <c r="AC222" i="5" a="1"/>
  <c r="AC222" i="5" s="1"/>
  <c r="C222" i="6"/>
  <c r="W34" i="12" a="1"/>
  <c r="W34" i="12" s="1"/>
  <c r="X34" i="12" a="1"/>
  <c r="X34" i="12" s="1"/>
  <c r="E114" i="6"/>
  <c r="D114" i="12"/>
  <c r="N143" i="12"/>
  <c r="L22" i="12" a="1"/>
  <c r="L22" i="12" s="1"/>
  <c r="J22" i="12" a="1"/>
  <c r="J22" i="12" s="1"/>
  <c r="C22" i="12"/>
  <c r="AB111" i="5" a="1"/>
  <c r="AB111" i="5" s="1"/>
  <c r="D32" i="8" s="1"/>
  <c r="AB112" i="5" a="1"/>
  <c r="AB112" i="5" s="1"/>
  <c r="M234" i="12" a="1"/>
  <c r="M234" i="12" s="1"/>
  <c r="D161" i="12"/>
  <c r="E161" i="6"/>
  <c r="E67" i="6"/>
  <c r="D67" i="12"/>
  <c r="C121" i="6"/>
  <c r="O121" i="5"/>
  <c r="AC121" i="5" a="1"/>
  <c r="AC121" i="5" s="1"/>
  <c r="D98" i="12"/>
  <c r="E98" i="6"/>
  <c r="AB180" i="5" a="1"/>
  <c r="AB180" i="5" s="1"/>
  <c r="N73" i="12"/>
  <c r="N98" i="12"/>
  <c r="N239" i="12"/>
  <c r="N119" i="12"/>
  <c r="AO50" i="12" a="1"/>
  <c r="AO50" i="12" s="1"/>
  <c r="Y51" i="12"/>
  <c r="D157" i="12"/>
  <c r="E157" i="6"/>
  <c r="Y186" i="12"/>
  <c r="AO185" i="12" a="1"/>
  <c r="AO185" i="12" s="1"/>
  <c r="Y91" i="12"/>
  <c r="Y189" i="12"/>
  <c r="O20" i="5"/>
  <c r="C20" i="6"/>
  <c r="AC20" i="5" a="1"/>
  <c r="AC20" i="5" s="1"/>
  <c r="O197" i="5"/>
  <c r="AC197" i="5" a="1"/>
  <c r="AC197" i="5" s="1"/>
  <c r="C197" i="6"/>
  <c r="Y99" i="12"/>
  <c r="D232" i="12"/>
  <c r="E232" i="6"/>
  <c r="O116" i="5"/>
  <c r="C116" i="6"/>
  <c r="AC116" i="5" a="1"/>
  <c r="AC116" i="5" s="1"/>
  <c r="O176" i="5"/>
  <c r="C176" i="6"/>
  <c r="AC176" i="5" a="1"/>
  <c r="AC176" i="5" s="1"/>
  <c r="D215" i="12"/>
  <c r="E215" i="6"/>
  <c r="G29" i="8"/>
  <c r="G30" i="8" s="1" a="1"/>
  <c r="G30" i="8" s="1"/>
  <c r="H30" i="8" a="1"/>
  <c r="H30" i="8" s="1"/>
  <c r="AA31" i="8" a="1"/>
  <c r="AA31" i="8" s="1"/>
  <c r="AA29" i="8" s="1" a="1"/>
  <c r="AA29" i="8" s="1"/>
  <c r="W31" i="8" a="1"/>
  <c r="W31" i="8" s="1"/>
  <c r="W29" i="8" s="1" a="1"/>
  <c r="W29" i="8" s="1"/>
  <c r="U31" i="8" a="1"/>
  <c r="U31" i="8" s="1"/>
  <c r="U29" i="8" s="1" a="1"/>
  <c r="U29" i="8" s="1"/>
  <c r="AE31" i="8" a="1"/>
  <c r="AE31" i="8" s="1"/>
  <c r="AE29" i="8" s="1" a="1"/>
  <c r="AE29" i="8" s="1"/>
  <c r="AC31" i="8" a="1"/>
  <c r="AC31" i="8" s="1"/>
  <c r="AC29" i="8" s="1" a="1"/>
  <c r="AC29" i="8" s="1"/>
  <c r="AF31" i="8" a="1"/>
  <c r="AF31" i="8" s="1"/>
  <c r="AF29" i="8" s="1" a="1"/>
  <c r="AF29" i="8" s="1"/>
  <c r="Y31" i="8" a="1"/>
  <c r="Y31" i="8" s="1"/>
  <c r="Y29" i="8" s="1" a="1"/>
  <c r="Y29" i="8" s="1"/>
  <c r="E31" i="8" a="1"/>
  <c r="E31" i="8" s="1"/>
  <c r="E29" i="8" s="1" a="1"/>
  <c r="E29" i="8" s="1"/>
  <c r="V31" i="8" a="1"/>
  <c r="V31" i="8" s="1"/>
  <c r="V29" i="8" s="1" a="1"/>
  <c r="V29" i="8" s="1"/>
  <c r="AD31" i="8" a="1"/>
  <c r="AD31" i="8" s="1"/>
  <c r="AD29" i="8" s="1" a="1"/>
  <c r="AD29" i="8" s="1"/>
  <c r="X31" i="8" a="1"/>
  <c r="X31" i="8" s="1"/>
  <c r="X29" i="8" s="1" a="1"/>
  <c r="X29" i="8" s="1"/>
  <c r="Z31" i="8" a="1"/>
  <c r="Z31" i="8" s="1"/>
  <c r="Z29" i="8" s="1" a="1"/>
  <c r="Z29" i="8" s="1"/>
  <c r="AB31" i="8" a="1"/>
  <c r="AB31" i="8" s="1"/>
  <c r="AB29" i="8" s="1" a="1"/>
  <c r="AB29" i="8" s="1"/>
  <c r="N61" i="12"/>
  <c r="C55" i="12"/>
  <c r="J55" i="12" a="1"/>
  <c r="J55" i="12" s="1"/>
  <c r="L55" i="12" a="1"/>
  <c r="L55" i="12" s="1"/>
  <c r="N192" i="12"/>
  <c r="D38" i="12"/>
  <c r="E38" i="6"/>
  <c r="O45" i="5"/>
  <c r="C45" i="6"/>
  <c r="AC45" i="5" a="1"/>
  <c r="AC45" i="5" s="1"/>
  <c r="AB62" i="5" a="1"/>
  <c r="AB62" i="5" s="1"/>
  <c r="D105" i="12"/>
  <c r="E105" i="6"/>
  <c r="E218" i="6"/>
  <c r="D218" i="12"/>
  <c r="N118" i="12"/>
  <c r="C40" i="12"/>
  <c r="J40" i="12" a="1"/>
  <c r="J40" i="12" s="1"/>
  <c r="L40" i="12" a="1"/>
  <c r="L40" i="12" s="1"/>
  <c r="AC214" i="5" a="1"/>
  <c r="AC214" i="5" s="1"/>
  <c r="C214" i="6"/>
  <c r="O214" i="5"/>
  <c r="W30" i="12" a="1"/>
  <c r="W30" i="12" s="1"/>
  <c r="X30" i="12" a="1"/>
  <c r="X30" i="12" s="1"/>
  <c r="AC104" i="5" a="1"/>
  <c r="AC104" i="5" s="1"/>
  <c r="C104" i="6"/>
  <c r="O104" i="5"/>
  <c r="Y139" i="12"/>
  <c r="Y129" i="12"/>
  <c r="M40" i="12" a="1"/>
  <c r="M40" i="12" s="1"/>
  <c r="Y207" i="12"/>
  <c r="AO206" i="12" a="1"/>
  <c r="AO206" i="12" s="1"/>
  <c r="Y206" i="12" s="1"/>
  <c r="L175" i="12" a="1"/>
  <c r="L175" i="12" s="1"/>
  <c r="J175" i="12" a="1"/>
  <c r="J175" i="12" s="1"/>
  <c r="C175" i="12"/>
  <c r="O223" i="12" a="1"/>
  <c r="O223" i="12" s="1"/>
  <c r="N224" i="12"/>
  <c r="O222" i="12" a="1"/>
  <c r="O222" i="12" s="1"/>
  <c r="L108" i="12" a="1"/>
  <c r="L108" i="12" s="1"/>
  <c r="C108" i="12"/>
  <c r="J108" i="12" a="1"/>
  <c r="J108" i="12" s="1"/>
  <c r="O206" i="5"/>
  <c r="AC206" i="5" a="1"/>
  <c r="AC206" i="5" s="1"/>
  <c r="C206" i="6"/>
  <c r="N220" i="12"/>
  <c r="O219" i="12" a="1"/>
  <c r="O219" i="12" s="1"/>
  <c r="AC226" i="5" a="1"/>
  <c r="AC226" i="5" s="1"/>
  <c r="C226" i="6"/>
  <c r="O226" i="5"/>
  <c r="D86" i="12"/>
  <c r="E86" i="6"/>
  <c r="M127" i="12" a="1"/>
  <c r="M127" i="12" s="1"/>
  <c r="N32" i="12"/>
  <c r="O31" i="12" a="1"/>
  <c r="O31" i="12" s="1"/>
  <c r="N31" i="12" s="1"/>
  <c r="AC100" i="5" a="1"/>
  <c r="AC100" i="5" s="1"/>
  <c r="C100" i="6"/>
  <c r="O100" i="5"/>
  <c r="G35" i="8"/>
  <c r="G36" i="8" s="1" a="1"/>
  <c r="G36" i="8" s="1"/>
  <c r="AA37" i="8" a="1"/>
  <c r="AA37" i="8" s="1"/>
  <c r="AA35" i="8" s="1" a="1"/>
  <c r="AA35" i="8" s="1"/>
  <c r="Z37" i="8" a="1"/>
  <c r="Z37" i="8" s="1"/>
  <c r="Z35" i="8" s="1" a="1"/>
  <c r="Z35" i="8" s="1"/>
  <c r="AE37" i="8" a="1"/>
  <c r="AE37" i="8" s="1"/>
  <c r="AE35" i="8" s="1" a="1"/>
  <c r="AE35" i="8" s="1"/>
  <c r="AC37" i="8" a="1"/>
  <c r="AC37" i="8" s="1"/>
  <c r="AC35" i="8" s="1" a="1"/>
  <c r="AC35" i="8" s="1"/>
  <c r="X37" i="8" a="1"/>
  <c r="X37" i="8" s="1"/>
  <c r="X35" i="8" s="1" a="1"/>
  <c r="X35" i="8" s="1"/>
  <c r="V37" i="8" a="1"/>
  <c r="V37" i="8" s="1"/>
  <c r="V35" i="8" s="1" a="1"/>
  <c r="V35" i="8" s="1"/>
  <c r="E37" i="8" a="1"/>
  <c r="E37" i="8" s="1"/>
  <c r="E35" i="8" s="1" a="1"/>
  <c r="E35" i="8" s="1"/>
  <c r="W37" i="8" a="1"/>
  <c r="W37" i="8" s="1"/>
  <c r="W35" i="8" s="1" a="1"/>
  <c r="W35" i="8" s="1"/>
  <c r="D35" i="8"/>
  <c r="Y37" i="8" a="1"/>
  <c r="Y37" i="8" s="1"/>
  <c r="Y35" i="8" s="1" a="1"/>
  <c r="Y35" i="8" s="1"/>
  <c r="AB37" i="8" a="1"/>
  <c r="AB37" i="8" s="1"/>
  <c r="AB35" i="8" s="1" a="1"/>
  <c r="AB35" i="8" s="1"/>
  <c r="AF37" i="8" a="1"/>
  <c r="AF37" i="8" s="1"/>
  <c r="AF35" i="8" s="1" a="1"/>
  <c r="AF35" i="8" s="1"/>
  <c r="U37" i="8" a="1"/>
  <c r="U37" i="8" s="1"/>
  <c r="U35" i="8" s="1" a="1"/>
  <c r="U35" i="8" s="1"/>
  <c r="AD37" i="8" a="1"/>
  <c r="AD37" i="8" s="1"/>
  <c r="AD35" i="8" s="1" a="1"/>
  <c r="AD35" i="8" s="1"/>
  <c r="H36" i="8" a="1"/>
  <c r="H36" i="8" s="1"/>
  <c r="Y23" i="12"/>
  <c r="AO22" i="12" a="1"/>
  <c r="AO22" i="12" s="1"/>
  <c r="M100" i="12" a="1"/>
  <c r="M100" i="12" s="1"/>
  <c r="Y163" i="12"/>
  <c r="AO162" i="12" a="1"/>
  <c r="AO162" i="12" s="1"/>
  <c r="Y28" i="12"/>
  <c r="Y98" i="12"/>
  <c r="C50" i="12"/>
  <c r="J50" i="12" a="1"/>
  <c r="J50" i="12" s="1"/>
  <c r="L50" i="12" a="1"/>
  <c r="L50" i="12" s="1"/>
  <c r="N173" i="12"/>
  <c r="O172" i="12" a="1"/>
  <c r="O172" i="12" s="1"/>
  <c r="N172" i="12" s="1"/>
  <c r="O50" i="12" a="1"/>
  <c r="O50" i="12" s="1"/>
  <c r="N50" i="12" s="1"/>
  <c r="N51" i="12"/>
  <c r="E145" i="6"/>
  <c r="D145" i="12"/>
  <c r="M196" i="12" a="1"/>
  <c r="M196" i="12" s="1"/>
  <c r="M197" i="12" a="1"/>
  <c r="M197" i="12" s="1"/>
  <c r="Y181" i="12"/>
  <c r="AO180" i="12" a="1"/>
  <c r="AO180" i="12" s="1"/>
  <c r="AB104" i="5" a="1"/>
  <c r="AB104" i="5" s="1"/>
  <c r="AB103" i="5" a="1"/>
  <c r="AB103" i="5" s="1"/>
  <c r="D29" i="8" s="1"/>
  <c r="W178" i="12" a="1"/>
  <c r="W178" i="12" s="1"/>
  <c r="X178" i="12" a="1"/>
  <c r="X178" i="12" s="1"/>
  <c r="E36" i="6"/>
  <c r="D36" i="12"/>
  <c r="C55" i="6"/>
  <c r="O55" i="5"/>
  <c r="AC55" i="5" a="1"/>
  <c r="AC55" i="5" s="1"/>
  <c r="Y105" i="12"/>
  <c r="AO104" i="12" a="1"/>
  <c r="AO104" i="12" s="1"/>
  <c r="Y104" i="12" s="1"/>
  <c r="AO103" i="12" a="1"/>
  <c r="AO103" i="12" s="1"/>
  <c r="C45" i="12"/>
  <c r="L45" i="12" a="1"/>
  <c r="L45" i="12" s="1"/>
  <c r="J45" i="12" a="1"/>
  <c r="J45" i="12" s="1"/>
  <c r="W118" i="12" a="1"/>
  <c r="W118" i="12" s="1"/>
  <c r="X118" i="12" a="1"/>
  <c r="X118" i="12" s="1"/>
  <c r="E113" i="6"/>
  <c r="D113" i="12"/>
  <c r="AO227" i="12" a="1"/>
  <c r="AO227" i="12" s="1"/>
  <c r="AO226" i="12" a="1"/>
  <c r="AO226" i="12" s="1"/>
  <c r="Y228" i="12"/>
  <c r="N195" i="12"/>
  <c r="O193" i="12" a="1"/>
  <c r="O193" i="12" s="1"/>
  <c r="O194" i="12" a="1"/>
  <c r="O194" i="12" s="1"/>
  <c r="AO40" i="12" a="1"/>
  <c r="AO40" i="12" s="1"/>
  <c r="Y40" i="12" s="1"/>
  <c r="Y41" i="12"/>
  <c r="C194" i="12"/>
  <c r="L194" i="12" a="1"/>
  <c r="L194" i="12" s="1"/>
  <c r="J194" i="12" a="1"/>
  <c r="J194" i="12" s="1"/>
  <c r="M222" i="12" a="1"/>
  <c r="M222" i="12" s="1"/>
  <c r="M223" i="12" a="1"/>
  <c r="M223" i="12" s="1"/>
  <c r="AO219" i="12" a="1"/>
  <c r="AO219" i="12" s="1"/>
  <c r="Y220" i="12"/>
  <c r="L162" i="12" a="1"/>
  <c r="L162" i="12" s="1"/>
  <c r="C162" i="12"/>
  <c r="J162" i="12" a="1"/>
  <c r="J162" i="12" s="1"/>
  <c r="X168" i="12" a="1"/>
  <c r="X168" i="12" s="1"/>
  <c r="W168" i="12" a="1"/>
  <c r="W168" i="12" s="1"/>
  <c r="E235" i="6"/>
  <c r="D235" i="12"/>
  <c r="AB203" i="5" a="1"/>
  <c r="AB203" i="5" s="1"/>
  <c r="AB204" i="5" a="1"/>
  <c r="AB204" i="5" s="1"/>
  <c r="O127" i="12" a="1"/>
  <c r="O127" i="12" s="1"/>
  <c r="N128" i="12"/>
  <c r="D163" i="12"/>
  <c r="E163" i="6"/>
  <c r="C100" i="12"/>
  <c r="J100" i="12" a="1"/>
  <c r="J100" i="12" s="1"/>
  <c r="L100" i="12" a="1"/>
  <c r="L100" i="12" s="1"/>
  <c r="K100" i="12" s="1"/>
  <c r="O22" i="12" a="1"/>
  <c r="O22" i="12" s="1"/>
  <c r="N22" i="12" s="1"/>
  <c r="N23" i="12"/>
  <c r="W238" i="12" a="1"/>
  <c r="W238" i="12" s="1"/>
  <c r="X238" i="12" a="1"/>
  <c r="X238" i="12" s="1"/>
  <c r="C24" i="6"/>
  <c r="O24" i="5"/>
  <c r="AC24" i="5" a="1"/>
  <c r="AC24" i="5" s="1"/>
  <c r="C71" i="12"/>
  <c r="L71" i="12" a="1"/>
  <c r="L71" i="12" s="1"/>
  <c r="J71" i="12" a="1"/>
  <c r="J71" i="12" s="1"/>
  <c r="D80" i="12"/>
  <c r="E80" i="6"/>
  <c r="L185" i="12" a="1"/>
  <c r="L185" i="12" s="1"/>
  <c r="K185" i="12" s="1"/>
  <c r="C185" i="12"/>
  <c r="J185" i="12" a="1"/>
  <c r="J185" i="12" s="1"/>
  <c r="J106" i="12" a="1"/>
  <c r="J106" i="12" s="1"/>
  <c r="C106" i="12"/>
  <c r="L106" i="12" a="1"/>
  <c r="L106" i="12" s="1"/>
  <c r="D97" i="12"/>
  <c r="E97" i="6"/>
  <c r="O211" i="12" a="1"/>
  <c r="O211" i="12" s="1"/>
  <c r="N211" i="12" s="1"/>
  <c r="N212" i="12"/>
  <c r="D83" i="12"/>
  <c r="E83" i="6"/>
  <c r="L20" i="12" a="1"/>
  <c r="L20" i="12" s="1"/>
  <c r="C20" i="12"/>
  <c r="J20" i="12" a="1"/>
  <c r="J20" i="12" s="1"/>
  <c r="W39" i="12" a="1"/>
  <c r="W39" i="12" s="1"/>
  <c r="X39" i="12" a="1"/>
  <c r="X39" i="12" s="1"/>
  <c r="AB17" i="5" a="1"/>
  <c r="AB17" i="5" s="1"/>
  <c r="D17" i="8" s="1"/>
  <c r="AB15" i="5"/>
  <c r="AB16" i="5" a="1"/>
  <c r="AB16" i="5" s="1"/>
  <c r="AB14" i="11" s="1" a="1"/>
  <c r="AB14" i="11" s="1"/>
  <c r="Y179" i="12"/>
  <c r="AO196" i="12" a="1"/>
  <c r="AO196" i="12" s="1"/>
  <c r="AO197" i="12" a="1"/>
  <c r="AO197" i="12" s="1"/>
  <c r="Y198" i="12"/>
  <c r="N181" i="12"/>
  <c r="O180" i="12" a="1"/>
  <c r="O180" i="12" s="1"/>
  <c r="N180" i="12" s="1"/>
  <c r="Y135" i="12"/>
  <c r="D187" i="12"/>
  <c r="E187" i="6"/>
  <c r="Y56" i="12"/>
  <c r="AO55" i="12" a="1"/>
  <c r="AO55" i="12" s="1"/>
  <c r="D192" i="12"/>
  <c r="E192" i="6"/>
  <c r="N124" i="12"/>
  <c r="Y150" i="12"/>
  <c r="M104" i="12" a="1"/>
  <c r="M104" i="12" s="1"/>
  <c r="M103" i="12" a="1"/>
  <c r="M103" i="12" s="1"/>
  <c r="E58" i="6"/>
  <c r="D58" i="12"/>
  <c r="N155" i="12"/>
  <c r="N38" i="12"/>
  <c r="N35" i="12"/>
  <c r="J214" i="12" a="1"/>
  <c r="J214" i="12" s="1"/>
  <c r="L214" i="12" a="1"/>
  <c r="L214" i="12" s="1"/>
  <c r="C214" i="12"/>
  <c r="Y85" i="12"/>
  <c r="N228" i="12"/>
  <c r="O226" i="12" a="1"/>
  <c r="O226" i="12" s="1"/>
  <c r="N226" i="12" s="1"/>
  <c r="O227" i="12" a="1"/>
  <c r="O227" i="12" s="1"/>
  <c r="N227" i="12" s="1"/>
  <c r="L104" i="12" a="1"/>
  <c r="L104" i="12" s="1"/>
  <c r="J104" i="12" a="1"/>
  <c r="J104" i="12" s="1"/>
  <c r="C104" i="12"/>
  <c r="AB196" i="5" a="1"/>
  <c r="AB196" i="5" s="1"/>
  <c r="AB197" i="5" a="1"/>
  <c r="AB197" i="5" s="1"/>
  <c r="N58" i="12"/>
  <c r="C175" i="6"/>
  <c r="AC175" i="5" a="1"/>
  <c r="AC175" i="5" s="1"/>
  <c r="O175" i="5"/>
  <c r="C194" i="6"/>
  <c r="AC194" i="5" a="1"/>
  <c r="AC194" i="5" s="1"/>
  <c r="O194" i="5"/>
  <c r="J222" i="12" a="1"/>
  <c r="J222" i="12" s="1"/>
  <c r="L222" i="12" a="1"/>
  <c r="L222" i="12" s="1"/>
  <c r="C222" i="12"/>
  <c r="Y169" i="12"/>
  <c r="J226" i="12" a="1"/>
  <c r="J226" i="12" s="1"/>
  <c r="C226" i="12"/>
  <c r="L226" i="12" a="1"/>
  <c r="L226" i="12" s="1"/>
  <c r="K226" i="12" s="1"/>
  <c r="N168" i="12"/>
  <c r="E29" i="6"/>
  <c r="D29" i="12"/>
  <c r="N210" i="12"/>
  <c r="Y43" i="12"/>
  <c r="D186" i="12"/>
  <c r="E186" i="6"/>
  <c r="D202" i="12"/>
  <c r="E202" i="6"/>
  <c r="E59" i="6"/>
  <c r="D59" i="12"/>
  <c r="N101" i="12"/>
  <c r="O100" i="12" a="1"/>
  <c r="O100" i="12" s="1"/>
  <c r="O162" i="12" a="1"/>
  <c r="O162" i="12" s="1"/>
  <c r="N163" i="12"/>
  <c r="D138" i="12"/>
  <c r="E138" i="6"/>
  <c r="AC50" i="5" a="1"/>
  <c r="AC50" i="5" s="1"/>
  <c r="C50" i="6"/>
  <c r="O50" i="5"/>
  <c r="O25" i="5"/>
  <c r="AC25" i="5" a="1"/>
  <c r="AC25" i="5" s="1"/>
  <c r="C25" i="6"/>
  <c r="AO77" i="12" a="1"/>
  <c r="AO77" i="12" s="1"/>
  <c r="Y78" i="12"/>
  <c r="O166" i="12" a="1"/>
  <c r="O166" i="12" s="1"/>
  <c r="N166" i="12" s="1"/>
  <c r="N167" i="12"/>
  <c r="O106" i="5"/>
  <c r="C106" i="6"/>
  <c r="AC106" i="5" a="1"/>
  <c r="AC106" i="5" s="1"/>
  <c r="N186" i="12"/>
  <c r="O185" i="12" a="1"/>
  <c r="O185" i="12" s="1"/>
  <c r="N185" i="12" s="1"/>
  <c r="AC71" i="5" a="1"/>
  <c r="AC71" i="5" s="1"/>
  <c r="O71" i="5"/>
  <c r="C71" i="6"/>
  <c r="N198" i="12"/>
  <c r="O196" i="12" a="1"/>
  <c r="O196" i="12" s="1"/>
  <c r="N196" i="12" s="1"/>
  <c r="O197" i="12" a="1"/>
  <c r="O197" i="12" s="1"/>
  <c r="E56" i="6"/>
  <c r="D56" i="12"/>
  <c r="M55" i="12" a="1"/>
  <c r="M55" i="12" s="1"/>
  <c r="D57" i="12"/>
  <c r="E57" i="6"/>
  <c r="Y124" i="12"/>
  <c r="J103" i="12" a="1"/>
  <c r="J103" i="12" s="1"/>
  <c r="C103" i="12"/>
  <c r="L103" i="12" a="1"/>
  <c r="L103" i="12" s="1"/>
  <c r="D81" i="12"/>
  <c r="E81" i="6"/>
  <c r="E74" i="6"/>
  <c r="D74" i="12"/>
  <c r="O94" i="5"/>
  <c r="C94" i="6"/>
  <c r="AC94" i="5" a="1"/>
  <c r="AC94" i="5" s="1"/>
  <c r="X79" i="12" a="1"/>
  <c r="X79" i="12" s="1"/>
  <c r="W79" i="12" a="1"/>
  <c r="W79" i="12" s="1"/>
  <c r="D120" i="12"/>
  <c r="E120" i="6"/>
  <c r="W35" i="12" a="1"/>
  <c r="W35" i="12" s="1"/>
  <c r="X35" i="12" a="1"/>
  <c r="X35" i="12" s="1"/>
  <c r="O108" i="12" a="1"/>
  <c r="O108" i="12" s="1"/>
  <c r="N108" i="12" s="1"/>
  <c r="N109" i="12"/>
  <c r="Y164" i="12"/>
  <c r="N85" i="12"/>
  <c r="X64" i="12" a="1"/>
  <c r="X64" i="12" s="1"/>
  <c r="W64" i="12" a="1"/>
  <c r="W64" i="12" s="1"/>
  <c r="AO193" i="12" a="1"/>
  <c r="AO193" i="12" s="1"/>
  <c r="AO194" i="12" a="1"/>
  <c r="AO194" i="12" s="1"/>
  <c r="Y195" i="12"/>
  <c r="E164" i="6"/>
  <c r="D164" i="12"/>
  <c r="N120" i="12"/>
  <c r="E169" i="6"/>
  <c r="D169" i="12"/>
  <c r="W183" i="12" a="1"/>
  <c r="W183" i="12" s="1"/>
  <c r="X183" i="12" a="1"/>
  <c r="X183" i="12" s="1"/>
  <c r="M219" i="12" a="1"/>
  <c r="M219" i="12" s="1"/>
  <c r="X29" i="12" a="1"/>
  <c r="X29" i="12" s="1"/>
  <c r="W29" i="12" a="1"/>
  <c r="W29" i="12" s="1"/>
  <c r="W210" i="12" a="1"/>
  <c r="W210" i="12" s="1"/>
  <c r="X210" i="12" a="1"/>
  <c r="X210" i="12" s="1"/>
  <c r="AO127" i="12" a="1"/>
  <c r="AO127" i="12" s="1"/>
  <c r="Y128" i="12"/>
  <c r="Y32" i="12"/>
  <c r="AO31" i="12" a="1"/>
  <c r="AO31" i="12" s="1"/>
  <c r="Y31" i="12" s="1"/>
  <c r="AO100" i="12" a="1"/>
  <c r="AO100" i="12" s="1"/>
  <c r="Y101" i="12"/>
  <c r="M162" i="12" a="1"/>
  <c r="M162" i="12" s="1"/>
  <c r="Y159" i="12"/>
  <c r="AO158" i="12" a="1"/>
  <c r="AO158" i="12" s="1"/>
  <c r="Y158" i="12" s="1"/>
  <c r="C122" i="6"/>
  <c r="AC122" i="5" a="1"/>
  <c r="AC122" i="5" s="1"/>
  <c r="O122" i="5"/>
  <c r="J31" i="12" a="1"/>
  <c r="J31" i="12" s="1"/>
  <c r="C31" i="12"/>
  <c r="L31" i="12" a="1"/>
  <c r="L31" i="12" s="1"/>
  <c r="C190" i="12"/>
  <c r="L190" i="12" a="1"/>
  <c r="L190" i="12" s="1"/>
  <c r="J190" i="12" a="1"/>
  <c r="J190" i="12" s="1"/>
  <c r="O77" i="12" a="1"/>
  <c r="O77" i="12" s="1"/>
  <c r="N77" i="12" s="1"/>
  <c r="N78" i="12"/>
  <c r="N76" i="12"/>
  <c r="M140" i="12" a="1"/>
  <c r="M140" i="12" s="1"/>
  <c r="J153" i="12" a="1"/>
  <c r="J153" i="12" s="1"/>
  <c r="C153" i="12"/>
  <c r="L153" i="12" a="1"/>
  <c r="L153" i="12" s="1"/>
  <c r="G20" i="8"/>
  <c r="G21" i="8" s="1" a="1"/>
  <c r="G21" i="8" s="1"/>
  <c r="E22" i="8" a="1"/>
  <c r="E22" i="8" s="1"/>
  <c r="E20" i="8" s="1" a="1"/>
  <c r="E20" i="8" s="1"/>
  <c r="U22" i="8" a="1"/>
  <c r="U22" i="8" s="1"/>
  <c r="U20" i="8" s="1" a="1"/>
  <c r="U20" i="8" s="1"/>
  <c r="AE22" i="8" a="1"/>
  <c r="AE22" i="8" s="1"/>
  <c r="AE20" i="8" s="1" a="1"/>
  <c r="AE20" i="8" s="1"/>
  <c r="Y22" i="8" a="1"/>
  <c r="Y22" i="8" s="1"/>
  <c r="Y20" i="8" s="1" a="1"/>
  <c r="Y20" i="8" s="1"/>
  <c r="AD22" i="8" a="1"/>
  <c r="AD22" i="8" s="1"/>
  <c r="AD20" i="8" s="1" a="1"/>
  <c r="AD20" i="8" s="1"/>
  <c r="AF22" i="8" a="1"/>
  <c r="AF22" i="8" s="1"/>
  <c r="AF20" i="8" s="1" a="1"/>
  <c r="AF20" i="8" s="1"/>
  <c r="AC22" i="8" a="1"/>
  <c r="AC22" i="8" s="1"/>
  <c r="AC20" i="8" s="1" a="1"/>
  <c r="AC20" i="8" s="1"/>
  <c r="X22" i="8" a="1"/>
  <c r="X22" i="8" s="1"/>
  <c r="X20" i="8" s="1" a="1"/>
  <c r="X20" i="8" s="1"/>
  <c r="AA22" i="8" a="1"/>
  <c r="AA22" i="8" s="1"/>
  <c r="AA20" i="8" s="1" a="1"/>
  <c r="AA20" i="8" s="1"/>
  <c r="V22" i="8" a="1"/>
  <c r="V22" i="8" s="1"/>
  <c r="V20" i="8" s="1" a="1"/>
  <c r="V20" i="8" s="1"/>
  <c r="AB22" i="8" a="1"/>
  <c r="AB22" i="8" s="1"/>
  <c r="AB20" i="8" s="1" a="1"/>
  <c r="AB20" i="8" s="1"/>
  <c r="Z22" i="8" a="1"/>
  <c r="Z22" i="8" s="1"/>
  <c r="Z20" i="8" s="1" a="1"/>
  <c r="Z20" i="8" s="1"/>
  <c r="W22" i="8" a="1"/>
  <c r="W22" i="8" s="1"/>
  <c r="W20" i="8" s="1" a="1"/>
  <c r="W20" i="8" s="1"/>
  <c r="D20" i="8"/>
  <c r="H21" i="8" a="1"/>
  <c r="H21" i="8" s="1"/>
  <c r="D117" i="12"/>
  <c r="E117" i="6"/>
  <c r="AB211" i="5" a="1"/>
  <c r="AB211" i="5" s="1"/>
  <c r="O55" i="12" a="1"/>
  <c r="O55" i="12" s="1"/>
  <c r="N56" i="12"/>
  <c r="E69" i="6"/>
  <c r="D69" i="12"/>
  <c r="C103" i="6"/>
  <c r="O103" i="5"/>
  <c r="AC103" i="5" a="1"/>
  <c r="AC103" i="5" s="1"/>
  <c r="AC196" i="5" a="1"/>
  <c r="AC196" i="5" s="1"/>
  <c r="C196" i="6"/>
  <c r="O196" i="5"/>
  <c r="D212" i="12"/>
  <c r="E212" i="6"/>
  <c r="AE9" i="10"/>
  <c r="I75" i="10"/>
  <c r="H75" i="10" s="1"/>
  <c r="J94" i="12" a="1"/>
  <c r="J94" i="12" s="1"/>
  <c r="C94" i="12"/>
  <c r="L94" i="12" a="1"/>
  <c r="L94" i="12" s="1"/>
  <c r="Y92" i="12"/>
  <c r="W155" i="12" a="1"/>
  <c r="W155" i="12" s="1"/>
  <c r="X155" i="12" a="1"/>
  <c r="X155" i="12" s="1"/>
  <c r="X38" i="12" a="1"/>
  <c r="X38" i="12" s="1"/>
  <c r="W38" i="12" a="1"/>
  <c r="W38" i="12" s="1"/>
  <c r="X199" i="12" a="1"/>
  <c r="X199" i="12" s="1"/>
  <c r="W199" i="12" a="1"/>
  <c r="W199" i="12" s="1"/>
  <c r="AB127" i="5" a="1"/>
  <c r="AB127" i="5" s="1"/>
  <c r="AB206" i="5" a="1"/>
  <c r="AB206" i="5" s="1"/>
  <c r="E191" i="6"/>
  <c r="D191" i="12"/>
  <c r="AB25" i="5" a="1"/>
  <c r="AB25" i="5" s="1"/>
  <c r="AB24" i="5" a="1"/>
  <c r="AB24" i="5" s="1"/>
  <c r="D26" i="8" s="1"/>
  <c r="W58" i="12" a="1"/>
  <c r="W58" i="12" s="1"/>
  <c r="X58" i="12" a="1"/>
  <c r="X58" i="12" s="1"/>
  <c r="M194" i="12" a="1"/>
  <c r="M194" i="12" s="1"/>
  <c r="M193" i="12" a="1"/>
  <c r="M193" i="12" s="1"/>
  <c r="AB234" i="5" a="1"/>
  <c r="AB234" i="5" s="1"/>
  <c r="D53" i="8" s="1"/>
  <c r="W120" i="12" a="1"/>
  <c r="W120" i="12" s="1"/>
  <c r="X120" i="12" a="1"/>
  <c r="X120" i="12" s="1"/>
  <c r="G41" i="8"/>
  <c r="G42" i="8" s="1" a="1"/>
  <c r="G42" i="8" s="1"/>
  <c r="W43" i="8" a="1"/>
  <c r="W43" i="8" s="1"/>
  <c r="W41" i="8" s="1" a="1"/>
  <c r="W41" i="8" s="1"/>
  <c r="D41" i="8"/>
  <c r="AD43" i="8" a="1"/>
  <c r="AD43" i="8" s="1"/>
  <c r="AD41" i="8" s="1" a="1"/>
  <c r="AD41" i="8" s="1"/>
  <c r="E43" i="8" a="1"/>
  <c r="E43" i="8" s="1"/>
  <c r="E41" i="8" s="1" a="1"/>
  <c r="E41" i="8" s="1"/>
  <c r="Z43" i="8" a="1"/>
  <c r="Z43" i="8" s="1"/>
  <c r="Z41" i="8" s="1" a="1"/>
  <c r="Z41" i="8" s="1"/>
  <c r="U43" i="8" a="1"/>
  <c r="U43" i="8" s="1"/>
  <c r="U41" i="8" s="1" a="1"/>
  <c r="U41" i="8" s="1"/>
  <c r="X43" i="8" a="1"/>
  <c r="X43" i="8" s="1"/>
  <c r="X41" i="8" s="1" a="1"/>
  <c r="X41" i="8" s="1"/>
  <c r="AE43" i="8" a="1"/>
  <c r="AE43" i="8" s="1"/>
  <c r="AE41" i="8" s="1" a="1"/>
  <c r="AE41" i="8" s="1"/>
  <c r="AF43" i="8" a="1"/>
  <c r="AF43" i="8" s="1"/>
  <c r="AF41" i="8" s="1" a="1"/>
  <c r="AF41" i="8" s="1"/>
  <c r="H42" i="8" a="1"/>
  <c r="H42" i="8" s="1"/>
  <c r="AB43" i="8" a="1"/>
  <c r="AB43" i="8" s="1"/>
  <c r="AB41" i="8" s="1" a="1"/>
  <c r="AB41" i="8" s="1"/>
  <c r="AC43" i="8" a="1"/>
  <c r="AC43" i="8" s="1"/>
  <c r="AC41" i="8" s="1" a="1"/>
  <c r="AC41" i="8" s="1"/>
  <c r="V43" i="8" a="1"/>
  <c r="V43" i="8" s="1"/>
  <c r="V41" i="8" s="1" a="1"/>
  <c r="V41" i="8" s="1"/>
  <c r="AA43" i="8" a="1"/>
  <c r="AA43" i="8" s="1"/>
  <c r="AA41" i="8" s="1" a="1"/>
  <c r="AA41" i="8" s="1"/>
  <c r="Y43" i="8" a="1"/>
  <c r="Y43" i="8" s="1"/>
  <c r="Y41" i="8" s="1" a="1"/>
  <c r="Y41" i="8" s="1"/>
  <c r="E220" i="6"/>
  <c r="D220" i="12"/>
  <c r="AB40" i="5" a="1"/>
  <c r="AB40" i="5" s="1"/>
  <c r="D210" i="12"/>
  <c r="E210" i="6"/>
  <c r="C133" i="6"/>
  <c r="AC133" i="5" a="1"/>
  <c r="AC133" i="5" s="1"/>
  <c r="O133" i="5"/>
  <c r="M133" i="12" a="1"/>
  <c r="M133" i="12" s="1"/>
  <c r="M132" i="12" a="1"/>
  <c r="M132" i="12" s="1"/>
  <c r="D23" i="12"/>
  <c r="E23" i="6"/>
  <c r="Y142" i="12"/>
  <c r="D205" i="12"/>
  <c r="E205" i="6"/>
  <c r="D18" i="12"/>
  <c r="E18" i="6"/>
  <c r="X239" i="12" a="1"/>
  <c r="X239" i="12" s="1"/>
  <c r="W239" i="12" a="1"/>
  <c r="W239" i="12" s="1"/>
  <c r="D47" i="12"/>
  <c r="E47" i="6"/>
  <c r="D54" i="12"/>
  <c r="E54" i="6"/>
  <c r="D72" i="12"/>
  <c r="E72" i="6"/>
  <c r="C185" i="6"/>
  <c r="O185" i="5"/>
  <c r="AC185" i="5" a="1"/>
  <c r="AC185" i="5" s="1"/>
  <c r="AB116" i="5" a="1"/>
  <c r="AB116" i="5" s="1"/>
  <c r="E51" i="6"/>
  <c r="D51" i="12"/>
  <c r="W125" i="12" a="1"/>
  <c r="W125" i="12" s="1"/>
  <c r="X125" i="12" a="1"/>
  <c r="X125" i="12" s="1"/>
  <c r="E96" i="6"/>
  <c r="D96" i="12"/>
  <c r="Y213" i="12"/>
  <c r="AO166" i="12" a="1"/>
  <c r="AO166" i="12" s="1"/>
  <c r="Y166" i="12" s="1"/>
  <c r="Y167" i="12"/>
  <c r="Y76" i="12"/>
  <c r="AB153" i="5" a="1"/>
  <c r="AB153" i="5" s="1"/>
  <c r="N125" i="12"/>
  <c r="Y212" i="12"/>
  <c r="AO211" i="12" a="1"/>
  <c r="AO211" i="12" s="1"/>
  <c r="Y54" i="12"/>
  <c r="X48" i="12" a="1"/>
  <c r="X48" i="12" s="1"/>
  <c r="W48" i="12" a="1"/>
  <c r="W48" i="12" s="1"/>
  <c r="X187" i="12" a="1"/>
  <c r="X187" i="12" s="1"/>
  <c r="W187" i="12" a="1"/>
  <c r="W187" i="12" s="1"/>
  <c r="D27" i="12"/>
  <c r="E27" i="6"/>
  <c r="N237" i="12"/>
  <c r="Y80" i="12"/>
  <c r="D79" i="12"/>
  <c r="E79" i="6"/>
  <c r="C196" i="12"/>
  <c r="L196" i="12" a="1"/>
  <c r="L196" i="12" s="1"/>
  <c r="J196" i="12" a="1"/>
  <c r="J196" i="12" s="1"/>
  <c r="N154" i="12"/>
  <c r="O153" i="12" a="1"/>
  <c r="O153" i="12" s="1"/>
  <c r="N153" i="12" s="1"/>
  <c r="N79" i="12"/>
  <c r="AO214" i="12" a="1"/>
  <c r="AO214" i="12" s="1"/>
  <c r="Y214" i="12" s="1"/>
  <c r="Y215" i="12"/>
  <c r="C223" i="12"/>
  <c r="J223" i="12" a="1"/>
  <c r="J223" i="12" s="1"/>
  <c r="L223" i="12" a="1"/>
  <c r="L223" i="12" s="1"/>
  <c r="AO200" i="12" a="1"/>
  <c r="AO200" i="12" s="1"/>
  <c r="Y200" i="12" s="1"/>
  <c r="Y201" i="12"/>
  <c r="Y109" i="12"/>
  <c r="AO108" i="12" a="1"/>
  <c r="AO108" i="12" s="1"/>
  <c r="AC227" i="5" a="1"/>
  <c r="AC227" i="5" s="1"/>
  <c r="C227" i="6"/>
  <c r="O227" i="5"/>
  <c r="N64" i="12"/>
  <c r="M94" i="12" a="1"/>
  <c r="M94" i="12" s="1"/>
  <c r="D231" i="12"/>
  <c r="E231" i="6"/>
  <c r="N49" i="12"/>
  <c r="E149" i="6"/>
  <c r="D149" i="12"/>
  <c r="Y59" i="12"/>
  <c r="E170" i="6"/>
  <c r="D170" i="12"/>
  <c r="C216" i="12"/>
  <c r="L216" i="12" a="1"/>
  <c r="L216" i="12" s="1"/>
  <c r="J216" i="12" a="1"/>
  <c r="J216" i="12" s="1"/>
  <c r="E64" i="6"/>
  <c r="D64" i="12"/>
  <c r="D26" i="12"/>
  <c r="E26" i="6"/>
  <c r="E87" i="6"/>
  <c r="D87" i="12"/>
  <c r="AB223" i="5" a="1"/>
  <c r="AB223" i="5" s="1"/>
  <c r="AB222" i="5" a="1"/>
  <c r="AB222" i="5" s="1"/>
  <c r="D50" i="8" s="1"/>
  <c r="AO133" i="12" a="1"/>
  <c r="AO133" i="12" s="1"/>
  <c r="Y133" i="12" s="1"/>
  <c r="Y134" i="12"/>
  <c r="AO132" i="12" a="1"/>
  <c r="AO132" i="12" s="1"/>
  <c r="Y132" i="12" s="1"/>
  <c r="Y188" i="12"/>
  <c r="Y126" i="12"/>
  <c r="AB77" i="5" a="1"/>
  <c r="AB77" i="5" s="1"/>
  <c r="AB133" i="5" a="1"/>
  <c r="AB133" i="5" s="1"/>
  <c r="AB132" i="5" a="1"/>
  <c r="AB132" i="5" s="1"/>
  <c r="D38" i="8" s="1"/>
  <c r="Y114" i="12"/>
  <c r="Y146" i="12"/>
  <c r="H50" i="8" l="1" a="1"/>
  <c r="H50" i="8" s="1"/>
  <c r="J51" i="8" s="1"/>
  <c r="Y160" i="12"/>
  <c r="H23" i="8" a="1"/>
  <c r="H23" i="8" s="1"/>
  <c r="J24" i="8" s="1"/>
  <c r="H38" i="8" a="1"/>
  <c r="H38" i="8" s="1"/>
  <c r="J39" i="8" s="1"/>
  <c r="H32" i="8" a="1"/>
  <c r="H32" i="8" s="1"/>
  <c r="J33" i="8" s="1"/>
  <c r="H20" i="8" a="1"/>
  <c r="H20" i="8" s="1"/>
  <c r="J21" i="8" s="1"/>
  <c r="Y230" i="12"/>
  <c r="N24" i="12"/>
  <c r="H41" i="8" a="1"/>
  <c r="H41" i="8" s="1"/>
  <c r="J42" i="8" s="1"/>
  <c r="H35" i="8" a="1"/>
  <c r="H35" i="8" s="1"/>
  <c r="J36" i="8" s="1"/>
  <c r="K133" i="12"/>
  <c r="H29" i="8" a="1"/>
  <c r="H29" i="8" s="1"/>
  <c r="J30" i="8" s="1"/>
  <c r="N89" i="12"/>
  <c r="Y116" i="12"/>
  <c r="H47" i="8" a="1"/>
  <c r="H47" i="8" s="1"/>
  <c r="J48" i="8" s="1"/>
  <c r="K219" i="12"/>
  <c r="Y197" i="12"/>
  <c r="K176" i="12"/>
  <c r="Y211" i="12"/>
  <c r="K194" i="12"/>
  <c r="K230" i="12"/>
  <c r="K166" i="12"/>
  <c r="Y62" i="12"/>
  <c r="Y94" i="12"/>
  <c r="K94" i="12"/>
  <c r="Y216" i="12"/>
  <c r="K197" i="12"/>
  <c r="Y112" i="12"/>
  <c r="Y219" i="12"/>
  <c r="W219" i="12" s="1" a="1"/>
  <c r="W219" i="12" s="1"/>
  <c r="N100" i="12"/>
  <c r="N17" i="12"/>
  <c r="K204" i="12"/>
  <c r="Y45" i="12"/>
  <c r="W45" i="12" s="1" a="1"/>
  <c r="W45" i="12" s="1"/>
  <c r="Y194" i="12"/>
  <c r="Y175" i="12"/>
  <c r="K214" i="12"/>
  <c r="K103" i="12"/>
  <c r="K162" i="12"/>
  <c r="Y226" i="12"/>
  <c r="K25" i="12"/>
  <c r="K160" i="12"/>
  <c r="N204" i="12"/>
  <c r="Y20" i="12"/>
  <c r="K180" i="12"/>
  <c r="Y223" i="12"/>
  <c r="Y17" i="12"/>
  <c r="X17" i="12" s="1" a="1"/>
  <c r="X17" i="12" s="1"/>
  <c r="Y162" i="12"/>
  <c r="K24" i="12"/>
  <c r="Y55" i="12"/>
  <c r="N111" i="12"/>
  <c r="N127" i="12"/>
  <c r="K45" i="12"/>
  <c r="Y108" i="12"/>
  <c r="K190" i="12"/>
  <c r="Y127" i="12"/>
  <c r="Y77" i="12"/>
  <c r="W77" i="12" s="1" a="1"/>
  <c r="W77" i="12" s="1"/>
  <c r="K17" i="12"/>
  <c r="Y103" i="12"/>
  <c r="W103" i="12" s="1" a="1"/>
  <c r="W103" i="12" s="1"/>
  <c r="H26" i="8" a="1"/>
  <c r="H26" i="8" s="1"/>
  <c r="J27" i="8" s="1"/>
  <c r="AC7" i="5"/>
  <c r="K116" i="12"/>
  <c r="K106" i="12"/>
  <c r="N203" i="12"/>
  <c r="K227" i="12"/>
  <c r="E122" i="6"/>
  <c r="D122" i="12"/>
  <c r="X43" i="12" a="1"/>
  <c r="X43" i="12" s="1"/>
  <c r="W43" i="12" a="1"/>
  <c r="W43" i="12" s="1"/>
  <c r="W215" i="12" a="1"/>
  <c r="W215" i="12" s="1"/>
  <c r="X215" i="12" a="1"/>
  <c r="X215" i="12" s="1"/>
  <c r="T187" i="12"/>
  <c r="U187" i="12"/>
  <c r="V187" i="12" a="1"/>
  <c r="V187" i="12" s="1"/>
  <c r="T125" i="12"/>
  <c r="V125" i="12" a="1"/>
  <c r="V125" i="12" s="1"/>
  <c r="U125" i="12"/>
  <c r="E50" i="6"/>
  <c r="D50" i="12"/>
  <c r="W198" i="12" a="1"/>
  <c r="W198" i="12" s="1"/>
  <c r="X198" i="12" a="1"/>
  <c r="X198" i="12" s="1"/>
  <c r="D55" i="12"/>
  <c r="E55" i="6"/>
  <c r="X139" i="12" a="1"/>
  <c r="X139" i="12" s="1"/>
  <c r="W139" i="12" a="1"/>
  <c r="W139" i="12" s="1"/>
  <c r="I20" i="8"/>
  <c r="A20" i="8" s="1"/>
  <c r="D20" i="12"/>
  <c r="E20" i="6"/>
  <c r="X149" i="12" a="1"/>
  <c r="X149" i="12" s="1"/>
  <c r="W149" i="12" a="1"/>
  <c r="W149" i="12" s="1"/>
  <c r="X61" i="12" a="1"/>
  <c r="X61" i="12" s="1"/>
  <c r="W61" i="12" a="1"/>
  <c r="W61" i="12" s="1"/>
  <c r="W121" i="12" a="1"/>
  <c r="W121" i="12" s="1"/>
  <c r="X121" i="12" a="1"/>
  <c r="X121" i="12" s="1"/>
  <c r="E111" i="6"/>
  <c r="D111" i="12"/>
  <c r="I32" i="8"/>
  <c r="A32" i="8" s="1"/>
  <c r="Y16" i="8" a="1"/>
  <c r="Y16" i="8" s="1"/>
  <c r="Y14" i="8" s="1" a="1"/>
  <c r="Y14" i="8" s="1"/>
  <c r="N112" i="12"/>
  <c r="K200" i="12"/>
  <c r="Y82" i="12"/>
  <c r="U208" i="12"/>
  <c r="T208" i="12"/>
  <c r="V208" i="12" a="1"/>
  <c r="V208" i="12" s="1"/>
  <c r="D112" i="12"/>
  <c r="E112" i="6"/>
  <c r="U151" i="12"/>
  <c r="V151" i="12" a="1"/>
  <c r="V151" i="12" s="1"/>
  <c r="T151" i="12"/>
  <c r="D94" i="12"/>
  <c r="E94" i="6"/>
  <c r="E25" i="6"/>
  <c r="D25" i="12"/>
  <c r="X214" i="12" a="1"/>
  <c r="X214" i="12" s="1"/>
  <c r="W214" i="12" a="1"/>
  <c r="W214" i="12" s="1"/>
  <c r="K153" i="12"/>
  <c r="V183" i="12" a="1"/>
  <c r="V183" i="12" s="1"/>
  <c r="T183" i="12"/>
  <c r="U183" i="12"/>
  <c r="D71" i="12"/>
  <c r="E71" i="6"/>
  <c r="X197" i="12" a="1"/>
  <c r="X197" i="12" s="1"/>
  <c r="W197" i="12" a="1"/>
  <c r="W197" i="12" s="1"/>
  <c r="V238" i="12" a="1"/>
  <c r="V238" i="12" s="1"/>
  <c r="T238" i="12"/>
  <c r="U238" i="12"/>
  <c r="E100" i="6"/>
  <c r="D100" i="12"/>
  <c r="E104" i="6"/>
  <c r="D104" i="12"/>
  <c r="X189" i="12" a="1"/>
  <c r="X189" i="12" s="1"/>
  <c r="W189" i="12" a="1"/>
  <c r="W189" i="12" s="1"/>
  <c r="I35" i="8"/>
  <c r="A35" i="8" s="1"/>
  <c r="E121" i="6"/>
  <c r="D121" i="12"/>
  <c r="U34" i="12"/>
  <c r="T34" i="12"/>
  <c r="V34" i="12" a="1"/>
  <c r="V34" i="12" s="1"/>
  <c r="T119" i="12"/>
  <c r="V119" i="12" a="1"/>
  <c r="V119" i="12" s="1"/>
  <c r="U119" i="12"/>
  <c r="T93" i="12"/>
  <c r="V93" i="12" a="1"/>
  <c r="V93" i="12" s="1"/>
  <c r="U93" i="12"/>
  <c r="Y204" i="12"/>
  <c r="W122" i="12" a="1"/>
  <c r="W122" i="12" s="1"/>
  <c r="X122" i="12" a="1"/>
  <c r="X122" i="12" s="1"/>
  <c r="K121" i="12"/>
  <c r="I44" i="8"/>
  <c r="A44" i="8" s="1"/>
  <c r="D193" i="12"/>
  <c r="E193" i="6"/>
  <c r="AC16" i="8" a="1"/>
  <c r="AC16" i="8" s="1"/>
  <c r="AC14" i="8" s="1" a="1"/>
  <c r="AC14" i="8" s="1"/>
  <c r="X44" i="12" a="1"/>
  <c r="X44" i="12" s="1"/>
  <c r="W44" i="12" a="1"/>
  <c r="W44" i="12" s="1"/>
  <c r="X83" i="12" a="1"/>
  <c r="X83" i="12" s="1"/>
  <c r="W83" i="12" a="1"/>
  <c r="W83" i="12" s="1"/>
  <c r="K82" i="12"/>
  <c r="V102" i="12" a="1"/>
  <c r="V102" i="12" s="1"/>
  <c r="U102" i="12"/>
  <c r="T102" i="12"/>
  <c r="V75" i="12" a="1"/>
  <c r="V75" i="12" s="1"/>
  <c r="U75" i="12"/>
  <c r="T75" i="12"/>
  <c r="X18" i="12" a="1"/>
  <c r="X18" i="12" s="1"/>
  <c r="W18" i="12" a="1"/>
  <c r="W18" i="12" s="1"/>
  <c r="W46" i="12" a="1"/>
  <c r="W46" i="12" s="1"/>
  <c r="X46" i="12" a="1"/>
  <c r="X46" i="12" s="1"/>
  <c r="K158" i="12"/>
  <c r="W218" i="12" a="1"/>
  <c r="W218" i="12" s="1"/>
  <c r="X218" i="12" a="1"/>
  <c r="X218" i="12" s="1"/>
  <c r="E153" i="6"/>
  <c r="D153" i="12"/>
  <c r="T67" i="12"/>
  <c r="V67" i="12" a="1"/>
  <c r="V67" i="12" s="1"/>
  <c r="U67" i="12"/>
  <c r="W42" i="12" a="1"/>
  <c r="W42" i="12" s="1"/>
  <c r="X42" i="12" a="1"/>
  <c r="X42" i="12" s="1"/>
  <c r="Y196" i="12"/>
  <c r="W228" i="12" a="1"/>
  <c r="W228" i="12" s="1"/>
  <c r="X228" i="12" a="1"/>
  <c r="X228" i="12" s="1"/>
  <c r="E206" i="6"/>
  <c r="D206" i="12"/>
  <c r="D176" i="12"/>
  <c r="E176" i="6"/>
  <c r="W91" i="12" a="1"/>
  <c r="W91" i="12" s="1"/>
  <c r="X91" i="12" a="1"/>
  <c r="X91" i="12" s="1"/>
  <c r="Y203" i="12"/>
  <c r="W123" i="12" a="1"/>
  <c r="W123" i="12" s="1"/>
  <c r="X123" i="12" a="1"/>
  <c r="X123" i="12" s="1"/>
  <c r="X232" i="12" a="1"/>
  <c r="X232" i="12" s="1"/>
  <c r="W232" i="12" a="1"/>
  <c r="W232" i="12" s="1"/>
  <c r="X235" i="12" a="1"/>
  <c r="X235" i="12" s="1"/>
  <c r="W235" i="12" a="1"/>
  <c r="W235" i="12" s="1"/>
  <c r="Z16" i="8" a="1"/>
  <c r="Z16" i="8" s="1"/>
  <c r="Z14" i="8" s="1" a="1"/>
  <c r="Z14" i="8" s="1"/>
  <c r="T157" i="12"/>
  <c r="U157" i="12"/>
  <c r="V157" i="12" a="1"/>
  <c r="V157" i="12" s="1"/>
  <c r="X45" i="12" a="1"/>
  <c r="X45" i="12" s="1"/>
  <c r="AK14" i="13" a="1"/>
  <c r="AK14" i="13" s="1"/>
  <c r="S14" i="13" s="1"/>
  <c r="M27" i="13" s="1"/>
  <c r="AL14" i="13"/>
  <c r="M14" i="13" s="1"/>
  <c r="M28" i="13" s="1"/>
  <c r="V53" i="12" a="1"/>
  <c r="V53" i="12" s="1"/>
  <c r="T53" i="12"/>
  <c r="U53" i="12"/>
  <c r="K62" i="12"/>
  <c r="X179" i="12" a="1"/>
  <c r="X179" i="12" s="1"/>
  <c r="W179" i="12" a="1"/>
  <c r="W179" i="12" s="1"/>
  <c r="W226" i="12" a="1"/>
  <c r="W226" i="12" s="1"/>
  <c r="X226" i="12" a="1"/>
  <c r="X226" i="12" s="1"/>
  <c r="Y185" i="12"/>
  <c r="E40" i="6"/>
  <c r="D40" i="12"/>
  <c r="U81" i="12"/>
  <c r="V81" i="12" a="1"/>
  <c r="V81" i="12" s="1"/>
  <c r="T81" i="12"/>
  <c r="X205" i="12" a="1"/>
  <c r="X205" i="12" s="1"/>
  <c r="W205" i="12" a="1"/>
  <c r="W205" i="12" s="1"/>
  <c r="Y172" i="12"/>
  <c r="Y234" i="12"/>
  <c r="V70" i="12" a="1"/>
  <c r="V70" i="12" s="1"/>
  <c r="U70" i="12"/>
  <c r="T70" i="12"/>
  <c r="AC11" i="5"/>
  <c r="X16" i="8" a="1"/>
  <c r="X16" i="8" s="1"/>
  <c r="X14" i="8" s="1" a="1"/>
  <c r="X14" i="8" s="1"/>
  <c r="X190" i="12" a="1"/>
  <c r="X190" i="12" s="1"/>
  <c r="W190" i="12" a="1"/>
  <c r="W190" i="12" s="1"/>
  <c r="T184" i="12"/>
  <c r="V184" i="12" a="1"/>
  <c r="V184" i="12" s="1"/>
  <c r="U184" i="12"/>
  <c r="X95" i="12" a="1"/>
  <c r="X95" i="12" s="1"/>
  <c r="W95" i="12" a="1"/>
  <c r="W95" i="12" s="1"/>
  <c r="E190" i="6"/>
  <c r="D190" i="12"/>
  <c r="AB24" i="11"/>
  <c r="AB7" i="11" s="1"/>
  <c r="N14" i="11"/>
  <c r="N24" i="11" s="1"/>
  <c r="W220" i="12" a="1"/>
  <c r="W220" i="12" s="1"/>
  <c r="X220" i="12" a="1"/>
  <c r="X220" i="12" s="1"/>
  <c r="Y227" i="12"/>
  <c r="D45" i="12"/>
  <c r="E45" i="6"/>
  <c r="X186" i="12" a="1"/>
  <c r="X186" i="12" s="1"/>
  <c r="W186" i="12" a="1"/>
  <c r="W186" i="12" s="1"/>
  <c r="E222" i="6"/>
  <c r="D222" i="12"/>
  <c r="I50" i="8"/>
  <c r="A50" i="8" s="1"/>
  <c r="X231" i="12" a="1"/>
  <c r="X231" i="12" s="1"/>
  <c r="W231" i="12" a="1"/>
  <c r="W231" i="12" s="1"/>
  <c r="W173" i="12" a="1"/>
  <c r="W173" i="12" s="1"/>
  <c r="X173" i="12" a="1"/>
  <c r="X173" i="12" s="1"/>
  <c r="D160" i="12"/>
  <c r="E160" i="6"/>
  <c r="W143" i="12" a="1"/>
  <c r="W143" i="12" s="1"/>
  <c r="X143" i="12" a="1"/>
  <c r="X143" i="12" s="1"/>
  <c r="D132" i="12"/>
  <c r="I38" i="8"/>
  <c r="A38" i="8" s="1"/>
  <c r="E132" i="6"/>
  <c r="W16" i="8" a="1"/>
  <c r="W16" i="8" s="1"/>
  <c r="W14" i="8" s="1" a="1"/>
  <c r="W14" i="8" s="1"/>
  <c r="W191" i="12" a="1"/>
  <c r="W191" i="12" s="1"/>
  <c r="X191" i="12" a="1"/>
  <c r="X191" i="12" s="1"/>
  <c r="W175" i="12" a="1"/>
  <c r="W175" i="12" s="1"/>
  <c r="X175" i="12" a="1"/>
  <c r="X175" i="12" s="1"/>
  <c r="X62" i="12" a="1"/>
  <c r="X62" i="12" s="1"/>
  <c r="W62" i="12" a="1"/>
  <c r="W62" i="12" s="1"/>
  <c r="X94" i="12" a="1"/>
  <c r="X94" i="12" s="1"/>
  <c r="W94" i="12" a="1"/>
  <c r="W94" i="12" s="1"/>
  <c r="N122" i="12"/>
  <c r="X141" i="12" a="1"/>
  <c r="X141" i="12" s="1"/>
  <c r="W141" i="12" a="1"/>
  <c r="W141" i="12" s="1"/>
  <c r="X164" i="12" a="1"/>
  <c r="X164" i="12" s="1"/>
  <c r="W164" i="12" a="1"/>
  <c r="W164" i="12" s="1"/>
  <c r="X101" i="12" a="1"/>
  <c r="X101" i="12" s="1"/>
  <c r="W101" i="12" a="1"/>
  <c r="W101" i="12" s="1"/>
  <c r="W150" i="12" a="1"/>
  <c r="W150" i="12" s="1"/>
  <c r="X150" i="12" a="1"/>
  <c r="X150" i="12" s="1"/>
  <c r="V178" i="12" a="1"/>
  <c r="V178" i="12" s="1"/>
  <c r="U178" i="12"/>
  <c r="T178" i="12"/>
  <c r="K50" i="12"/>
  <c r="K108" i="12"/>
  <c r="T30" i="12"/>
  <c r="V30" i="12" a="1"/>
  <c r="V30" i="12" s="1"/>
  <c r="U30" i="12"/>
  <c r="W230" i="12" a="1"/>
  <c r="W230" i="12" s="1"/>
  <c r="X230" i="12" a="1"/>
  <c r="X230" i="12" s="1"/>
  <c r="T27" i="12"/>
  <c r="V27" i="12" a="1"/>
  <c r="V27" i="12" s="1"/>
  <c r="U27" i="12"/>
  <c r="N234" i="12"/>
  <c r="D162" i="12"/>
  <c r="E162" i="6"/>
  <c r="K203" i="12"/>
  <c r="X192" i="12" a="1"/>
  <c r="X192" i="12" s="1"/>
  <c r="W192" i="12" a="1"/>
  <c r="W192" i="12" s="1"/>
  <c r="W72" i="12" a="1"/>
  <c r="W72" i="12" s="1"/>
  <c r="X72" i="12" a="1"/>
  <c r="X72" i="12" s="1"/>
  <c r="W152" i="12" a="1"/>
  <c r="W152" i="12" s="1"/>
  <c r="X152" i="12" a="1"/>
  <c r="X152" i="12" s="1"/>
  <c r="D200" i="12"/>
  <c r="E200" i="6"/>
  <c r="AF16" i="8" a="1"/>
  <c r="AF16" i="8" s="1"/>
  <c r="AF14" i="8" s="1" a="1"/>
  <c r="AF14" i="8" s="1"/>
  <c r="K127" i="12"/>
  <c r="V110" i="12" a="1"/>
  <c r="V110" i="12" s="1"/>
  <c r="T110" i="12"/>
  <c r="U110" i="12"/>
  <c r="K16" i="12"/>
  <c r="W130" i="12" a="1"/>
  <c r="W130" i="12" s="1"/>
  <c r="X130" i="12" a="1"/>
  <c r="X130" i="12" s="1"/>
  <c r="K234" i="12"/>
  <c r="X176" i="12" a="1"/>
  <c r="X176" i="12" s="1"/>
  <c r="W176" i="12" a="1"/>
  <c r="W176" i="12" s="1"/>
  <c r="X63" i="12" a="1"/>
  <c r="X63" i="12" s="1"/>
  <c r="W63" i="12" a="1"/>
  <c r="W63" i="12" s="1"/>
  <c r="U182" i="12"/>
  <c r="V182" i="12" a="1"/>
  <c r="V182" i="12" s="1"/>
  <c r="T182" i="12"/>
  <c r="T156" i="12"/>
  <c r="U156" i="12"/>
  <c r="V156" i="12" a="1"/>
  <c r="V156" i="12" s="1"/>
  <c r="X140" i="12" a="1"/>
  <c r="X140" i="12" s="1"/>
  <c r="W140" i="12" a="1"/>
  <c r="W140" i="12" s="1"/>
  <c r="X33" i="12" a="1"/>
  <c r="X33" i="12" s="1"/>
  <c r="W33" i="12" a="1"/>
  <c r="W33" i="12" s="1"/>
  <c r="E196" i="6"/>
  <c r="D196" i="12"/>
  <c r="W159" i="12" a="1"/>
  <c r="W159" i="12" s="1"/>
  <c r="X159" i="12" a="1"/>
  <c r="X159" i="12" s="1"/>
  <c r="K216" i="12"/>
  <c r="E227" i="6"/>
  <c r="D227" i="12"/>
  <c r="K196" i="12"/>
  <c r="W212" i="12" a="1"/>
  <c r="W212" i="12" s="1"/>
  <c r="X212" i="12" a="1"/>
  <c r="X212" i="12" s="1"/>
  <c r="W142" i="12" a="1"/>
  <c r="W142" i="12" s="1"/>
  <c r="X142" i="12" a="1"/>
  <c r="X142" i="12" s="1"/>
  <c r="V38" i="12" a="1"/>
  <c r="V38" i="12" s="1"/>
  <c r="U38" i="12"/>
  <c r="T38" i="12"/>
  <c r="D103" i="12"/>
  <c r="E103" i="6"/>
  <c r="I29" i="8"/>
  <c r="A29" i="8" s="1"/>
  <c r="Y100" i="12"/>
  <c r="V35" i="12" a="1"/>
  <c r="V35" i="12" s="1"/>
  <c r="U35" i="12"/>
  <c r="T35" i="12"/>
  <c r="X124" i="12" a="1"/>
  <c r="X124" i="12" s="1"/>
  <c r="W124" i="12" a="1"/>
  <c r="W124" i="12" s="1"/>
  <c r="N162" i="12"/>
  <c r="K104" i="12"/>
  <c r="N222" i="12"/>
  <c r="E214" i="6"/>
  <c r="D214" i="12"/>
  <c r="E108" i="6"/>
  <c r="D108" i="12"/>
  <c r="U233" i="12"/>
  <c r="V233" i="12" a="1"/>
  <c r="V233" i="12" s="1"/>
  <c r="T233" i="12"/>
  <c r="E22" i="6"/>
  <c r="D22" i="12"/>
  <c r="I23" i="8"/>
  <c r="A23" i="8" s="1"/>
  <c r="Y71" i="12"/>
  <c r="E31" i="6"/>
  <c r="D31" i="12"/>
  <c r="O12" i="5" a="1"/>
  <c r="O12" i="5" s="1"/>
  <c r="AD16" i="8" a="1"/>
  <c r="AD16" i="8" s="1"/>
  <c r="AD14" i="8" s="1" a="1"/>
  <c r="AD14" i="8" s="1"/>
  <c r="X161" i="12" a="1"/>
  <c r="X161" i="12" s="1"/>
  <c r="W161" i="12" a="1"/>
  <c r="W161" i="12" s="1"/>
  <c r="W177" i="12" a="1"/>
  <c r="W177" i="12" s="1"/>
  <c r="X177" i="12" a="1"/>
  <c r="X177" i="12" s="1"/>
  <c r="X236" i="12" a="1"/>
  <c r="X236" i="12" s="1"/>
  <c r="W236" i="12" a="1"/>
  <c r="W236" i="12" s="1"/>
  <c r="N121" i="12"/>
  <c r="N94" i="12"/>
  <c r="N132" i="12"/>
  <c r="X211" i="12" a="1"/>
  <c r="X211" i="12" s="1"/>
  <c r="W211" i="12" a="1"/>
  <c r="W211" i="12" s="1"/>
  <c r="D185" i="12"/>
  <c r="E185" i="6"/>
  <c r="D106" i="12"/>
  <c r="E106" i="6"/>
  <c r="X169" i="12" a="1"/>
  <c r="X169" i="12" s="1"/>
  <c r="W169" i="12" a="1"/>
  <c r="W169" i="12" s="1"/>
  <c r="E116" i="6"/>
  <c r="D116" i="12"/>
  <c r="X51" i="12" a="1"/>
  <c r="X51" i="12" s="1"/>
  <c r="W51" i="12" a="1"/>
  <c r="W51" i="12" s="1"/>
  <c r="X19" i="12" a="1"/>
  <c r="X19" i="12" s="1"/>
  <c r="W19" i="12" a="1"/>
  <c r="W19" i="12" s="1"/>
  <c r="K206" i="12"/>
  <c r="X65" i="12" a="1"/>
  <c r="X65" i="12" s="1"/>
  <c r="W65" i="12" a="1"/>
  <c r="W65" i="12" s="1"/>
  <c r="E16" i="8" a="1"/>
  <c r="E16" i="8" s="1"/>
  <c r="W160" i="12" a="1"/>
  <c r="W160" i="12" s="1"/>
  <c r="X160" i="12" a="1"/>
  <c r="X160" i="12" s="1"/>
  <c r="W217" i="12" a="1"/>
  <c r="W217" i="12" s="1"/>
  <c r="X217" i="12" a="1"/>
  <c r="X217" i="12" s="1"/>
  <c r="W229" i="12" a="1"/>
  <c r="W229" i="12" s="1"/>
  <c r="X229" i="12" a="1"/>
  <c r="X229" i="12" s="1"/>
  <c r="Y25" i="12"/>
  <c r="I47" i="8"/>
  <c r="A47" i="8" s="1"/>
  <c r="E219" i="6"/>
  <c r="D219" i="12"/>
  <c r="W66" i="12" a="1"/>
  <c r="W66" i="12" s="1"/>
  <c r="X66" i="12" a="1"/>
  <c r="X66" i="12" s="1"/>
  <c r="E211" i="6"/>
  <c r="D211" i="12"/>
  <c r="W136" i="12" a="1"/>
  <c r="W136" i="12" s="1"/>
  <c r="X136" i="12" a="1"/>
  <c r="X136" i="12" s="1"/>
  <c r="Y153" i="12"/>
  <c r="X31" i="12" a="1"/>
  <c r="X31" i="12" s="1"/>
  <c r="W31" i="12" a="1"/>
  <c r="W31" i="12" s="1"/>
  <c r="W126" i="12" a="1"/>
  <c r="W126" i="12" s="1"/>
  <c r="X126" i="12" a="1"/>
  <c r="X126" i="12" s="1"/>
  <c r="T120" i="12"/>
  <c r="V120" i="12" a="1"/>
  <c r="V120" i="12" s="1"/>
  <c r="U120" i="12"/>
  <c r="X32" i="12" a="1"/>
  <c r="X32" i="12" s="1"/>
  <c r="W32" i="12" a="1"/>
  <c r="W32" i="12" s="1"/>
  <c r="T39" i="12"/>
  <c r="V39" i="12" a="1"/>
  <c r="V39" i="12" s="1"/>
  <c r="U39" i="12"/>
  <c r="U118" i="12"/>
  <c r="T118" i="12"/>
  <c r="V118" i="12" a="1"/>
  <c r="V118" i="12" s="1"/>
  <c r="Y180" i="12"/>
  <c r="W98" i="12" a="1"/>
  <c r="W98" i="12" s="1"/>
  <c r="X98" i="12" a="1"/>
  <c r="X98" i="12" s="1"/>
  <c r="N223" i="12"/>
  <c r="K55" i="12"/>
  <c r="Y50" i="12"/>
  <c r="Y222" i="12"/>
  <c r="V37" i="12" a="1"/>
  <c r="V37" i="12" s="1"/>
  <c r="T37" i="12"/>
  <c r="U37" i="12"/>
  <c r="X113" i="12" a="1"/>
  <c r="X113" i="12" s="1"/>
  <c r="W113" i="12" a="1"/>
  <c r="W113" i="12" s="1"/>
  <c r="X96" i="12" a="1"/>
  <c r="X96" i="12" s="1"/>
  <c r="W96" i="12" a="1"/>
  <c r="W96" i="12" s="1"/>
  <c r="I14" i="8"/>
  <c r="D16" i="12"/>
  <c r="E16" i="6"/>
  <c r="E14" i="6"/>
  <c r="AB16" i="8" a="1"/>
  <c r="AB16" i="8" s="1"/>
  <c r="AB14" i="8" s="1" a="1"/>
  <c r="AB14" i="8" s="1"/>
  <c r="E140" i="6"/>
  <c r="D140" i="12"/>
  <c r="W216" i="12" a="1"/>
  <c r="W216" i="12" s="1"/>
  <c r="X216" i="12" a="1"/>
  <c r="X216" i="12" s="1"/>
  <c r="W47" i="12" a="1"/>
  <c r="W47" i="12" s="1"/>
  <c r="X47" i="12" a="1"/>
  <c r="X47" i="12" s="1"/>
  <c r="U36" i="12"/>
  <c r="V36" i="12" a="1"/>
  <c r="V36" i="12" s="1"/>
  <c r="T36" i="12"/>
  <c r="E166" i="6"/>
  <c r="D166" i="12"/>
  <c r="Y24" i="12"/>
  <c r="X170" i="12" a="1"/>
  <c r="X170" i="12" s="1"/>
  <c r="W170" i="12" a="1"/>
  <c r="W170" i="12" s="1"/>
  <c r="E180" i="6"/>
  <c r="D180" i="12"/>
  <c r="X131" i="12" a="1"/>
  <c r="X131" i="12" s="1"/>
  <c r="W131" i="12" a="1"/>
  <c r="W131" i="12" s="1"/>
  <c r="N133" i="12"/>
  <c r="X154" i="12" a="1"/>
  <c r="X154" i="12" s="1"/>
  <c r="W154" i="12" a="1"/>
  <c r="W154" i="12" s="1"/>
  <c r="W54" i="12" a="1"/>
  <c r="W54" i="12" s="1"/>
  <c r="X54" i="12" a="1"/>
  <c r="X54" i="12" s="1"/>
  <c r="V199" i="12" a="1"/>
  <c r="V199" i="12" s="1"/>
  <c r="T199" i="12"/>
  <c r="U199" i="12"/>
  <c r="V155" i="12" a="1"/>
  <c r="V155" i="12" s="1"/>
  <c r="U155" i="12"/>
  <c r="T155" i="12"/>
  <c r="X128" i="12" a="1"/>
  <c r="X128" i="12" s="1"/>
  <c r="W128" i="12" a="1"/>
  <c r="W128" i="12" s="1"/>
  <c r="W195" i="12" a="1"/>
  <c r="W195" i="12" s="1"/>
  <c r="X195" i="12" a="1"/>
  <c r="X195" i="12" s="1"/>
  <c r="K222" i="12"/>
  <c r="W55" i="12" a="1"/>
  <c r="W55" i="12" s="1"/>
  <c r="X55" i="12" a="1"/>
  <c r="X55" i="12" s="1"/>
  <c r="X181" i="12" a="1"/>
  <c r="X181" i="12" s="1"/>
  <c r="W181" i="12" a="1"/>
  <c r="W181" i="12" s="1"/>
  <c r="W28" i="12" a="1"/>
  <c r="W28" i="12" s="1"/>
  <c r="X28" i="12" a="1"/>
  <c r="X28" i="12" s="1"/>
  <c r="K40" i="12"/>
  <c r="X223" i="12" a="1"/>
  <c r="X223" i="12" s="1"/>
  <c r="W223" i="12" a="1"/>
  <c r="W223" i="12" s="1"/>
  <c r="V84" i="12" a="1"/>
  <c r="V84" i="12" s="1"/>
  <c r="T84" i="12"/>
  <c r="U84" i="12"/>
  <c r="W116" i="12" a="1"/>
  <c r="W116" i="12" s="1"/>
  <c r="X116" i="12" a="1"/>
  <c r="X116" i="12" s="1"/>
  <c r="X111" i="12" a="1"/>
  <c r="X111" i="12" s="1"/>
  <c r="W111" i="12" a="1"/>
  <c r="W111" i="12" s="1"/>
  <c r="W74" i="12" a="1"/>
  <c r="W74" i="12" s="1"/>
  <c r="X74" i="12" a="1"/>
  <c r="X74" i="12" s="1"/>
  <c r="E230" i="6"/>
  <c r="D230" i="12"/>
  <c r="K89" i="12"/>
  <c r="D89" i="12"/>
  <c r="E89" i="6"/>
  <c r="X26" i="12" a="1"/>
  <c r="X26" i="12" s="1"/>
  <c r="W26" i="12" a="1"/>
  <c r="W26" i="12" s="1"/>
  <c r="D223" i="12"/>
  <c r="E223" i="6"/>
  <c r="X108" i="12" a="1"/>
  <c r="X108" i="12" s="1"/>
  <c r="W108" i="12" a="1"/>
  <c r="W108" i="12" s="1"/>
  <c r="W92" i="12" a="1"/>
  <c r="W92" i="12" s="1"/>
  <c r="X92" i="12" a="1"/>
  <c r="X92" i="12" s="1"/>
  <c r="W194" i="12" a="1"/>
  <c r="W194" i="12" s="1"/>
  <c r="X194" i="12" a="1"/>
  <c r="X194" i="12" s="1"/>
  <c r="W78" i="12" a="1"/>
  <c r="W78" i="12" s="1"/>
  <c r="X78" i="12" a="1"/>
  <c r="X78" i="12" s="1"/>
  <c r="W85" i="12" a="1"/>
  <c r="W85" i="12" s="1"/>
  <c r="X85" i="12" a="1"/>
  <c r="X85" i="12" s="1"/>
  <c r="W56" i="12" a="1"/>
  <c r="W56" i="12" s="1"/>
  <c r="X56" i="12" a="1"/>
  <c r="X56" i="12" s="1"/>
  <c r="W162" i="12" a="1"/>
  <c r="W162" i="12" s="1"/>
  <c r="X162" i="12" a="1"/>
  <c r="X162" i="12" s="1"/>
  <c r="W99" i="12" a="1"/>
  <c r="W99" i="12" s="1"/>
  <c r="X99" i="12" a="1"/>
  <c r="X99" i="12" s="1"/>
  <c r="X224" i="12" a="1"/>
  <c r="X224" i="12" s="1"/>
  <c r="W224" i="12" a="1"/>
  <c r="W224" i="12" s="1"/>
  <c r="X117" i="12" a="1"/>
  <c r="X117" i="12" s="1"/>
  <c r="W117" i="12" a="1"/>
  <c r="W117" i="12" s="1"/>
  <c r="X112" i="12" a="1"/>
  <c r="X112" i="12" s="1"/>
  <c r="W112" i="12" a="1"/>
  <c r="W112" i="12" s="1"/>
  <c r="X87" i="12" a="1"/>
  <c r="X87" i="12" s="1"/>
  <c r="W87" i="12" a="1"/>
  <c r="W87" i="12" s="1"/>
  <c r="X147" i="12" a="1"/>
  <c r="X147" i="12" s="1"/>
  <c r="W147" i="12" a="1"/>
  <c r="W147" i="12" s="1"/>
  <c r="T221" i="12"/>
  <c r="U221" i="12"/>
  <c r="V221" i="12" a="1"/>
  <c r="V221" i="12" s="1"/>
  <c r="N140" i="12"/>
  <c r="E77" i="6"/>
  <c r="D77" i="12"/>
  <c r="V48" i="12" a="1"/>
  <c r="V48" i="12" s="1"/>
  <c r="U48" i="12"/>
  <c r="T48" i="12"/>
  <c r="W158" i="12" a="1"/>
  <c r="W158" i="12" s="1"/>
  <c r="X158" i="12" a="1"/>
  <c r="X158" i="12" s="1"/>
  <c r="X114" i="12" a="1"/>
  <c r="X114" i="12" s="1"/>
  <c r="W114" i="12" a="1"/>
  <c r="W114" i="12" s="1"/>
  <c r="W76" i="12" a="1"/>
  <c r="W76" i="12" s="1"/>
  <c r="X76" i="12" a="1"/>
  <c r="X76" i="12" s="1"/>
  <c r="W109" i="12" a="1"/>
  <c r="W109" i="12" s="1"/>
  <c r="X109" i="12" a="1"/>
  <c r="X109" i="12" s="1"/>
  <c r="W167" i="12" a="1"/>
  <c r="W167" i="12" s="1"/>
  <c r="X167" i="12" a="1"/>
  <c r="X167" i="12" s="1"/>
  <c r="T79" i="12"/>
  <c r="V79" i="12" a="1"/>
  <c r="V79" i="12" s="1"/>
  <c r="U79" i="12"/>
  <c r="X134" i="12" a="1"/>
  <c r="X134" i="12" s="1"/>
  <c r="W134" i="12" a="1"/>
  <c r="W134" i="12" s="1"/>
  <c r="W201" i="12" a="1"/>
  <c r="W201" i="12" s="1"/>
  <c r="X201" i="12" a="1"/>
  <c r="X201" i="12" s="1"/>
  <c r="X166" i="12" a="1"/>
  <c r="X166" i="12" s="1"/>
  <c r="W166" i="12" a="1"/>
  <c r="W166" i="12" s="1"/>
  <c r="N55" i="12"/>
  <c r="Y193" i="12"/>
  <c r="E194" i="6"/>
  <c r="D194" i="12"/>
  <c r="K20" i="12"/>
  <c r="K71" i="12"/>
  <c r="W41" i="12" a="1"/>
  <c r="W41" i="12" s="1"/>
  <c r="X41" i="12" a="1"/>
  <c r="X41" i="12" s="1"/>
  <c r="W163" i="12" a="1"/>
  <c r="W163" i="12" s="1"/>
  <c r="X163" i="12" a="1"/>
  <c r="X163" i="12" s="1"/>
  <c r="D226" i="12"/>
  <c r="E226" i="6"/>
  <c r="K175" i="12"/>
  <c r="N104" i="12"/>
  <c r="W137" i="12" a="1"/>
  <c r="W137" i="12" s="1"/>
  <c r="X137" i="12" a="1"/>
  <c r="X137" i="12" s="1"/>
  <c r="T144" i="12"/>
  <c r="V144" i="12" a="1"/>
  <c r="V144" i="12" s="1"/>
  <c r="U144" i="12"/>
  <c r="K122" i="12"/>
  <c r="X21" i="12" a="1"/>
  <c r="X21" i="12" s="1"/>
  <c r="W21" i="12" a="1"/>
  <c r="W21" i="12" s="1"/>
  <c r="Y89" i="12"/>
  <c r="W174" i="12" a="1"/>
  <c r="W174" i="12" s="1"/>
  <c r="X174" i="12" a="1"/>
  <c r="X174" i="12" s="1"/>
  <c r="D158" i="12"/>
  <c r="E158" i="6"/>
  <c r="V165" i="12" a="1"/>
  <c r="V165" i="12" s="1"/>
  <c r="T165" i="12"/>
  <c r="U165" i="12"/>
  <c r="O25" i="11"/>
  <c r="AA7" i="11"/>
  <c r="V202" i="12" a="1"/>
  <c r="V202" i="12" s="1"/>
  <c r="T202" i="12"/>
  <c r="U202" i="12"/>
  <c r="E62" i="6"/>
  <c r="D62" i="12"/>
  <c r="N190" i="12"/>
  <c r="I53" i="8"/>
  <c r="A53" i="8" s="1"/>
  <c r="E234" i="6"/>
  <c r="D234" i="12"/>
  <c r="K77" i="12"/>
  <c r="W146" i="12" a="1"/>
  <c r="W146" i="12" s="1"/>
  <c r="X146" i="12" a="1"/>
  <c r="X146" i="12" s="1"/>
  <c r="X200" i="12" a="1"/>
  <c r="X200" i="12" s="1"/>
  <c r="W200" i="12" a="1"/>
  <c r="W200" i="12" s="1"/>
  <c r="K31" i="12"/>
  <c r="U210" i="12"/>
  <c r="V210" i="12" a="1"/>
  <c r="V210" i="12" s="1"/>
  <c r="T210" i="12"/>
  <c r="X40" i="12" a="1"/>
  <c r="X40" i="12" s="1"/>
  <c r="W40" i="12" a="1"/>
  <c r="W40" i="12" s="1"/>
  <c r="X206" i="12" a="1"/>
  <c r="X206" i="12" s="1"/>
  <c r="W206" i="12" a="1"/>
  <c r="W206" i="12" s="1"/>
  <c r="K22" i="12"/>
  <c r="N40" i="12"/>
  <c r="N103" i="12"/>
  <c r="E204" i="6"/>
  <c r="D204" i="12"/>
  <c r="E127" i="6"/>
  <c r="D127" i="12"/>
  <c r="X20" i="12" a="1"/>
  <c r="X20" i="12" s="1"/>
  <c r="W20" i="12" a="1"/>
  <c r="W20" i="12" s="1"/>
  <c r="AA16" i="8" a="1"/>
  <c r="AA16" i="8" s="1"/>
  <c r="AA14" i="8" s="1" a="1"/>
  <c r="AA14" i="8" s="1"/>
  <c r="W90" i="12" a="1"/>
  <c r="W90" i="12" s="1"/>
  <c r="X90" i="12" a="1"/>
  <c r="X90" i="12" s="1"/>
  <c r="K172" i="12"/>
  <c r="N16" i="12"/>
  <c r="AN14" i="13" a="1"/>
  <c r="AN14" i="13" s="1"/>
  <c r="U14" i="13" s="1"/>
  <c r="AD4" i="13" s="1"/>
  <c r="AO14" i="13"/>
  <c r="O14" i="13" s="1"/>
  <c r="K111" i="12"/>
  <c r="T225" i="12"/>
  <c r="U225" i="12"/>
  <c r="V225" i="12" a="1"/>
  <c r="V225" i="12" s="1"/>
  <c r="X107" i="12" a="1"/>
  <c r="X107" i="12" s="1"/>
  <c r="W107" i="12" a="1"/>
  <c r="W107" i="12" s="1"/>
  <c r="N62" i="12"/>
  <c r="W115" i="12" a="1"/>
  <c r="W115" i="12" s="1"/>
  <c r="X115" i="12" a="1"/>
  <c r="X115" i="12" s="1"/>
  <c r="X148" i="12" a="1"/>
  <c r="X148" i="12" s="1"/>
  <c r="W148" i="12" a="1"/>
  <c r="W148" i="12" s="1"/>
  <c r="U88" i="12"/>
  <c r="T88" i="12"/>
  <c r="V88" i="12" a="1"/>
  <c r="V88" i="12" s="1"/>
  <c r="X188" i="12" a="1"/>
  <c r="X188" i="12" s="1"/>
  <c r="W188" i="12" a="1"/>
  <c r="W188" i="12" s="1"/>
  <c r="W132" i="12" a="1"/>
  <c r="W132" i="12" s="1"/>
  <c r="X132" i="12" a="1"/>
  <c r="X132" i="12" s="1"/>
  <c r="X59" i="12" a="1"/>
  <c r="X59" i="12" s="1"/>
  <c r="W59" i="12" a="1"/>
  <c r="W59" i="12" s="1"/>
  <c r="W80" i="12" a="1"/>
  <c r="W80" i="12" s="1"/>
  <c r="X80" i="12" a="1"/>
  <c r="X80" i="12" s="1"/>
  <c r="X127" i="12" a="1"/>
  <c r="X127" i="12" s="1"/>
  <c r="W127" i="12" a="1"/>
  <c r="W127" i="12" s="1"/>
  <c r="W133" i="12" a="1"/>
  <c r="W133" i="12" s="1"/>
  <c r="X133" i="12" a="1"/>
  <c r="X133" i="12" s="1"/>
  <c r="W213" i="12" a="1"/>
  <c r="W213" i="12" s="1"/>
  <c r="X213" i="12" a="1"/>
  <c r="X213" i="12" s="1"/>
  <c r="K223" i="12"/>
  <c r="U239" i="12"/>
  <c r="T239" i="12"/>
  <c r="V239" i="12" a="1"/>
  <c r="V239" i="12" s="1"/>
  <c r="E133" i="6"/>
  <c r="D133" i="12"/>
  <c r="T58" i="12"/>
  <c r="U58" i="12"/>
  <c r="V58" i="12" a="1"/>
  <c r="V58" i="12" s="1"/>
  <c r="T29" i="12"/>
  <c r="V29" i="12" a="1"/>
  <c r="V29" i="12" s="1"/>
  <c r="U29" i="12"/>
  <c r="N197" i="12"/>
  <c r="W135" i="12" a="1"/>
  <c r="W135" i="12" s="1"/>
  <c r="X135" i="12" a="1"/>
  <c r="X135" i="12" s="1"/>
  <c r="N194" i="12"/>
  <c r="W104" i="12" a="1"/>
  <c r="W104" i="12" s="1"/>
  <c r="X104" i="12" a="1"/>
  <c r="X104" i="12" s="1"/>
  <c r="Y22" i="12"/>
  <c r="X207" i="12" a="1"/>
  <c r="X207" i="12" s="1"/>
  <c r="W207" i="12" a="1"/>
  <c r="W207" i="12" s="1"/>
  <c r="D197" i="12"/>
  <c r="E197" i="6"/>
  <c r="T138" i="12"/>
  <c r="U138" i="12"/>
  <c r="V138" i="12" a="1"/>
  <c r="V138" i="12" s="1"/>
  <c r="K132" i="12"/>
  <c r="U73" i="12"/>
  <c r="V73" i="12" a="1"/>
  <c r="V73" i="12" s="1"/>
  <c r="T73" i="12"/>
  <c r="K193" i="12"/>
  <c r="E203" i="6"/>
  <c r="D203" i="12"/>
  <c r="U16" i="8" a="1"/>
  <c r="U16" i="8" s="1"/>
  <c r="X69" i="12" a="1"/>
  <c r="X69" i="12" s="1"/>
  <c r="W69" i="12" a="1"/>
  <c r="W69" i="12" s="1"/>
  <c r="E82" i="6"/>
  <c r="D82" i="12"/>
  <c r="U60" i="12"/>
  <c r="V60" i="12" a="1"/>
  <c r="V60" i="12" s="1"/>
  <c r="T60" i="12"/>
  <c r="D14" i="13"/>
  <c r="V14" i="13"/>
  <c r="V15" i="13" s="1"/>
  <c r="V16" i="13" s="1"/>
  <c r="V17" i="13" s="1"/>
  <c r="V18" i="13" s="1"/>
  <c r="V19" i="13" s="1"/>
  <c r="V20" i="13" s="1"/>
  <c r="V21" i="13" s="1"/>
  <c r="V22" i="13" s="1"/>
  <c r="V23" i="13" s="1"/>
  <c r="L28" i="13"/>
  <c r="Y106" i="12"/>
  <c r="X49" i="12" a="1"/>
  <c r="X49" i="12" s="1"/>
  <c r="W49" i="12" a="1"/>
  <c r="W49" i="12" s="1"/>
  <c r="T86" i="12"/>
  <c r="U86" i="12"/>
  <c r="V86" i="12" a="1"/>
  <c r="V86" i="12" s="1"/>
  <c r="X97" i="12" a="1"/>
  <c r="X97" i="12" s="1"/>
  <c r="W97" i="12" a="1"/>
  <c r="W97" i="12" s="1"/>
  <c r="U64" i="12"/>
  <c r="V64" i="12" a="1"/>
  <c r="V64" i="12" s="1"/>
  <c r="T64" i="12"/>
  <c r="I41" i="8"/>
  <c r="A41" i="8" s="1"/>
  <c r="D175" i="12"/>
  <c r="E175" i="6"/>
  <c r="I26" i="8"/>
  <c r="A26" i="8" s="1"/>
  <c r="E24" i="6"/>
  <c r="D24" i="12"/>
  <c r="N193" i="12"/>
  <c r="X105" i="12" a="1"/>
  <c r="X105" i="12" s="1"/>
  <c r="W105" i="12" a="1"/>
  <c r="W105" i="12" s="1"/>
  <c r="X23" i="12" a="1"/>
  <c r="X23" i="12" s="1"/>
  <c r="W23" i="12" a="1"/>
  <c r="W23" i="12" s="1"/>
  <c r="N219" i="12"/>
  <c r="E17" i="6"/>
  <c r="D17" i="12"/>
  <c r="I17" i="8"/>
  <c r="A17" i="8" s="1"/>
  <c r="D172" i="12"/>
  <c r="E172" i="6"/>
  <c r="N206" i="12"/>
  <c r="T57" i="12"/>
  <c r="U57" i="12"/>
  <c r="V57" i="12" a="1"/>
  <c r="V57" i="12" s="1"/>
  <c r="V16" i="8" a="1"/>
  <c r="V16" i="8" s="1"/>
  <c r="K140" i="12"/>
  <c r="X145" i="12" a="1"/>
  <c r="X145" i="12" s="1"/>
  <c r="W145" i="12" a="1"/>
  <c r="W145" i="12" s="1"/>
  <c r="X52" i="12" a="1"/>
  <c r="X52" i="12" s="1"/>
  <c r="W52" i="12" a="1"/>
  <c r="W52" i="12" s="1"/>
  <c r="K211" i="12"/>
  <c r="X237" i="12" a="1"/>
  <c r="X237" i="12" s="1"/>
  <c r="W237" i="12" a="1"/>
  <c r="W237" i="12" s="1"/>
  <c r="U168" i="12"/>
  <c r="T168" i="12"/>
  <c r="V168" i="12" a="1"/>
  <c r="V168" i="12" s="1"/>
  <c r="W129" i="12" a="1"/>
  <c r="W129" i="12" s="1"/>
  <c r="X129" i="12" a="1"/>
  <c r="X129" i="12" s="1"/>
  <c r="N230" i="12"/>
  <c r="W171" i="12" a="1"/>
  <c r="W171" i="12" s="1"/>
  <c r="X171" i="12" a="1"/>
  <c r="X171" i="12" s="1"/>
  <c r="AE16" i="8" a="1"/>
  <c r="AE16" i="8" s="1"/>
  <c r="AE14" i="8" s="1" a="1"/>
  <c r="AE14" i="8" s="1"/>
  <c r="W209" i="12" a="1"/>
  <c r="W209" i="12" s="1"/>
  <c r="X209" i="12" a="1"/>
  <c r="X209" i="12" s="1"/>
  <c r="Y16" i="12"/>
  <c r="E216" i="6"/>
  <c r="D216" i="12"/>
  <c r="X219" i="12" l="1" a="1"/>
  <c r="X219" i="12" s="1"/>
  <c r="X103" i="12" a="1"/>
  <c r="X103" i="12" s="1"/>
  <c r="X77" i="12" a="1"/>
  <c r="X77" i="12" s="1"/>
  <c r="Z3" i="11"/>
  <c r="AA3" i="11" s="1" a="1"/>
  <c r="AA3" i="11" s="1"/>
  <c r="AD22" i="11" s="1"/>
  <c r="W17" i="12" a="1"/>
  <c r="W17" i="12" s="1"/>
  <c r="U171" i="12"/>
  <c r="T171" i="12"/>
  <c r="V171" i="12" a="1"/>
  <c r="V171" i="12" s="1"/>
  <c r="D33" i="14"/>
  <c r="L24" i="13"/>
  <c r="V127" i="12" a="1"/>
  <c r="V127" i="12" s="1"/>
  <c r="U127" i="12"/>
  <c r="T127" i="12"/>
  <c r="V115" i="12" a="1"/>
  <c r="V115" i="12" s="1"/>
  <c r="U115" i="12"/>
  <c r="T115" i="12"/>
  <c r="W193" i="12" a="1"/>
  <c r="W193" i="12" s="1"/>
  <c r="X193" i="12" a="1"/>
  <c r="X193" i="12" s="1"/>
  <c r="V87" i="12" a="1"/>
  <c r="V87" i="12" s="1"/>
  <c r="U87" i="12"/>
  <c r="T87" i="12"/>
  <c r="U154" i="12"/>
  <c r="V154" i="12" a="1"/>
  <c r="V154" i="12" s="1"/>
  <c r="T154" i="12"/>
  <c r="U107" i="12"/>
  <c r="V107" i="12" a="1"/>
  <c r="V107" i="12" s="1"/>
  <c r="T107" i="12"/>
  <c r="V200" i="12" a="1"/>
  <c r="V200" i="12" s="1"/>
  <c r="T200" i="12"/>
  <c r="U200" i="12"/>
  <c r="U166" i="12"/>
  <c r="V166" i="12" a="1"/>
  <c r="V166" i="12" s="1"/>
  <c r="T166" i="12"/>
  <c r="V112" i="12" a="1"/>
  <c r="V112" i="12" s="1"/>
  <c r="T112" i="12"/>
  <c r="U112" i="12"/>
  <c r="T74" i="12"/>
  <c r="V74" i="12" a="1"/>
  <c r="V74" i="12" s="1"/>
  <c r="U74" i="12"/>
  <c r="T55" i="12"/>
  <c r="U55" i="12"/>
  <c r="V55" i="12" a="1"/>
  <c r="V55" i="12" s="1"/>
  <c r="V216" i="12" a="1"/>
  <c r="V216" i="12" s="1"/>
  <c r="T216" i="12"/>
  <c r="U216" i="12"/>
  <c r="X50" i="12" a="1"/>
  <c r="X50" i="12" s="1"/>
  <c r="W50" i="12" a="1"/>
  <c r="W50" i="12" s="1"/>
  <c r="T169" i="12"/>
  <c r="U169" i="12"/>
  <c r="V169" i="12" a="1"/>
  <c r="V169" i="12" s="1"/>
  <c r="T142" i="12"/>
  <c r="V142" i="12" a="1"/>
  <c r="V142" i="12" s="1"/>
  <c r="U142" i="12"/>
  <c r="U232" i="12"/>
  <c r="T232" i="12"/>
  <c r="V232" i="12" a="1"/>
  <c r="V232" i="12" s="1"/>
  <c r="V129" i="12" a="1"/>
  <c r="V129" i="12" s="1"/>
  <c r="T129" i="12"/>
  <c r="U129" i="12"/>
  <c r="V80" i="12" a="1"/>
  <c r="V80" i="12" s="1"/>
  <c r="U80" i="12"/>
  <c r="T80" i="12"/>
  <c r="U194" i="12"/>
  <c r="V194" i="12" a="1"/>
  <c r="V194" i="12" s="1"/>
  <c r="T194" i="12"/>
  <c r="V111" i="12" a="1"/>
  <c r="V111" i="12" s="1"/>
  <c r="U111" i="12"/>
  <c r="T111" i="12"/>
  <c r="T131" i="12"/>
  <c r="U131" i="12"/>
  <c r="V131" i="12" a="1"/>
  <c r="V131" i="12" s="1"/>
  <c r="U229" i="12"/>
  <c r="T229" i="12"/>
  <c r="V229" i="12" a="1"/>
  <c r="V229" i="12" s="1"/>
  <c r="U164" i="12"/>
  <c r="T164" i="12"/>
  <c r="V164" i="12" a="1"/>
  <c r="V164" i="12" s="1"/>
  <c r="X227" i="12" a="1"/>
  <c r="X227" i="12" s="1"/>
  <c r="W227" i="12" a="1"/>
  <c r="W227" i="12" s="1"/>
  <c r="T198" i="12"/>
  <c r="U198" i="12"/>
  <c r="V198" i="12" a="1"/>
  <c r="V198" i="12" s="1"/>
  <c r="V76" i="12" a="1"/>
  <c r="V76" i="12" s="1"/>
  <c r="U76" i="12"/>
  <c r="T76" i="12"/>
  <c r="V47" i="12" a="1"/>
  <c r="V47" i="12" s="1"/>
  <c r="U47" i="12"/>
  <c r="T47" i="12"/>
  <c r="U212" i="12"/>
  <c r="V212" i="12" a="1"/>
  <c r="V212" i="12" s="1"/>
  <c r="T212" i="12"/>
  <c r="U230" i="12"/>
  <c r="T230" i="12"/>
  <c r="V230" i="12" a="1"/>
  <c r="V230" i="12" s="1"/>
  <c r="T158" i="12"/>
  <c r="V158" i="12" a="1"/>
  <c r="V158" i="12" s="1"/>
  <c r="U158" i="12"/>
  <c r="V146" i="12" a="1"/>
  <c r="V146" i="12" s="1"/>
  <c r="T146" i="12"/>
  <c r="U146" i="12"/>
  <c r="U92" i="12"/>
  <c r="V92" i="12" a="1"/>
  <c r="V92" i="12" s="1"/>
  <c r="T92" i="12"/>
  <c r="V195" i="12" a="1"/>
  <c r="V195" i="12" s="1"/>
  <c r="U195" i="12"/>
  <c r="T195" i="12"/>
  <c r="T31" i="12"/>
  <c r="U31" i="12"/>
  <c r="V31" i="12" a="1"/>
  <c r="V31" i="12" s="1"/>
  <c r="U217" i="12"/>
  <c r="T217" i="12"/>
  <c r="V217" i="12" a="1"/>
  <c r="V217" i="12" s="1"/>
  <c r="T124" i="12"/>
  <c r="U124" i="12"/>
  <c r="V124" i="12" a="1"/>
  <c r="V124" i="12" s="1"/>
  <c r="V141" i="12" a="1"/>
  <c r="V141" i="12" s="1"/>
  <c r="T141" i="12"/>
  <c r="U141" i="12"/>
  <c r="V143" i="12" a="1"/>
  <c r="V143" i="12" s="1"/>
  <c r="T143" i="12"/>
  <c r="U143" i="12"/>
  <c r="U220" i="12"/>
  <c r="V220" i="12" a="1"/>
  <c r="V220" i="12" s="1"/>
  <c r="T220" i="12"/>
  <c r="U123" i="12"/>
  <c r="V123" i="12" a="1"/>
  <c r="V123" i="12" s="1"/>
  <c r="T123" i="12"/>
  <c r="U83" i="12"/>
  <c r="T83" i="12"/>
  <c r="V83" i="12" a="1"/>
  <c r="V83" i="12" s="1"/>
  <c r="V134" i="12" a="1"/>
  <c r="V134" i="12" s="1"/>
  <c r="T134" i="12"/>
  <c r="U134" i="12"/>
  <c r="V224" i="12" a="1"/>
  <c r="V224" i="12" s="1"/>
  <c r="T224" i="12"/>
  <c r="U224" i="12"/>
  <c r="V108" i="12" a="1"/>
  <c r="V108" i="12" s="1"/>
  <c r="U108" i="12"/>
  <c r="T108" i="12"/>
  <c r="U116" i="12"/>
  <c r="V116" i="12" a="1"/>
  <c r="V116" i="12" s="1"/>
  <c r="T116" i="12"/>
  <c r="U128" i="12"/>
  <c r="T128" i="12"/>
  <c r="V128" i="12" a="1"/>
  <c r="V128" i="12" s="1"/>
  <c r="U98" i="12"/>
  <c r="V98" i="12" a="1"/>
  <c r="V98" i="12" s="1"/>
  <c r="T98" i="12"/>
  <c r="N25" i="11"/>
  <c r="L27" i="13"/>
  <c r="D32" i="14" s="1"/>
  <c r="X234" i="12" a="1"/>
  <c r="X234" i="12" s="1"/>
  <c r="W234" i="12" a="1"/>
  <c r="W234" i="12" s="1"/>
  <c r="X203" i="12" a="1"/>
  <c r="X203" i="12" s="1"/>
  <c r="W203" i="12" a="1"/>
  <c r="W203" i="12" s="1"/>
  <c r="T197" i="12"/>
  <c r="V197" i="12" a="1"/>
  <c r="V197" i="12" s="1"/>
  <c r="U197" i="12"/>
  <c r="T121" i="12"/>
  <c r="V121" i="12" a="1"/>
  <c r="V121" i="12" s="1"/>
  <c r="U121" i="12"/>
  <c r="V179" i="12" a="1"/>
  <c r="V179" i="12" s="1"/>
  <c r="U179" i="12"/>
  <c r="T179" i="12"/>
  <c r="T59" i="12"/>
  <c r="V59" i="12" a="1"/>
  <c r="V59" i="12" s="1"/>
  <c r="U59" i="12"/>
  <c r="T117" i="12"/>
  <c r="V117" i="12" a="1"/>
  <c r="V117" i="12" s="1"/>
  <c r="U117" i="12"/>
  <c r="U126" i="12"/>
  <c r="V126" i="12" a="1"/>
  <c r="V126" i="12" s="1"/>
  <c r="T126" i="12"/>
  <c r="U201" i="12"/>
  <c r="V201" i="12" a="1"/>
  <c r="V201" i="12" s="1"/>
  <c r="T201" i="12"/>
  <c r="U237" i="12"/>
  <c r="T237" i="12"/>
  <c r="V237" i="12" a="1"/>
  <c r="V237" i="12" s="1"/>
  <c r="V207" i="12" a="1"/>
  <c r="V207" i="12" s="1"/>
  <c r="U207" i="12"/>
  <c r="T207" i="12"/>
  <c r="V132" i="12" a="1"/>
  <c r="V132" i="12" s="1"/>
  <c r="T132" i="12"/>
  <c r="U132" i="12"/>
  <c r="T163" i="12"/>
  <c r="U163" i="12"/>
  <c r="V163" i="12" a="1"/>
  <c r="V163" i="12" s="1"/>
  <c r="T170" i="12"/>
  <c r="U170" i="12"/>
  <c r="V170" i="12" a="1"/>
  <c r="V170" i="12" s="1"/>
  <c r="W180" i="12" a="1"/>
  <c r="W180" i="12" s="1"/>
  <c r="X180" i="12" a="1"/>
  <c r="X180" i="12" s="1"/>
  <c r="X153" i="12" a="1"/>
  <c r="X153" i="12" s="1"/>
  <c r="W153" i="12" a="1"/>
  <c r="W153" i="12" s="1"/>
  <c r="U160" i="12"/>
  <c r="V160" i="12" a="1"/>
  <c r="V160" i="12" s="1"/>
  <c r="T160" i="12"/>
  <c r="W71" i="12" a="1"/>
  <c r="W71" i="12" s="1"/>
  <c r="X71" i="12" a="1"/>
  <c r="X71" i="12" s="1"/>
  <c r="U63" i="12"/>
  <c r="V63" i="12" a="1"/>
  <c r="V63" i="12" s="1"/>
  <c r="T63" i="12"/>
  <c r="V152" i="12" a="1"/>
  <c r="V152" i="12" s="1"/>
  <c r="T152" i="12"/>
  <c r="U152" i="12"/>
  <c r="X172" i="12" a="1"/>
  <c r="X172" i="12" s="1"/>
  <c r="W172" i="12" a="1"/>
  <c r="W172" i="12" s="1"/>
  <c r="U44" i="12"/>
  <c r="V44" i="12" a="1"/>
  <c r="V44" i="12" s="1"/>
  <c r="T44" i="12"/>
  <c r="V61" i="12" a="1"/>
  <c r="V61" i="12" s="1"/>
  <c r="T61" i="12"/>
  <c r="U61" i="12"/>
  <c r="E65" i="8" a="1"/>
  <c r="E65" i="8" s="1"/>
  <c r="E60" i="8" s="1"/>
  <c r="E14" i="8" a="1"/>
  <c r="E14" i="8" s="1"/>
  <c r="E66" i="8"/>
  <c r="T94" i="12"/>
  <c r="V94" i="12" a="1"/>
  <c r="V94" i="12" s="1"/>
  <c r="U94" i="12"/>
  <c r="U205" i="12"/>
  <c r="T205" i="12"/>
  <c r="V205" i="12" a="1"/>
  <c r="V205" i="12" s="1"/>
  <c r="M24" i="13"/>
  <c r="O29" i="13"/>
  <c r="V91" i="12" a="1"/>
  <c r="V91" i="12" s="1"/>
  <c r="U91" i="12"/>
  <c r="T91" i="12"/>
  <c r="T218" i="12"/>
  <c r="U218" i="12"/>
  <c r="V218" i="12" a="1"/>
  <c r="V218" i="12" s="1"/>
  <c r="U17" i="12"/>
  <c r="V17" i="12" a="1"/>
  <c r="V17" i="12" s="1"/>
  <c r="T17" i="12"/>
  <c r="V149" i="12" a="1"/>
  <c r="V149" i="12" s="1"/>
  <c r="T149" i="12"/>
  <c r="U149" i="12"/>
  <c r="X89" i="12" a="1"/>
  <c r="X89" i="12" s="1"/>
  <c r="W89" i="12" a="1"/>
  <c r="W89" i="12" s="1"/>
  <c r="T41" i="12"/>
  <c r="U41" i="12"/>
  <c r="V41" i="12" a="1"/>
  <c r="V41" i="12" s="1"/>
  <c r="T99" i="12"/>
  <c r="U99" i="12"/>
  <c r="V99" i="12" a="1"/>
  <c r="V99" i="12" s="1"/>
  <c r="X24" i="12" a="1"/>
  <c r="X24" i="12" s="1"/>
  <c r="W24" i="12" a="1"/>
  <c r="W24" i="12" s="1"/>
  <c r="T136" i="12"/>
  <c r="V136" i="12" a="1"/>
  <c r="V136" i="12" s="1"/>
  <c r="U136" i="12"/>
  <c r="U65" i="12"/>
  <c r="T65" i="12"/>
  <c r="V65" i="12" a="1"/>
  <c r="V65" i="12" s="1"/>
  <c r="T176" i="12"/>
  <c r="V176" i="12" a="1"/>
  <c r="V176" i="12" s="1"/>
  <c r="U176" i="12"/>
  <c r="T72" i="12"/>
  <c r="V72" i="12" a="1"/>
  <c r="V72" i="12" s="1"/>
  <c r="U72" i="12"/>
  <c r="T173" i="12"/>
  <c r="V173" i="12" a="1"/>
  <c r="V173" i="12" s="1"/>
  <c r="U173" i="12"/>
  <c r="T52" i="12"/>
  <c r="U52" i="12"/>
  <c r="V52" i="12" a="1"/>
  <c r="V52" i="12" s="1"/>
  <c r="T23" i="12"/>
  <c r="V23" i="12" a="1"/>
  <c r="V23" i="12" s="1"/>
  <c r="U23" i="12"/>
  <c r="U14" i="8" a="1"/>
  <c r="U14" i="8" s="1"/>
  <c r="U65" i="8" a="1"/>
  <c r="U65" i="8" s="1"/>
  <c r="U66" i="8"/>
  <c r="V21" i="12" a="1"/>
  <c r="V21" i="12" s="1"/>
  <c r="T21" i="12"/>
  <c r="U21" i="12"/>
  <c r="T26" i="12"/>
  <c r="U26" i="12"/>
  <c r="V26" i="12" a="1"/>
  <c r="V26" i="12" s="1"/>
  <c r="V223" i="12" a="1"/>
  <c r="V223" i="12" s="1"/>
  <c r="T223" i="12"/>
  <c r="U223" i="12"/>
  <c r="V96" i="12" a="1"/>
  <c r="V96" i="12" s="1"/>
  <c r="U96" i="12"/>
  <c r="T96" i="12"/>
  <c r="W100" i="12" a="1"/>
  <c r="W100" i="12" s="1"/>
  <c r="X100" i="12" a="1"/>
  <c r="X100" i="12" s="1"/>
  <c r="V159" i="12" a="1"/>
  <c r="V159" i="12" s="1"/>
  <c r="U159" i="12"/>
  <c r="T159" i="12"/>
  <c r="V192" i="12" a="1"/>
  <c r="V192" i="12" s="1"/>
  <c r="U192" i="12"/>
  <c r="T192" i="12"/>
  <c r="V62" i="12" a="1"/>
  <c r="V62" i="12" s="1"/>
  <c r="T62" i="12"/>
  <c r="U62" i="12"/>
  <c r="U231" i="12"/>
  <c r="V231" i="12" a="1"/>
  <c r="V231" i="12" s="1"/>
  <c r="T231" i="12"/>
  <c r="V95" i="12" a="1"/>
  <c r="V95" i="12" s="1"/>
  <c r="U95" i="12"/>
  <c r="T95" i="12"/>
  <c r="V45" i="12" a="1"/>
  <c r="V45" i="12" s="1"/>
  <c r="T45" i="12"/>
  <c r="U45" i="12"/>
  <c r="V46" i="12" a="1"/>
  <c r="V46" i="12" s="1"/>
  <c r="U46" i="12"/>
  <c r="T46" i="12"/>
  <c r="T188" i="12"/>
  <c r="V188" i="12" a="1"/>
  <c r="V188" i="12" s="1"/>
  <c r="U188" i="12"/>
  <c r="U206" i="12"/>
  <c r="V206" i="12" a="1"/>
  <c r="V206" i="12" s="1"/>
  <c r="T206" i="12"/>
  <c r="V211" i="12" a="1"/>
  <c r="V211" i="12" s="1"/>
  <c r="U211" i="12"/>
  <c r="T211" i="12"/>
  <c r="X22" i="12" a="1"/>
  <c r="X22" i="12" s="1"/>
  <c r="W22" i="12" a="1"/>
  <c r="W22" i="12" s="1"/>
  <c r="W16" i="12" a="1"/>
  <c r="W16" i="12" s="1"/>
  <c r="X16" i="12" a="1"/>
  <c r="X16" i="12" s="1"/>
  <c r="V103" i="12" a="1"/>
  <c r="V103" i="12" s="1"/>
  <c r="U103" i="12"/>
  <c r="T103" i="12"/>
  <c r="U162" i="12"/>
  <c r="V162" i="12" a="1"/>
  <c r="V162" i="12" s="1"/>
  <c r="T162" i="12"/>
  <c r="V105" i="12" a="1"/>
  <c r="V105" i="12" s="1"/>
  <c r="T105" i="12"/>
  <c r="U105" i="12"/>
  <c r="U40" i="12"/>
  <c r="V40" i="12" a="1"/>
  <c r="V40" i="12" s="1"/>
  <c r="T40" i="12"/>
  <c r="U167" i="12"/>
  <c r="T167" i="12"/>
  <c r="V167" i="12" a="1"/>
  <c r="V167" i="12" s="1"/>
  <c r="V113" i="12" a="1"/>
  <c r="V113" i="12" s="1"/>
  <c r="T113" i="12"/>
  <c r="U113" i="12"/>
  <c r="U19" i="12"/>
  <c r="V19" i="12" a="1"/>
  <c r="V19" i="12" s="1"/>
  <c r="T19" i="12"/>
  <c r="U97" i="12"/>
  <c r="V97" i="12" a="1"/>
  <c r="V97" i="12" s="1"/>
  <c r="T97" i="12"/>
  <c r="V69" i="12" a="1"/>
  <c r="V69" i="12" s="1"/>
  <c r="T69" i="12"/>
  <c r="U69" i="12"/>
  <c r="P14" i="13"/>
  <c r="N14" i="13"/>
  <c r="O28" i="13"/>
  <c r="V174" i="12" a="1"/>
  <c r="V174" i="12" s="1"/>
  <c r="T174" i="12"/>
  <c r="U174" i="12"/>
  <c r="U104" i="12"/>
  <c r="T104" i="12"/>
  <c r="V104" i="12" a="1"/>
  <c r="V104" i="12" s="1"/>
  <c r="V145" i="12" a="1"/>
  <c r="V145" i="12" s="1"/>
  <c r="T145" i="12"/>
  <c r="U145" i="12"/>
  <c r="T215" i="12"/>
  <c r="V215" i="12" a="1"/>
  <c r="V215" i="12" s="1"/>
  <c r="U215" i="12"/>
  <c r="V49" i="12" a="1"/>
  <c r="V49" i="12" s="1"/>
  <c r="T49" i="12"/>
  <c r="U49" i="12"/>
  <c r="V213" i="12" a="1"/>
  <c r="V213" i="12" s="1"/>
  <c r="T213" i="12"/>
  <c r="U213" i="12"/>
  <c r="V148" i="12" a="1"/>
  <c r="V148" i="12" s="1"/>
  <c r="U148" i="12"/>
  <c r="T148" i="12"/>
  <c r="V90" i="12" a="1"/>
  <c r="V90" i="12" s="1"/>
  <c r="U90" i="12"/>
  <c r="T90" i="12"/>
  <c r="U56" i="12"/>
  <c r="V56" i="12" a="1"/>
  <c r="V56" i="12" s="1"/>
  <c r="T56" i="12"/>
  <c r="T66" i="12"/>
  <c r="U66" i="12"/>
  <c r="V66" i="12" a="1"/>
  <c r="V66" i="12" s="1"/>
  <c r="V236" i="12" a="1"/>
  <c r="V236" i="12" s="1"/>
  <c r="U236" i="12"/>
  <c r="T236" i="12"/>
  <c r="T130" i="12"/>
  <c r="U130" i="12"/>
  <c r="V130" i="12" a="1"/>
  <c r="V130" i="12" s="1"/>
  <c r="V189" i="12" a="1"/>
  <c r="V189" i="12" s="1"/>
  <c r="T189" i="12"/>
  <c r="U189" i="12"/>
  <c r="T135" i="12"/>
  <c r="V135" i="12" a="1"/>
  <c r="V135" i="12" s="1"/>
  <c r="U135" i="12"/>
  <c r="U109" i="12"/>
  <c r="T109" i="12"/>
  <c r="V109" i="12" a="1"/>
  <c r="V109" i="12" s="1"/>
  <c r="T147" i="12"/>
  <c r="V147" i="12" a="1"/>
  <c r="V147" i="12" s="1"/>
  <c r="U147" i="12"/>
  <c r="V28" i="12" a="1"/>
  <c r="V28" i="12" s="1"/>
  <c r="U28" i="12"/>
  <c r="T28" i="12"/>
  <c r="T32" i="12"/>
  <c r="U32" i="12"/>
  <c r="V32" i="12" a="1"/>
  <c r="V32" i="12" s="1"/>
  <c r="U51" i="12"/>
  <c r="V51" i="12" a="1"/>
  <c r="V51" i="12" s="1"/>
  <c r="T51" i="12"/>
  <c r="U219" i="12"/>
  <c r="V219" i="12" a="1"/>
  <c r="V219" i="12" s="1"/>
  <c r="T219" i="12"/>
  <c r="V228" i="12" a="1"/>
  <c r="V228" i="12" s="1"/>
  <c r="U228" i="12"/>
  <c r="T228" i="12"/>
  <c r="T214" i="12"/>
  <c r="V214" i="12" a="1"/>
  <c r="V214" i="12" s="1"/>
  <c r="U214" i="12"/>
  <c r="W82" i="12" a="1"/>
  <c r="W82" i="12" s="1"/>
  <c r="X82" i="12" a="1"/>
  <c r="X82" i="12" s="1"/>
  <c r="V139" i="12" a="1"/>
  <c r="V139" i="12" s="1"/>
  <c r="T139" i="12"/>
  <c r="U139" i="12"/>
  <c r="T43" i="12"/>
  <c r="V43" i="12" a="1"/>
  <c r="V43" i="12" s="1"/>
  <c r="U43" i="12"/>
  <c r="V18" i="12" a="1"/>
  <c r="V18" i="12" s="1"/>
  <c r="T18" i="12"/>
  <c r="U18" i="12"/>
  <c r="T209" i="12"/>
  <c r="U209" i="12"/>
  <c r="V209" i="12" a="1"/>
  <c r="V209" i="12" s="1"/>
  <c r="V33" i="12" a="1"/>
  <c r="V33" i="12" s="1"/>
  <c r="U33" i="12"/>
  <c r="T33" i="12"/>
  <c r="T175" i="12"/>
  <c r="U175" i="12"/>
  <c r="V175" i="12" a="1"/>
  <c r="V175" i="12" s="1"/>
  <c r="V14" i="8" a="1"/>
  <c r="V14" i="8" s="1"/>
  <c r="V66" i="8"/>
  <c r="W106" i="12" a="1"/>
  <c r="W106" i="12" s="1"/>
  <c r="X106" i="12" a="1"/>
  <c r="X106" i="12" s="1"/>
  <c r="U133" i="12"/>
  <c r="V133" i="12" a="1"/>
  <c r="V133" i="12" s="1"/>
  <c r="T133" i="12"/>
  <c r="U20" i="12"/>
  <c r="V20" i="12" a="1"/>
  <c r="V20" i="12" s="1"/>
  <c r="T20" i="12"/>
  <c r="T77" i="12"/>
  <c r="V77" i="12" a="1"/>
  <c r="V77" i="12" s="1"/>
  <c r="U77" i="12"/>
  <c r="V85" i="12" a="1"/>
  <c r="V85" i="12" s="1"/>
  <c r="U85" i="12"/>
  <c r="T85" i="12"/>
  <c r="U181" i="12"/>
  <c r="V181" i="12" a="1"/>
  <c r="V181" i="12" s="1"/>
  <c r="T181" i="12"/>
  <c r="T54" i="12"/>
  <c r="V54" i="12" a="1"/>
  <c r="V54" i="12" s="1"/>
  <c r="U54" i="12"/>
  <c r="V140" i="12" a="1"/>
  <c r="V140" i="12" s="1"/>
  <c r="U140" i="12"/>
  <c r="T140" i="12"/>
  <c r="U191" i="12"/>
  <c r="T191" i="12"/>
  <c r="V191" i="12" a="1"/>
  <c r="V191" i="12" s="1"/>
  <c r="V186" i="12" a="1"/>
  <c r="V186" i="12" s="1"/>
  <c r="U186" i="12"/>
  <c r="T186" i="12"/>
  <c r="U190" i="12"/>
  <c r="V190" i="12" a="1"/>
  <c r="V190" i="12" s="1"/>
  <c r="T190" i="12"/>
  <c r="X185" i="12" a="1"/>
  <c r="X185" i="12" s="1"/>
  <c r="W185" i="12" a="1"/>
  <c r="W185" i="12" s="1"/>
  <c r="X196" i="12" a="1"/>
  <c r="X196" i="12" s="1"/>
  <c r="W196" i="12" a="1"/>
  <c r="W196" i="12" s="1"/>
  <c r="T122" i="12"/>
  <c r="U122" i="12"/>
  <c r="V122" i="12" a="1"/>
  <c r="V122" i="12" s="1"/>
  <c r="T177" i="12"/>
  <c r="U177" i="12"/>
  <c r="V177" i="12" a="1"/>
  <c r="V177" i="12" s="1"/>
  <c r="V150" i="12" a="1"/>
  <c r="V150" i="12" s="1"/>
  <c r="U150" i="12"/>
  <c r="T150" i="12"/>
  <c r="U235" i="12"/>
  <c r="V235" i="12" a="1"/>
  <c r="V235" i="12" s="1"/>
  <c r="T235" i="12"/>
  <c r="W204" i="12" a="1"/>
  <c r="W204" i="12" s="1"/>
  <c r="X204" i="12" a="1"/>
  <c r="X204" i="12" s="1"/>
  <c r="T137" i="12"/>
  <c r="U137" i="12"/>
  <c r="V137" i="12" a="1"/>
  <c r="V137" i="12" s="1"/>
  <c r="T114" i="12"/>
  <c r="V114" i="12" a="1"/>
  <c r="V114" i="12" s="1"/>
  <c r="U114" i="12"/>
  <c r="T78" i="12"/>
  <c r="U78" i="12"/>
  <c r="V78" i="12" a="1"/>
  <c r="V78" i="12" s="1"/>
  <c r="X222" i="12" a="1"/>
  <c r="X222" i="12" s="1"/>
  <c r="W222" i="12" a="1"/>
  <c r="W222" i="12" s="1"/>
  <c r="X25" i="12" a="1"/>
  <c r="X25" i="12" s="1"/>
  <c r="W25" i="12" a="1"/>
  <c r="W25" i="12" s="1"/>
  <c r="T161" i="12"/>
  <c r="V161" i="12" a="1"/>
  <c r="V161" i="12" s="1"/>
  <c r="U161" i="12"/>
  <c r="U101" i="12"/>
  <c r="V101" i="12" a="1"/>
  <c r="V101" i="12" s="1"/>
  <c r="T101" i="12"/>
  <c r="V226" i="12" a="1"/>
  <c r="V226" i="12" s="1"/>
  <c r="T226" i="12"/>
  <c r="U226" i="12"/>
  <c r="V42" i="12" a="1"/>
  <c r="V42" i="12" s="1"/>
  <c r="U42" i="12"/>
  <c r="T42" i="12"/>
  <c r="AD16" i="11" l="1"/>
  <c r="AA215" i="5" a="1"/>
  <c r="AA215" i="5" s="1"/>
  <c r="AA214" i="5" s="1" a="1"/>
  <c r="AA214" i="5" s="1"/>
  <c r="AA38" i="5" a="1"/>
  <c r="AA38" i="5" s="1"/>
  <c r="AA70" i="5" a="1"/>
  <c r="AA70" i="5" s="1"/>
  <c r="AA63" i="5" a="1"/>
  <c r="AA63" i="5" s="1"/>
  <c r="AA69" i="5" a="1"/>
  <c r="AA69" i="5" s="1"/>
  <c r="AA79" i="5" a="1"/>
  <c r="AA79" i="5" s="1"/>
  <c r="AA147" i="5" a="1"/>
  <c r="AA147" i="5" s="1"/>
  <c r="AA61" i="5" a="1"/>
  <c r="AA61" i="5" s="1"/>
  <c r="AA19" i="5" a="1"/>
  <c r="AA19" i="5" s="1"/>
  <c r="AA59" i="5" a="1"/>
  <c r="AA59" i="5" s="1"/>
  <c r="AA152" i="5" a="1"/>
  <c r="AA152" i="5" s="1"/>
  <c r="AA181" i="5" a="1"/>
  <c r="AA181" i="5" s="1"/>
  <c r="AA113" i="5" a="1"/>
  <c r="AA113" i="5" s="1"/>
  <c r="AA46" i="5" a="1"/>
  <c r="AA46" i="5" s="1"/>
  <c r="AA45" i="5" s="1" a="1"/>
  <c r="AA45" i="5" s="1"/>
  <c r="AA210" i="5" a="1"/>
  <c r="AA210" i="5" s="1"/>
  <c r="AA48" i="5" a="1"/>
  <c r="AA48" i="5" s="1"/>
  <c r="AA173" i="5" a="1"/>
  <c r="AA173" i="5" s="1"/>
  <c r="AA120" i="5" a="1"/>
  <c r="AA120" i="5" s="1"/>
  <c r="AA125" i="5" a="1"/>
  <c r="AA125" i="5" s="1"/>
  <c r="AA54" i="5" a="1"/>
  <c r="AA54" i="5" s="1"/>
  <c r="AA129" i="5" a="1"/>
  <c r="AA129" i="5" s="1"/>
  <c r="AA217" i="5" a="1"/>
  <c r="AA217" i="5" s="1"/>
  <c r="AA216" i="5" s="1" a="1"/>
  <c r="AA216" i="5" s="1"/>
  <c r="AA93" i="5" a="1"/>
  <c r="AA93" i="5" s="1"/>
  <c r="AA81" i="5" a="1"/>
  <c r="AA81" i="5" s="1"/>
  <c r="AA95" i="5" a="1"/>
  <c r="AA95" i="5" s="1"/>
  <c r="AA73" i="5" a="1"/>
  <c r="AA73" i="5" s="1"/>
  <c r="AA238" i="5" a="1"/>
  <c r="AA238" i="5" s="1"/>
  <c r="AA67" i="5" a="1"/>
  <c r="AA67" i="5" s="1"/>
  <c r="AA42" i="5" a="1"/>
  <c r="AA42" i="5" s="1"/>
  <c r="AA72" i="5" a="1"/>
  <c r="AA72" i="5" s="1"/>
  <c r="AA157" i="5" a="1"/>
  <c r="AA157" i="5" s="1"/>
  <c r="AA47" i="5" a="1"/>
  <c r="AA47" i="5" s="1"/>
  <c r="AA161" i="5" a="1"/>
  <c r="AA161" i="5" s="1"/>
  <c r="AA160" i="5" s="1" a="1"/>
  <c r="AA160" i="5" s="1"/>
  <c r="AA32" i="5" a="1"/>
  <c r="AA32" i="5" s="1"/>
  <c r="AA186" i="5" a="1"/>
  <c r="AA186" i="5" s="1"/>
  <c r="AA126" i="5" a="1"/>
  <c r="AA126" i="5" s="1"/>
  <c r="AA143" i="5" a="1"/>
  <c r="AA143" i="5" s="1"/>
  <c r="AA57" i="5" a="1"/>
  <c r="AA57" i="5" s="1"/>
  <c r="AA34" i="5" a="1"/>
  <c r="AA34" i="5" s="1"/>
  <c r="AA169" i="5" a="1"/>
  <c r="AA169" i="5" s="1"/>
  <c r="AA92" i="5" a="1"/>
  <c r="AA92" i="5" s="1"/>
  <c r="AA30" i="5" a="1"/>
  <c r="AA30" i="5" s="1"/>
  <c r="AA36" i="5" a="1"/>
  <c r="AA36" i="5" s="1"/>
  <c r="AA137" i="5" a="1"/>
  <c r="AA137" i="5" s="1"/>
  <c r="AA182" i="5" a="1"/>
  <c r="AA182" i="5" s="1"/>
  <c r="AA195" i="5" a="1"/>
  <c r="AA195" i="5" s="1"/>
  <c r="AA163" i="5" a="1"/>
  <c r="AA163" i="5" s="1"/>
  <c r="AA208" i="5" a="1"/>
  <c r="AA208" i="5" s="1"/>
  <c r="AA142" i="5" a="1"/>
  <c r="AA142" i="5" s="1"/>
  <c r="AA191" i="5" a="1"/>
  <c r="AA191" i="5" s="1"/>
  <c r="AA53" i="5" a="1"/>
  <c r="AA53" i="5" s="1"/>
  <c r="AA218" i="5" a="1"/>
  <c r="AA218" i="5" s="1"/>
  <c r="AA225" i="5" a="1"/>
  <c r="AA225" i="5" s="1"/>
  <c r="AA213" i="5" a="1"/>
  <c r="AA213" i="5" s="1"/>
  <c r="AA220" i="5" a="1"/>
  <c r="AA220" i="5" s="1"/>
  <c r="AA219" i="5" s="1" a="1"/>
  <c r="AA219" i="5" s="1"/>
  <c r="C47" i="8" s="1"/>
  <c r="AA228" i="5" a="1"/>
  <c r="AA228" i="5" s="1"/>
  <c r="AA29" i="5" a="1"/>
  <c r="AA29" i="5" s="1"/>
  <c r="AA110" i="5" a="1"/>
  <c r="AA110" i="5" s="1"/>
  <c r="AA56" i="5" a="1"/>
  <c r="AA56" i="5" s="1"/>
  <c r="AA171" i="5" a="1"/>
  <c r="AA171" i="5" s="1"/>
  <c r="AA109" i="5" a="1"/>
  <c r="AA109" i="5" s="1"/>
  <c r="AA108" i="5" s="1" a="1"/>
  <c r="AA108" i="5" s="1"/>
  <c r="AA39" i="5" a="1"/>
  <c r="AA39" i="5" s="1"/>
  <c r="AA87" i="5" a="1"/>
  <c r="AA87" i="5" s="1"/>
  <c r="AA65" i="5" a="1"/>
  <c r="AA65" i="5" s="1"/>
  <c r="AA91" i="5" a="1"/>
  <c r="AA91" i="5" s="1"/>
  <c r="AA202" i="5" a="1"/>
  <c r="AA202" i="5" s="1"/>
  <c r="AA27" i="5" a="1"/>
  <c r="AA27" i="5" s="1"/>
  <c r="AA239" i="5" a="1"/>
  <c r="AA239" i="5" s="1"/>
  <c r="AA44" i="5" a="1"/>
  <c r="AA44" i="5" s="1"/>
  <c r="AA51" i="5" a="1"/>
  <c r="AA51" i="5" s="1"/>
  <c r="AA50" i="5" s="1" a="1"/>
  <c r="AA50" i="5" s="1"/>
  <c r="AA102" i="5" a="1"/>
  <c r="AA102" i="5" s="1"/>
  <c r="AA74" i="5" a="1"/>
  <c r="AA74" i="5" s="1"/>
  <c r="AA199" i="5" a="1"/>
  <c r="AA199" i="5" s="1"/>
  <c r="AA167" i="5" a="1"/>
  <c r="AA167" i="5" s="1"/>
  <c r="AA130" i="5" a="1"/>
  <c r="AA130" i="5" s="1"/>
  <c r="AA209" i="5" a="1"/>
  <c r="AA209" i="5" s="1"/>
  <c r="AA174" i="5" a="1"/>
  <c r="AA174" i="5" s="1"/>
  <c r="AA164" i="5" a="1"/>
  <c r="AA164" i="5" s="1"/>
  <c r="AA170" i="5" a="1"/>
  <c r="AA170" i="5" s="1"/>
  <c r="AA52" i="5" a="1"/>
  <c r="AA52" i="5" s="1"/>
  <c r="AA90" i="5" a="1"/>
  <c r="AA90" i="5" s="1"/>
  <c r="AA151" i="5" a="1"/>
  <c r="AA151" i="5" s="1"/>
  <c r="AA124" i="5" a="1"/>
  <c r="AA124" i="5" s="1"/>
  <c r="AA221" i="5" a="1"/>
  <c r="AA221" i="5" s="1"/>
  <c r="AA179" i="5" a="1"/>
  <c r="AA179" i="5" s="1"/>
  <c r="AA168" i="5" a="1"/>
  <c r="AA168" i="5" s="1"/>
  <c r="AA189" i="5" a="1"/>
  <c r="AA189" i="5" s="1"/>
  <c r="AA148" i="5" a="1"/>
  <c r="AA148" i="5" s="1"/>
  <c r="AA123" i="5" a="1"/>
  <c r="AA123" i="5" s="1"/>
  <c r="AA114" i="5" a="1"/>
  <c r="AA114" i="5" s="1"/>
  <c r="AA139" i="5" a="1"/>
  <c r="AA139" i="5" s="1"/>
  <c r="AA75" i="5" a="1"/>
  <c r="AA75" i="5" s="1"/>
  <c r="AA58" i="5" a="1"/>
  <c r="AA58" i="5" s="1"/>
  <c r="AA236" i="5" a="1"/>
  <c r="AA236" i="5" s="1"/>
  <c r="AA119" i="5" a="1"/>
  <c r="AA119" i="5" s="1"/>
  <c r="AA154" i="5" a="1"/>
  <c r="AA154" i="5" s="1"/>
  <c r="AA231" i="5" a="1"/>
  <c r="AA231" i="5" s="1"/>
  <c r="AA141" i="5" a="1"/>
  <c r="AA141" i="5" s="1"/>
  <c r="AA66" i="5" a="1"/>
  <c r="AA66" i="5" s="1"/>
  <c r="AA49" i="5" a="1"/>
  <c r="AA49" i="5" s="1"/>
  <c r="AA177" i="5" a="1"/>
  <c r="AA177" i="5" s="1"/>
  <c r="AA43" i="5" a="1"/>
  <c r="AA43" i="5" s="1"/>
  <c r="AA150" i="5" a="1"/>
  <c r="AA150" i="5" s="1"/>
  <c r="AA155" i="5" a="1"/>
  <c r="AA155" i="5" s="1"/>
  <c r="AA35" i="5" a="1"/>
  <c r="AA35" i="5" s="1"/>
  <c r="AA187" i="5" a="1"/>
  <c r="AA187" i="5" s="1"/>
  <c r="AA201" i="5" a="1"/>
  <c r="AA201" i="5" s="1"/>
  <c r="AA200" i="5" s="1" a="1"/>
  <c r="AA200" i="5" s="1"/>
  <c r="AA83" i="5" a="1"/>
  <c r="AA83" i="5" s="1"/>
  <c r="AA237" i="5" a="1"/>
  <c r="AA237" i="5" s="1"/>
  <c r="AA98" i="5" a="1"/>
  <c r="AA98" i="5" s="1"/>
  <c r="AA134" i="5" a="1"/>
  <c r="AA134" i="5" s="1"/>
  <c r="AA133" i="5" s="1" a="1"/>
  <c r="AA133" i="5" s="1"/>
  <c r="AA188" i="5" a="1"/>
  <c r="AA188" i="5" s="1"/>
  <c r="AA78" i="5" a="1"/>
  <c r="AA78" i="5" s="1"/>
  <c r="AA28" i="5" a="1"/>
  <c r="AA28" i="5" s="1"/>
  <c r="AA224" i="5" a="1"/>
  <c r="AA224" i="5" s="1"/>
  <c r="AA60" i="5" a="1"/>
  <c r="AA60" i="5" s="1"/>
  <c r="AA85" i="5" a="1"/>
  <c r="AA85" i="5" s="1"/>
  <c r="AA135" i="5" a="1"/>
  <c r="AA135" i="5" s="1"/>
  <c r="AA96" i="5" a="1"/>
  <c r="AA96" i="5" s="1"/>
  <c r="AA80" i="5" a="1"/>
  <c r="AA80" i="5" s="1"/>
  <c r="AA183" i="5" a="1"/>
  <c r="AA183" i="5" s="1"/>
  <c r="AA86" i="5" a="1"/>
  <c r="AA86" i="5" s="1"/>
  <c r="AA41" i="5" a="1"/>
  <c r="AA41" i="5" s="1"/>
  <c r="AA40" i="5" s="1" a="1"/>
  <c r="AA40" i="5" s="1"/>
  <c r="AA235" i="5" a="1"/>
  <c r="AA235" i="5" s="1"/>
  <c r="AA26" i="5" a="1"/>
  <c r="AA26" i="5" s="1"/>
  <c r="AA25" i="5" s="1" a="1"/>
  <c r="AA25" i="5" s="1"/>
  <c r="AA207" i="5" a="1"/>
  <c r="AA207" i="5" s="1"/>
  <c r="AA206" i="5" s="1" a="1"/>
  <c r="AA206" i="5" s="1"/>
  <c r="AA128" i="5" a="1"/>
  <c r="AA128" i="5" s="1"/>
  <c r="AA127" i="5" s="1" a="1"/>
  <c r="AA127" i="5" s="1"/>
  <c r="AA118" i="5" a="1"/>
  <c r="AA118" i="5" s="1"/>
  <c r="AA156" i="5" a="1"/>
  <c r="AA156" i="5" s="1"/>
  <c r="AA212" i="5" a="1"/>
  <c r="AA212" i="5" s="1"/>
  <c r="AA88" i="5" a="1"/>
  <c r="AA88" i="5" s="1"/>
  <c r="AA229" i="5" a="1"/>
  <c r="AA229" i="5" s="1"/>
  <c r="AA107" i="5" a="1"/>
  <c r="AA107" i="5" s="1"/>
  <c r="AA106" i="5" s="1" a="1"/>
  <c r="AA106" i="5" s="1"/>
  <c r="AA117" i="5" a="1"/>
  <c r="AA117" i="5" s="1"/>
  <c r="AA101" i="5" a="1"/>
  <c r="AA101" i="5" s="1"/>
  <c r="AA100" i="5" s="1" a="1"/>
  <c r="AA100" i="5" s="1"/>
  <c r="AA136" i="5" a="1"/>
  <c r="AA136" i="5" s="1"/>
  <c r="AA145" i="5" a="1"/>
  <c r="AA145" i="5" s="1"/>
  <c r="AA159" i="5" a="1"/>
  <c r="AA159" i="5" s="1"/>
  <c r="AA158" i="5" s="1" a="1"/>
  <c r="AA158" i="5" s="1"/>
  <c r="AA146" i="5" a="1"/>
  <c r="AA146" i="5" s="1"/>
  <c r="AA233" i="5" a="1"/>
  <c r="AA233" i="5" s="1"/>
  <c r="AA21" i="5" a="1"/>
  <c r="AA21" i="5" s="1"/>
  <c r="AA20" i="5" s="1" a="1"/>
  <c r="AA20" i="5" s="1"/>
  <c r="C20" i="8" s="1"/>
  <c r="AA115" i="5" a="1"/>
  <c r="AA115" i="5" s="1"/>
  <c r="AA105" i="5" a="1"/>
  <c r="AA105" i="5" s="1"/>
  <c r="AA33" i="5" a="1"/>
  <c r="AA33" i="5" s="1"/>
  <c r="AA23" i="5" a="1"/>
  <c r="AA23" i="5" s="1"/>
  <c r="AA22" i="5" s="1" a="1"/>
  <c r="AA22" i="5" s="1"/>
  <c r="C23" i="8" s="1"/>
  <c r="AA64" i="5" a="1"/>
  <c r="AA64" i="5" s="1"/>
  <c r="AA131" i="5" a="1"/>
  <c r="AA131" i="5" s="1"/>
  <c r="AA149" i="5" a="1"/>
  <c r="AA149" i="5" s="1"/>
  <c r="AA198" i="5" a="1"/>
  <c r="AA198" i="5" s="1"/>
  <c r="AA184" i="5" a="1"/>
  <c r="AA184" i="5" s="1"/>
  <c r="AA232" i="5" a="1"/>
  <c r="AA232" i="5" s="1"/>
  <c r="AA99" i="5" a="1"/>
  <c r="AA99" i="5" s="1"/>
  <c r="AA18" i="5" a="1"/>
  <c r="AA18" i="5" s="1"/>
  <c r="AA17" i="5" s="1" a="1"/>
  <c r="AA17" i="5" s="1"/>
  <c r="C17" i="8" s="1"/>
  <c r="AA192" i="5" a="1"/>
  <c r="AA192" i="5" s="1"/>
  <c r="AA84" i="5" a="1"/>
  <c r="AA84" i="5" s="1"/>
  <c r="AA37" i="5" a="1"/>
  <c r="AA37" i="5" s="1"/>
  <c r="AA178" i="5" a="1"/>
  <c r="AA178" i="5" s="1"/>
  <c r="AA76" i="5" a="1"/>
  <c r="AA76" i="5" s="1"/>
  <c r="AA144" i="5" a="1"/>
  <c r="AA144" i="5" s="1"/>
  <c r="AA205" i="5" a="1"/>
  <c r="AA205" i="5" s="1"/>
  <c r="AA97" i="5" a="1"/>
  <c r="AA97" i="5" s="1"/>
  <c r="AA138" i="5" a="1"/>
  <c r="AA138" i="5" s="1"/>
  <c r="AD21" i="11"/>
  <c r="AA165" i="5" a="1"/>
  <c r="AA165" i="5" s="1"/>
  <c r="AA68" i="5" a="1"/>
  <c r="AA68" i="5" s="1"/>
  <c r="AD23" i="11"/>
  <c r="AE23" i="11" s="1"/>
  <c r="M23" i="11" s="1"/>
  <c r="L23" i="11" s="1"/>
  <c r="AD20" i="11"/>
  <c r="AD19" i="11"/>
  <c r="AD17" i="11"/>
  <c r="AD15" i="11"/>
  <c r="AD14" i="11"/>
  <c r="AD18" i="11"/>
  <c r="AD12" i="11"/>
  <c r="U106" i="12"/>
  <c r="V106" i="12" a="1"/>
  <c r="V106" i="12" s="1"/>
  <c r="T106" i="12"/>
  <c r="V24" i="12" a="1"/>
  <c r="V24" i="12" s="1"/>
  <c r="T24" i="12"/>
  <c r="U24" i="12"/>
  <c r="U71" i="12"/>
  <c r="T71" i="12"/>
  <c r="V71" i="12" a="1"/>
  <c r="V71" i="12" s="1"/>
  <c r="AA162" i="5" a="1"/>
  <c r="AA162" i="5" s="1"/>
  <c r="J71" i="9"/>
  <c r="V61" i="8"/>
  <c r="V62" i="8"/>
  <c r="J70" i="9" s="1"/>
  <c r="J73" i="9" s="1"/>
  <c r="W66" i="8"/>
  <c r="V25" i="12" a="1"/>
  <c r="V25" i="12" s="1"/>
  <c r="U25" i="12"/>
  <c r="T25" i="12"/>
  <c r="T193" i="12"/>
  <c r="U193" i="12"/>
  <c r="V193" i="12" a="1"/>
  <c r="V193" i="12" s="1"/>
  <c r="T222" i="12"/>
  <c r="V222" i="12" a="1"/>
  <c r="V222" i="12" s="1"/>
  <c r="U222" i="12"/>
  <c r="V153" i="12" a="1"/>
  <c r="V153" i="12" s="1"/>
  <c r="T153" i="12"/>
  <c r="U153" i="12"/>
  <c r="AA16" i="5" a="1"/>
  <c r="AA16" i="5" s="1"/>
  <c r="AA15" i="5"/>
  <c r="AA24" i="5" a="1"/>
  <c r="AA24" i="5" s="1"/>
  <c r="C26" i="8" s="1"/>
  <c r="AA62" i="5" a="1"/>
  <c r="AA62" i="5" s="1"/>
  <c r="V227" i="12" a="1"/>
  <c r="V227" i="12" s="1"/>
  <c r="T227" i="12"/>
  <c r="U227" i="12"/>
  <c r="U50" i="12"/>
  <c r="V50" i="12" a="1"/>
  <c r="V50" i="12" s="1"/>
  <c r="T50" i="12"/>
  <c r="U204" i="12"/>
  <c r="T204" i="12"/>
  <c r="V204" i="12" a="1"/>
  <c r="V204" i="12" s="1"/>
  <c r="T82" i="12"/>
  <c r="V82" i="12" a="1"/>
  <c r="V82" i="12" s="1"/>
  <c r="U82" i="12"/>
  <c r="V185" i="12" a="1"/>
  <c r="V185" i="12" s="1"/>
  <c r="U185" i="12"/>
  <c r="T185" i="12"/>
  <c r="U62" i="8"/>
  <c r="H70" i="9" s="1"/>
  <c r="H73" i="9" s="1"/>
  <c r="H71" i="9"/>
  <c r="U61" i="8"/>
  <c r="V65" i="8" a="1"/>
  <c r="V65" i="8" s="1"/>
  <c r="U60" i="8"/>
  <c r="T89" i="12"/>
  <c r="U89" i="12"/>
  <c r="V89" i="12" a="1"/>
  <c r="V89" i="12" s="1"/>
  <c r="T172" i="12"/>
  <c r="V172" i="12" a="1"/>
  <c r="V172" i="12" s="1"/>
  <c r="U172" i="12"/>
  <c r="T180" i="12"/>
  <c r="U180" i="12"/>
  <c r="V180" i="12" a="1"/>
  <c r="V180" i="12" s="1"/>
  <c r="U234" i="12"/>
  <c r="T234" i="12"/>
  <c r="V234" i="12" a="1"/>
  <c r="V234" i="12" s="1"/>
  <c r="T22" i="12"/>
  <c r="U22" i="12"/>
  <c r="V22" i="12" a="1"/>
  <c r="V22" i="12" s="1"/>
  <c r="V100" i="12" a="1"/>
  <c r="V100" i="12" s="1"/>
  <c r="U100" i="12"/>
  <c r="T100" i="12"/>
  <c r="U16" i="12"/>
  <c r="T16" i="12"/>
  <c r="V16" i="12" a="1"/>
  <c r="V16" i="12" s="1"/>
  <c r="O24" i="13"/>
  <c r="D54" i="2" a="1"/>
  <c r="D54" i="2" s="1"/>
  <c r="F33" i="14"/>
  <c r="D53" i="2" a="1"/>
  <c r="D53" i="2" s="1"/>
  <c r="AD6" i="13"/>
  <c r="AE6" i="13" s="1"/>
  <c r="D47" i="2" a="1"/>
  <c r="D47" i="2" s="1"/>
  <c r="D52" i="2" a="1"/>
  <c r="D52" i="2" s="1"/>
  <c r="AD27" i="13"/>
  <c r="D48" i="2" a="1"/>
  <c r="D48" i="2" s="1"/>
  <c r="P24" i="13"/>
  <c r="N28" i="13"/>
  <c r="D51" i="2" a="1"/>
  <c r="D51" i="2" s="1"/>
  <c r="AC27" i="13"/>
  <c r="T196" i="12"/>
  <c r="V196" i="12" a="1"/>
  <c r="V196" i="12" s="1"/>
  <c r="U196" i="12"/>
  <c r="U203" i="12"/>
  <c r="T203" i="12"/>
  <c r="V203" i="12" a="1"/>
  <c r="V203" i="12" s="1"/>
  <c r="E62" i="8"/>
  <c r="E67" i="8" s="1"/>
  <c r="E61" i="8"/>
  <c r="E57" i="8" s="1"/>
  <c r="AE20" i="11" l="1"/>
  <c r="M20" i="11" s="1"/>
  <c r="L20" i="11" s="1"/>
  <c r="AE19" i="11"/>
  <c r="M19" i="11" s="1"/>
  <c r="L19" i="11" s="1"/>
  <c r="AE17" i="11"/>
  <c r="M17" i="11" s="1"/>
  <c r="L17" i="11" s="1"/>
  <c r="AA132" i="5" a="1"/>
  <c r="AA132" i="5" s="1"/>
  <c r="C38" i="8" s="1"/>
  <c r="AA116" i="5" a="1"/>
  <c r="AA116" i="5" s="1"/>
  <c r="AE21" i="11"/>
  <c r="M21" i="11" s="1"/>
  <c r="L21" i="11" s="1"/>
  <c r="AA211" i="5" a="1"/>
  <c r="AA211" i="5" s="1"/>
  <c r="AA77" i="5" a="1"/>
  <c r="AA77" i="5" s="1"/>
  <c r="AE22" i="11"/>
  <c r="M22" i="11" s="1"/>
  <c r="L22" i="11" s="1"/>
  <c r="AE15" i="11"/>
  <c r="M15" i="11" s="1"/>
  <c r="L15" i="11" s="1"/>
  <c r="AA104" i="5" a="1"/>
  <c r="AA104" i="5" s="1"/>
  <c r="AA103" i="5" a="1"/>
  <c r="AA103" i="5" s="1"/>
  <c r="C29" i="8" s="1"/>
  <c r="AA194" i="5" a="1"/>
  <c r="AA194" i="5" s="1"/>
  <c r="AA193" i="5" a="1"/>
  <c r="AA193" i="5" s="1"/>
  <c r="C44" i="8" s="1"/>
  <c r="AA71" i="5" a="1"/>
  <c r="AA71" i="5" s="1"/>
  <c r="AA112" i="5" a="1"/>
  <c r="AA112" i="5" s="1"/>
  <c r="AJ14" i="13" s="1" a="1"/>
  <c r="AJ14" i="13" s="1"/>
  <c r="R14" i="13" s="1"/>
  <c r="M26" i="13" s="1"/>
  <c r="AA111" i="5" a="1"/>
  <c r="AA111" i="5" s="1"/>
  <c r="C32" i="8" s="1"/>
  <c r="AA234" i="5" a="1"/>
  <c r="AA234" i="5" s="1"/>
  <c r="C53" i="8" s="1"/>
  <c r="AA82" i="5" a="1"/>
  <c r="AA82" i="5" s="1"/>
  <c r="AA180" i="5" a="1"/>
  <c r="AA180" i="5" s="1"/>
  <c r="AA55" i="5" a="1"/>
  <c r="AA55" i="5" s="1"/>
  <c r="AA166" i="5" a="1"/>
  <c r="AA166" i="5" s="1"/>
  <c r="AE12" i="11"/>
  <c r="M12" i="11" s="1"/>
  <c r="L12" i="11" s="1"/>
  <c r="AA122" i="5" a="1"/>
  <c r="AA122" i="5" s="1"/>
  <c r="AA121" i="5" a="1"/>
  <c r="AA121" i="5" s="1"/>
  <c r="C35" i="8" s="1"/>
  <c r="AA94" i="5" a="1"/>
  <c r="AA94" i="5" s="1"/>
  <c r="AA227" i="5" a="1"/>
  <c r="AA227" i="5" s="1"/>
  <c r="AA226" i="5" a="1"/>
  <c r="AA226" i="5" s="1"/>
  <c r="AE16" i="11"/>
  <c r="M16" i="11" s="1"/>
  <c r="L16" i="11" s="1"/>
  <c r="AA196" i="5" a="1"/>
  <c r="AA196" i="5" s="1"/>
  <c r="AA197" i="5" a="1"/>
  <c r="AA197" i="5" s="1"/>
  <c r="AA176" i="5" a="1"/>
  <c r="AA176" i="5" s="1"/>
  <c r="AA175" i="5" a="1"/>
  <c r="AA175" i="5" s="1"/>
  <c r="C41" i="8" s="1"/>
  <c r="AA222" i="5" a="1"/>
  <c r="AA222" i="5" s="1"/>
  <c r="C50" i="8" s="1"/>
  <c r="AA223" i="5" a="1"/>
  <c r="AA223" i="5" s="1"/>
  <c r="AA185" i="5" a="1"/>
  <c r="AA185" i="5" s="1"/>
  <c r="AE18" i="11"/>
  <c r="M18" i="11" s="1"/>
  <c r="L18" i="11" s="1"/>
  <c r="AA140" i="5" a="1"/>
  <c r="AA140" i="5" s="1"/>
  <c r="AA190" i="5" a="1"/>
  <c r="AA190" i="5" s="1"/>
  <c r="AA31" i="5" a="1"/>
  <c r="AA31" i="5" s="1"/>
  <c r="AA230" i="5" a="1"/>
  <c r="AA230" i="5" s="1"/>
  <c r="AA89" i="5" a="1"/>
  <c r="AA89" i="5" s="1"/>
  <c r="AA172" i="5" a="1"/>
  <c r="AA172" i="5" s="1"/>
  <c r="AA204" i="5" a="1"/>
  <c r="AA204" i="5" s="1"/>
  <c r="AA203" i="5" a="1"/>
  <c r="AA203" i="5" s="1"/>
  <c r="AA153" i="5" a="1"/>
  <c r="AA153" i="5" s="1"/>
  <c r="D50" i="2"/>
  <c r="S77" i="10" s="1"/>
  <c r="W61" i="8"/>
  <c r="L71" i="9"/>
  <c r="X66" i="8"/>
  <c r="W62" i="8"/>
  <c r="L70" i="9" s="1"/>
  <c r="L73" i="9" s="1"/>
  <c r="AA14" i="11" a="1"/>
  <c r="AA14" i="11" s="1"/>
  <c r="AM14" i="13" a="1"/>
  <c r="AM14" i="13" s="1"/>
  <c r="T14" i="13" s="1"/>
  <c r="AD3" i="13" s="1"/>
  <c r="AD2" i="13" s="1"/>
  <c r="V57" i="8"/>
  <c r="J68" i="9" s="1"/>
  <c r="J69" i="9"/>
  <c r="F34" i="14"/>
  <c r="G10" i="13"/>
  <c r="V60" i="8"/>
  <c r="W65" i="8" a="1"/>
  <c r="W65" i="8" s="1"/>
  <c r="AE4" i="13"/>
  <c r="O27" i="13" s="1"/>
  <c r="E33" i="14"/>
  <c r="N24" i="13"/>
  <c r="E34" i="14"/>
  <c r="U57" i="8"/>
  <c r="H68" i="9" s="1"/>
  <c r="H69" i="9"/>
  <c r="D46" i="2"/>
  <c r="U64" i="8" l="1" a="1"/>
  <c r="U64" i="8" s="1"/>
  <c r="U63" i="8" s="1"/>
  <c r="U58" i="8" s="1"/>
  <c r="E64" i="8" a="1"/>
  <c r="E64" i="8" s="1"/>
  <c r="E59" i="8" s="1"/>
  <c r="J250" i="12"/>
  <c r="AA24" i="11"/>
  <c r="Z14" i="11"/>
  <c r="Z24" i="11" s="1"/>
  <c r="AE14" i="11" s="1"/>
  <c r="M14" i="11" s="1"/>
  <c r="X62" i="8"/>
  <c r="N70" i="9" s="1"/>
  <c r="N73" i="9" s="1"/>
  <c r="Y66" i="8"/>
  <c r="X61" i="8"/>
  <c r="N71" i="9"/>
  <c r="M25" i="13"/>
  <c r="N27" i="13"/>
  <c r="E32" i="14" s="1"/>
  <c r="F32" i="14"/>
  <c r="L69" i="9"/>
  <c r="W57" i="8"/>
  <c r="L68" i="9" s="1"/>
  <c r="W60" i="8"/>
  <c r="X65" i="8" a="1"/>
  <c r="X65" i="8" s="1"/>
  <c r="V64" i="8" a="1"/>
  <c r="V64" i="8" s="1"/>
  <c r="U59" i="8"/>
  <c r="E63" i="8" l="1"/>
  <c r="E58" i="8" s="1"/>
  <c r="AE3" i="13"/>
  <c r="X57" i="8"/>
  <c r="N68" i="9" s="1"/>
  <c r="N69" i="9"/>
  <c r="Z66" i="8"/>
  <c r="Y61" i="8"/>
  <c r="Y62" i="8"/>
  <c r="P70" i="9" s="1"/>
  <c r="P73" i="9" s="1"/>
  <c r="P71" i="9"/>
  <c r="AE2" i="13"/>
  <c r="O26" i="13"/>
  <c r="M24" i="11"/>
  <c r="L14" i="11"/>
  <c r="L24" i="11" s="1"/>
  <c r="V59" i="8"/>
  <c r="W64" i="8" a="1"/>
  <c r="W64" i="8" s="1"/>
  <c r="V63" i="8"/>
  <c r="V58" i="8" s="1"/>
  <c r="X60" i="8"/>
  <c r="Y65" i="8" a="1"/>
  <c r="Y65" i="8" s="1"/>
  <c r="P69" i="9" l="1"/>
  <c r="Y57" i="8"/>
  <c r="P68" i="9" s="1"/>
  <c r="Z62" i="8"/>
  <c r="R70" i="9" s="1"/>
  <c r="R73" i="9" s="1"/>
  <c r="Z61" i="8"/>
  <c r="R71" i="9"/>
  <c r="AA66" i="8"/>
  <c r="L25" i="11"/>
  <c r="L25" i="13"/>
  <c r="D30" i="14" s="1"/>
  <c r="L10" i="11"/>
  <c r="M10" i="13" s="1"/>
  <c r="N26" i="13"/>
  <c r="E31" i="14" s="1"/>
  <c r="F31" i="14"/>
  <c r="O25" i="13"/>
  <c r="M25" i="11"/>
  <c r="M10" i="11"/>
  <c r="N10" i="13" s="1"/>
  <c r="L26" i="13"/>
  <c r="X64" i="8" a="1"/>
  <c r="X64" i="8" s="1"/>
  <c r="W59" i="8"/>
  <c r="W63" i="8"/>
  <c r="W58" i="8" s="1"/>
  <c r="Y60" i="8"/>
  <c r="Z65" i="8" a="1"/>
  <c r="Z65" i="8" s="1"/>
  <c r="N25" i="13" l="1"/>
  <c r="E30" i="14" s="1"/>
  <c r="F30" i="14"/>
  <c r="AA65" i="8" a="1"/>
  <c r="AA65" i="8" s="1"/>
  <c r="Z60" i="8"/>
  <c r="AB66" i="8"/>
  <c r="AA61" i="8"/>
  <c r="AA62" i="8"/>
  <c r="T70" i="9" s="1"/>
  <c r="T73" i="9" s="1"/>
  <c r="T71" i="9"/>
  <c r="Z57" i="8"/>
  <c r="R68" i="9" s="1"/>
  <c r="R69" i="9"/>
  <c r="Y64" i="8" a="1"/>
  <c r="Y64" i="8" s="1"/>
  <c r="X59" i="8"/>
  <c r="X63" i="8"/>
  <c r="X58" i="8" s="1"/>
  <c r="D31" i="14"/>
  <c r="AD26" i="13"/>
  <c r="AC26" i="13"/>
  <c r="Y59" i="8" l="1"/>
  <c r="Z64" i="8" a="1"/>
  <c r="Z64" i="8" s="1"/>
  <c r="Y63" i="8"/>
  <c r="Y58" i="8" s="1"/>
  <c r="AA57" i="8"/>
  <c r="T68" i="9" s="1"/>
  <c r="T69" i="9"/>
  <c r="AC66" i="8"/>
  <c r="AB62" i="8"/>
  <c r="V70" i="9" s="1"/>
  <c r="V73" i="9" s="1"/>
  <c r="AB61" i="8"/>
  <c r="V71" i="9"/>
  <c r="AB65" i="8" a="1"/>
  <c r="AB65" i="8" s="1"/>
  <c r="AA60" i="8"/>
  <c r="AD66" i="8" l="1"/>
  <c r="AC62" i="8"/>
  <c r="X70" i="9" s="1"/>
  <c r="X73" i="9" s="1"/>
  <c r="AC61" i="8"/>
  <c r="X71" i="9"/>
  <c r="AB60" i="8"/>
  <c r="AC65" i="8" a="1"/>
  <c r="AC65" i="8" s="1"/>
  <c r="AB57" i="8"/>
  <c r="V68" i="9" s="1"/>
  <c r="V69" i="9"/>
  <c r="Z59" i="8"/>
  <c r="AA64" i="8" a="1"/>
  <c r="AA64" i="8" s="1"/>
  <c r="Z63" i="8"/>
  <c r="Z58" i="8" s="1"/>
  <c r="AC60" i="8" l="1"/>
  <c r="AD65" i="8" a="1"/>
  <c r="AD65" i="8" s="1"/>
  <c r="X69" i="9"/>
  <c r="AC57" i="8"/>
  <c r="X68" i="9" s="1"/>
  <c r="AD61" i="8"/>
  <c r="Z71" i="9"/>
  <c r="AE66" i="8"/>
  <c r="AD62" i="8"/>
  <c r="Z70" i="9" s="1"/>
  <c r="Z73" i="9" s="1"/>
  <c r="AB64" i="8" a="1"/>
  <c r="AB64" i="8" s="1"/>
  <c r="AA59" i="8"/>
  <c r="AA63" i="8"/>
  <c r="AA58" i="8" s="1"/>
  <c r="AE62" i="8" l="1"/>
  <c r="AB70" i="9" s="1"/>
  <c r="AB73" i="9" s="1"/>
  <c r="AE61" i="8"/>
  <c r="AF66" i="8"/>
  <c r="AB71" i="9"/>
  <c r="AD60" i="8"/>
  <c r="AE65" i="8" a="1"/>
  <c r="AE65" i="8" s="1"/>
  <c r="AC64" i="8" a="1"/>
  <c r="AC64" i="8" s="1"/>
  <c r="AB59" i="8"/>
  <c r="AB63" i="8"/>
  <c r="AB58" i="8" s="1"/>
  <c r="Z69" i="9"/>
  <c r="AD57" i="8"/>
  <c r="Z68" i="9" s="1"/>
  <c r="AC59" i="8" l="1"/>
  <c r="AD64" i="8" a="1"/>
  <c r="AD64" i="8" s="1"/>
  <c r="AC63" i="8"/>
  <c r="AC58" i="8" s="1"/>
  <c r="AE60" i="8"/>
  <c r="AF65" i="8" a="1"/>
  <c r="AF65" i="8" s="1"/>
  <c r="AF60" i="8" s="1"/>
  <c r="K10" i="8" a="1"/>
  <c r="K10" i="8" s="1"/>
  <c r="AF62" i="8"/>
  <c r="AD71" i="9"/>
  <c r="AF61" i="8"/>
  <c r="AB69" i="9"/>
  <c r="AE57" i="8"/>
  <c r="AB68" i="9" s="1"/>
  <c r="AD70" i="9" l="1"/>
  <c r="AD73" i="9" s="1"/>
  <c r="G73" i="9" s="1"/>
  <c r="F11" i="8" a="1"/>
  <c r="F11" i="8" s="1"/>
  <c r="AD69" i="9"/>
  <c r="AF57" i="8"/>
  <c r="AD68" i="9" s="1"/>
  <c r="AD59" i="8"/>
  <c r="AE64" i="8" a="1"/>
  <c r="AE64" i="8" s="1"/>
  <c r="AD63" i="8"/>
  <c r="AD58" i="8" s="1"/>
  <c r="AE59" i="8" l="1"/>
  <c r="AF64" i="8" a="1"/>
  <c r="AF64" i="8" s="1"/>
  <c r="AE63" i="8"/>
  <c r="AE58" i="8" s="1"/>
  <c r="AF59" i="8" l="1"/>
  <c r="AF63" i="8"/>
  <c r="AF58"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<sst xmlns="http://schemas.openxmlformats.org/spreadsheetml/2006/main" count="2881" uniqueCount="1201">
  <si>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</si>
  <si>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</si>
  <si>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</si>
  <si>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</si>
  <si>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</si>
  <si>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</si>
  <si>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</si>
  <si>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</si>
  <si>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</si>
  <si>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</si>
  <si>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</si>
  <si>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</si>
  <si>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</si>
  <si>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</si>
  <si>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</si>
  <si>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</si>
  <si>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</si>
  <si>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</si>
  <si>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</si>
  <si>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</si>
  <si>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</si>
  <si>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</si>
  <si>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</si>
  <si>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</si>
  <si>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</si>
  <si>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</si>
  <si>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</si>
  <si>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</si>
  <si>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</si>
  <si>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</si>
  <si>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</si>
  <si>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</si>
  <si>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</si>
  <si>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</si>
  <si>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</si>
  <si>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</si>
  <si>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</si>
  <si>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</si>
  <si>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</si>
  <si>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</si>
  <si>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</si>
  <si>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</si>
  <si>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</si>
  <si>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</si>
  <si>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</si>
  <si>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</si>
  <si>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</si>
  <si>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</si>
  <si>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</si>
  <si>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</si>
  <si>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</si>
  <si>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</si>
  <si>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</si>
  <si>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</si>
  <si>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</si>
  <si>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</si>
  <si>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</si>
  <si>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</si>
  <si>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</si>
  <si>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</si>
  <si>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</si>
  <si>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</si>
  <si>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</si>
  <si>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</si>
  <si>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</si>
  <si>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</si>
  <si>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</si>
  <si>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</si>
  <si>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</si>
  <si>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</si>
  <si>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</si>
  <si>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</si>
  <si>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</si>
  <si>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</si>
  <si>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</si>
  <si>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</si>
  <si>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</si>
  <si>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</si>
  <si>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</si>
  <si>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</si>
  <si>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</si>
  <si>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</si>
  <si>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</si>
  <si>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</si>
  <si>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</si>
  <si>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</si>
  <si>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</si>
  <si>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</si>
  <si>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</si>
  <si>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</si>
  <si>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</si>
  <si>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</si>
  <si>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</si>
  <si>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</si>
  <si>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</si>
  <si>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</si>
  <si>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</si>
  <si>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</si>
  <si>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</si>
  <si>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</si>
  <si>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</si>
  <si>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</si>
  <si>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</si>
  <si>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</si>
  <si>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</si>
  <si>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</si>
  <si>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</si>
  <si>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</si>
  <si>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</si>
  <si>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</si>
  <si>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</si>
  <si>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</si>
  <si>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</si>
  <si>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</si>
  <si>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</si>
  <si>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</si>
  <si>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</si>
  <si>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</si>
  <si>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</si>
  <si>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</si>
  <si>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</si>
  <si>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</si>
  <si>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</si>
  <si>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</si>
  <si>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</si>
  <si>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</si>
  <si>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</si>
  <si>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</si>
  <si>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</si>
  <si>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</si>
  <si>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</si>
  <si>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</si>
  <si>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</si>
  <si>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</si>
  <si>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</si>
  <si>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</si>
  <si>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</si>
  <si>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</si>
  <si>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</si>
  <si>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</si>
  <si>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</si>
  <si>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</si>
  <si>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</si>
  <si>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</si>
  <si>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</si>
  <si>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</si>
  <si>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</si>
  <si>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</si>
  <si>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</si>
  <si>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</si>
  <si>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</si>
  <si>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</si>
  <si>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</si>
  <si>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</si>
  <si>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</si>
  <si>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</si>
  <si>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</si>
  <si>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</si>
  <si>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</si>
  <si>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</si>
  <si>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</si>
  <si>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</si>
  <si>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</si>
  <si>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</si>
  <si>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</si>
  <si>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</si>
  <si>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</si>
  <si>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</si>
  <si>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</si>
  <si>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</si>
  <si>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</si>
  <si>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</si>
  <si>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</si>
  <si>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</si>
  <si>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</si>
  <si>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</si>
  <si>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</si>
  <si>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</si>
  <si>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</si>
  <si>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</si>
  <si>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</si>
  <si>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</si>
  <si>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</si>
  <si>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</si>
  <si>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</si>
  <si>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</si>
  <si>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</si>
  <si>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</si>
  <si>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</si>
  <si>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</si>
  <si>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</si>
  <si>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</si>
  <si>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</si>
  <si>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</si>
  <si>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</si>
  <si>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</si>
  <si>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</si>
  <si>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</si>
  <si>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</si>
  <si>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</si>
  <si>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</si>
  <si>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</si>
  <si>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</si>
  <si>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</si>
  <si>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</si>
  <si>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</si>
  <si>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</si>
  <si>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</si>
  <si>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</si>
  <si>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</si>
  <si>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</si>
  <si>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</si>
  <si>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</si>
  <si>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</si>
  <si>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</si>
  <si>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</si>
  <si>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</si>
  <si>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</si>
  <si>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</si>
  <si>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</si>
  <si>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</si>
  <si>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</si>
  <si>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</si>
  <si>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</si>
  <si>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</si>
  <si>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</si>
  <si>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</si>
  <si>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</si>
  <si>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</si>
  <si>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</si>
  <si>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</si>
  <si>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</si>
  <si>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</si>
  <si>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</si>
  <si>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</si>
  <si>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</si>
  <si>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</si>
  <si>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</si>
  <si>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</si>
  <si>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</si>
  <si>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</si>
  <si>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</si>
  <si>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</si>
  <si>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</si>
  <si>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</si>
  <si>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</si>
  <si>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</si>
  <si>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</si>
  <si>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</si>
  <si>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</si>
  <si>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</si>
  <si>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</si>
  <si>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</si>
  <si>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</si>
  <si>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</si>
  <si>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</si>
  <si>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</si>
  <si>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</si>
  <si>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</si>
  <si>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</si>
  <si>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</si>
  <si>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</si>
  <si>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</si>
  <si>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</si>
  <si>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</si>
  <si>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</si>
  <si>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</si>
  <si>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</si>
  <si>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</si>
  <si>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</si>
  <si>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</si>
  <si>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</si>
  <si>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</si>
  <si>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</si>
  <si>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</si>
  <si>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</si>
  <si>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</si>
  <si>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</si>
  <si>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</si>
  <si>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</si>
  <si>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</si>
  <si>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</si>
  <si>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</si>
  <si>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</si>
  <si>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</si>
  <si>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</si>
  <si>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</si>
  <si>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</si>
  <si>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</si>
  <si>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</si>
  <si>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</si>
  <si>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</si>
  <si>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</si>
  <si>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</si>
  <si>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</si>
  <si>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</si>
  <si>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</si>
  <si>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</si>
  <si>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</si>
  <si>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</si>
  <si>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</si>
  <si>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</si>
  <si>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</si>
  <si>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</si>
  <si>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</si>
  <si>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</si>
  <si>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</si>
  <si>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</si>
  <si>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</si>
  <si>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</si>
  <si>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</si>
  <si>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</si>
  <si>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</si>
  <si>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</si>
  <si>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</si>
  <si>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</si>
  <si>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</si>
  <si>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</si>
  <si>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</si>
  <si>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</si>
  <si>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</si>
  <si>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</si>
  <si>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</si>
  <si>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</si>
  <si>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</si>
  <si>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</si>
  <si>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</si>
  <si>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</si>
  <si>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</si>
  <si>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</si>
  <si>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</si>
  <si>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</si>
  <si>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</si>
  <si>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</si>
  <si>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</si>
  <si>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</si>
  <si>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</si>
  <si>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</si>
  <si>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</si>
  <si>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</si>
  <si>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</si>
  <si>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</si>
  <si>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</si>
  <si>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</si>
  <si>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</si>
  <si>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</si>
  <si>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</si>
  <si>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</si>
  <si>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</si>
  <si>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</si>
  <si>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</si>
  <si>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</si>
  <si>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</si>
  <si>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</si>
  <si>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</si>
  <si>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</si>
  <si>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</si>
  <si>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</si>
  <si>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</si>
  <si>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</si>
  <si>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</si>
  <si>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</si>
  <si>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</si>
  <si>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</si>
  <si>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</si>
  <si>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</si>
  <si>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</si>
  <si>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</si>
  <si>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</si>
  <si>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</si>
  <si>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</si>
  <si>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</si>
  <si>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</si>
  <si>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</si>
  <si>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</si>
  <si>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</si>
  <si>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</si>
  <si>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</si>
  <si>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</si>
  <si>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</si>
  <si>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</si>
  <si>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</si>
  <si>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</si>
  <si>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</si>
  <si>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</si>
  <si>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</si>
  <si>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</si>
  <si>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</si>
  <si>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</si>
  <si>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</si>
  <si>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</si>
  <si>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</si>
  <si>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</si>
  <si>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</si>
  <si>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</si>
  <si>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</si>
  <si>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</si>
  <si>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</si>
  <si>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</si>
  <si>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</si>
  <si>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</si>
  <si>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</si>
  <si>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</si>
  <si>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</si>
  <si>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</si>
  <si>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</si>
  <si>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</si>
  <si>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</si>
  <si>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</si>
  <si>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</si>
  <si>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</si>
  <si>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</si>
  <si>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</si>
  <si>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</si>
  <si>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</si>
  <si>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</si>
  <si>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</si>
  <si>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</si>
  <si>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</si>
  <si>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</si>
  <si>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</si>
  <si>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</si>
  <si>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</si>
  <si>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</si>
  <si>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</si>
  <si>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</si>
  <si>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</si>
  <si>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</si>
  <si>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</si>
  <si>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</si>
  <si>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</si>
  <si>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</si>
  <si>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</si>
  <si>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</si>
  <si>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</si>
  <si>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</si>
  <si>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</si>
  <si>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</si>
  <si>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</si>
  <si>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</si>
  <si>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</si>
  <si>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</si>
  <si>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</si>
  <si>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</si>
  <si>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</si>
  <si>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</si>
  <si>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</si>
  <si>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</si>
  <si>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</si>
  <si>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</si>
  <si>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</si>
  <si>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</si>
  <si>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</si>
  <si>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</si>
  <si>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</si>
  <si>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</si>
  <si>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</si>
  <si>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</si>
  <si>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</si>
  <si>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</si>
  <si>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</si>
  <si>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</si>
  <si>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</si>
  <si>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</si>
  <si>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</si>
  <si>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</si>
  <si>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</si>
  <si>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</si>
  <si>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</si>
  <si>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</si>
  <si>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</si>
  <si>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</si>
  <si>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</si>
  <si>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</si>
  <si>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</si>
  <si>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</si>
  <si>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</si>
  <si>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</si>
  <si>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</si>
  <si>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</si>
  <si>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</si>
  <si>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</si>
  <si>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</si>
  <si>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</si>
  <si>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</si>
  <si>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</si>
  <si>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</si>
  <si>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</si>
  <si>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</si>
  <si>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</si>
  <si>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</si>
  <si>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</si>
  <si>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</si>
  <si>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</si>
  <si>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</si>
  <si>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</si>
  <si>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</si>
  <si>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</si>
  <si>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</si>
  <si>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</si>
  <si>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</si>
  <si>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</si>
  <si>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</si>
  <si>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</si>
  <si>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</si>
  <si>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</si>
  <si>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</si>
  <si>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</si>
  <si>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</si>
  <si>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</si>
  <si>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</si>
  <si>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</si>
  <si>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</si>
  <si>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</si>
  <si>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</si>
  <si>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</si>
  <si>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</si>
  <si>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</si>
  <si>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</si>
  <si>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</si>
  <si>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</si>
  <si>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</si>
  <si>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</si>
  <si>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</si>
  <si>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</si>
  <si>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</si>
  <si>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</si>
  <si>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</si>
  <si>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</si>
  <si>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</si>
  <si>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</si>
  <si>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</si>
  <si>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</si>
  <si>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</si>
  <si>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</si>
  <si>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</si>
  <si>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</si>
  <si>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</si>
  <si>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</si>
  <si>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</si>
  <si>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</si>
  <si>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</si>
  <si>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</si>
  <si>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</si>
  <si>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</si>
  <si>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</si>
  <si>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</si>
  <si>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</si>
  <si>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</si>
  <si>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</si>
  <si>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</si>
  <si>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</si>
  <si>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</si>
  <si>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</si>
  <si>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</si>
  <si>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</si>
  <si>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</si>
  <si>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</si>
  <si>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</si>
  <si>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</si>
  <si>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</si>
  <si>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</si>
  <si>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</si>
  <si>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</si>
  <si>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</si>
  <si>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</si>
  <si>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</si>
  <si>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</si>
  <si>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</si>
  <si>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</si>
  <si>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</si>
  <si>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</si>
  <si>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</si>
  <si>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</si>
  <si>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</si>
  <si>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</si>
  <si>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</si>
  <si>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</si>
  <si>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</si>
  <si>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</si>
  <si>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</si>
  <si>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</si>
  <si>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</si>
  <si>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</si>
  <si>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</si>
  <si>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</si>
  <si>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</si>
  <si>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</si>
  <si>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</si>
  <si>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</si>
  <si>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</si>
  <si>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</si>
  <si>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</si>
  <si>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</si>
  <si>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</si>
  <si>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</si>
  <si>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</si>
  <si>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</si>
  <si>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</si>
  <si>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</si>
  <si>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</si>
  <si>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</si>
  <si>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</si>
  <si>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</si>
  <si>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</si>
  <si>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</si>
  <si>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</si>
  <si>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</si>
  <si>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</si>
  <si>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</si>
  <si>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</si>
  <si>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</si>
  <si>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</si>
  <si>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</si>
  <si>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</si>
  <si>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</si>
  <si>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</si>
  <si>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</si>
  <si>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</si>
  <si>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</si>
  <si>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</si>
  <si>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</si>
  <si>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</si>
  <si>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</si>
  <si>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</si>
  <si>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</si>
  <si>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</si>
  <si>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</si>
  <si>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</si>
  <si>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</si>
  <si>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</si>
  <si>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</si>
  <si>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</si>
  <si>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</si>
  <si>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</si>
  <si>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</si>
  <si>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</si>
  <si>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</si>
  <si>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</si>
  <si>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</si>
  <si>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</si>
  <si>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</si>
  <si>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</si>
  <si>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</si>
  <si>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</si>
  <si>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</si>
  <si>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</si>
  <si>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</si>
  <si>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</si>
  <si>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</si>
  <si>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</si>
  <si>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</si>
  <si>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</si>
  <si>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</si>
  <si>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</si>
  <si>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</si>
  <si>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</si>
  <si>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</si>
  <si>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</si>
  <si>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</si>
  <si>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</si>
  <si>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</si>
  <si>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</si>
  <si>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</si>
  <si>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</si>
  <si>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</si>
  <si>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</si>
  <si>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</si>
  <si>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</si>
  <si>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</si>
  <si>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</si>
  <si>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</si>
  <si>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</si>
  <si>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</si>
  <si>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</si>
  <si>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</si>
  <si>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</si>
  <si>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</si>
  <si>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</si>
  <si>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</si>
  <si>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</si>
  <si>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</si>
  <si>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</si>
  <si>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</si>
  <si>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</si>
  <si>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</si>
  <si>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</si>
  <si>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</si>
  <si>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</si>
  <si>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</si>
  <si>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</si>
  <si>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</si>
  <si>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</si>
  <si>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</si>
  <si>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</si>
  <si>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</si>
  <si>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</si>
  <si>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</si>
  <si>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</si>
  <si>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</si>
  <si>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</si>
  <si>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</si>
  <si>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</si>
  <si>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</si>
  <si>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</si>
  <si>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</si>
  <si>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</si>
  <si>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</si>
  <si>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</si>
  <si>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</si>
  <si>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</si>
  <si>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</si>
  <si>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</si>
  <si>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</si>
  <si>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</si>
  <si>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</si>
  <si>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</si>
  <si>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</si>
  <si>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</si>
  <si>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</si>
  <si>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</si>
  <si>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</si>
  <si>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</si>
  <si>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</si>
  <si>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</si>
  <si>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</si>
  <si>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</si>
  <si>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</si>
  <si>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</si>
  <si>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</si>
  <si>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</si>
  <si>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</si>
  <si>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</si>
  <si>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</si>
  <si>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</si>
  <si>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</si>
  <si>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</si>
  <si>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</si>
  <si>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</si>
  <si>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</si>
  <si>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</si>
  <si>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</si>
  <si>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</si>
  <si>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</si>
  <si>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</si>
  <si>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</si>
  <si>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</si>
  <si>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</si>
  <si>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</si>
  <si>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</si>
  <si>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</si>
  <si>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</si>
  <si>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</si>
  <si>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</si>
  <si>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</si>
  <si>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</si>
  <si>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</si>
  <si>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</si>
  <si>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</si>
  <si>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</si>
  <si>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</si>
  <si>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</si>
  <si>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</si>
  <si>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</si>
  <si>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</si>
  <si>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</si>
  <si>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</si>
  <si>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</si>
  <si>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</si>
  <si>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</si>
  <si>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</si>
  <si>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</si>
  <si>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</si>
  <si>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</si>
  <si>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</si>
  <si>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</si>
  <si>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</si>
  <si>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</si>
  <si>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</si>
  <si>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</si>
  <si>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</si>
  <si>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</si>
  <si>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</si>
  <si>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</si>
  <si>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</si>
  <si>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</si>
  <si>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</si>
  <si>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</si>
  <si>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</si>
  <si>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</si>
  <si>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</si>
  <si>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</si>
  <si>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</si>
  <si>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</si>
  <si>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</si>
  <si>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</si>
  <si>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</si>
  <si>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</si>
  <si>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</si>
  <si>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</si>
  <si>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</si>
  <si>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</si>
  <si>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</si>
  <si>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</si>
  <si>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</si>
  <si>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</si>
  <si>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</si>
  <si>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</si>
  <si>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</si>
  <si>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</si>
  <si>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</si>
  <si>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</si>
  <si>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</si>
  <si>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</si>
  <si>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</si>
  <si>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</si>
  <si>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</si>
  <si>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</si>
  <si>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</si>
  <si>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</si>
  <si>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</si>
  <si>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</si>
  <si>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</si>
  <si>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</si>
  <si>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</si>
  <si>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</si>
  <si>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</si>
  <si>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</si>
  <si>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</si>
  <si>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</si>
  <si>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</si>
  <si>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</si>
  <si>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</si>
  <si>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</si>
  <si>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</si>
  <si>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</si>
  <si>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</si>
  <si>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</si>
  <si>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</si>
  <si>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</si>
  <si>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</si>
  <si>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</si>
  <si>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</si>
  <si>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</si>
  <si>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</si>
  <si>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</si>
  <si>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</si>
  <si>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</si>
  <si>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</si>
  <si>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</si>
  <si>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</si>
  <si>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</si>
  <si>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</si>
  <si>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</si>
  <si>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</si>
  <si>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</si>
  <si>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</si>
  <si>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</si>
  <si>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</si>
  <si>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</si>
  <si>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</si>
  <si>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</si>
  <si>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</si>
  <si>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</si>
  <si>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</si>
  <si>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</si>
  <si>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</si>
  <si>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</si>
  <si>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</si>
  <si>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</si>
  <si>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</si>
  <si>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</si>
  <si>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</si>
  <si>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</si>
  <si>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</si>
  <si>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</si>
  <si>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</si>
  <si>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</si>
  <si>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</si>
  <si>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</si>
  <si>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</si>
  <si>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</si>
  <si>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</si>
  <si>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</si>
  <si>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</si>
  <si>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</si>
  <si>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</si>
  <si>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</si>
  <si>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</si>
  <si>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</si>
  <si>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</si>
  <si>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</si>
  <si>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</si>
  <si>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</si>
  <si>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</si>
  <si>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</si>
  <si>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</si>
  <si>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</si>
  <si>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</si>
  <si>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</si>
  <si>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</si>
  <si>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</si>
  <si>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</si>
  <si>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</si>
  <si>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</si>
  <si>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</si>
  <si>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</si>
  <si>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</si>
  <si>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</si>
  <si>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</si>
  <si>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</si>
  <si>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</si>
  <si>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</si>
  <si>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</si>
  <si>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</si>
  <si>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</si>
  <si>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</si>
  <si>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</si>
  <si>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</si>
  <si>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</si>
  <si>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</si>
  <si>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</si>
  <si>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</si>
  <si>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</si>
  <si>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</si>
  <si>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</si>
  <si>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</si>
  <si>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</si>
  <si>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</si>
  <si>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</si>
  <si>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</si>
  <si>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</si>
  <si>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</si>
  <si>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</si>
  <si>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</si>
  <si>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</si>
  <si>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</si>
  <si>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</si>
  <si>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</si>
  <si>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</si>
  <si>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</si>
  <si>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</si>
  <si>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</si>
  <si>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</si>
  <si>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</si>
  <si>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</si>
  <si>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</si>
  <si>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</si>
  <si>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</si>
  <si>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</si>
  <si>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</si>
  <si>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</si>
  <si>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</si>
  <si>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</si>
  <si>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</si>
  <si>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</si>
  <si>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</si>
  <si>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</si>
  <si>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</si>
  <si>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</si>
  <si>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</si>
  <si>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</si>
  <si>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</si>
  <si>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</si>
  <si>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</si>
  <si>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</si>
  <si>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</si>
  <si>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</si>
  <si>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</si>
  <si>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</si>
  <si>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</si>
  <si>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</si>
  <si>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</si>
  <si>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</si>
  <si>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</si>
  <si>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</si>
  <si>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</si>
  <si>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</si>
  <si>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</si>
  <si>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</si>
  <si>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</si>
  <si>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</si>
  <si>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</si>
  <si>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</si>
  <si>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</si>
  <si>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</si>
  <si>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</si>
  <si>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</si>
  <si>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</si>
  <si>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</si>
  <si>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</si>
  <si>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</si>
  <si>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</si>
  <si>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</si>
  <si>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</si>
  <si>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</si>
  <si>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</si>
  <si>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</si>
  <si>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</si>
  <si>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</si>
  <si>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</si>
  <si>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</si>
  <si>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</si>
  <si>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</si>
  <si>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</si>
  <si>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</si>
  <si>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</si>
  <si>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MUNICIPIO DE SARANDI/RS</t>
  </si>
  <si>
    <t>SARANDI/RS</t>
  </si>
  <si>
    <t>PABLO LUIZ ALIEVI MARI</t>
  </si>
  <si>
    <t>PREFEITO MUNICIPAL</t>
  </si>
  <si>
    <t>A CASA É SUA</t>
  </si>
  <si>
    <t>CASA PADRÃO</t>
  </si>
  <si>
    <t>ADMINISTRAÇÃO DE OBRA</t>
  </si>
  <si>
    <t>PLACA DE OBRA</t>
  </si>
  <si>
    <t>SERVIÇOS PRELIMINARES</t>
  </si>
  <si>
    <t>INFRAESTRUTURA</t>
  </si>
  <si>
    <t>COBERTURA</t>
  </si>
  <si>
    <t>ALVENARIAS E VEDAÇÕES</t>
  </si>
  <si>
    <t>ESQUADRIAS</t>
  </si>
  <si>
    <t>INSTALAÇÕES HIDROSSANITARIAS</t>
  </si>
  <si>
    <t>INSTALAÇÕES ELÉTRICAS</t>
  </si>
  <si>
    <t>REVESTIMENTOS</t>
  </si>
  <si>
    <t>FORROS</t>
  </si>
  <si>
    <t>PINTURAS</t>
  </si>
  <si>
    <t>LIMPEZA FINAL DE OBRA</t>
  </si>
  <si>
    <t>SAPATAS ISOLADAS</t>
  </si>
  <si>
    <t>ESTACAS</t>
  </si>
  <si>
    <t>VIGAS DE AMARRAÇÃO - FUNDAÇÃO</t>
  </si>
  <si>
    <t>VIGAS DE AMARRAÇÃO - COBERTURA</t>
  </si>
  <si>
    <t>PILOTIS</t>
  </si>
  <si>
    <t>PILARES DE ARRANQUE</t>
  </si>
  <si>
    <t>PILARES - TÉRREO</t>
  </si>
  <si>
    <t>VIGAS - TÉRREO</t>
  </si>
  <si>
    <t>VIGAS BALDRAME</t>
  </si>
  <si>
    <t>ALVENARIAS DE VEDAÇÕES E DIVISÓRIAS</t>
  </si>
  <si>
    <t>VERGAS E CONTRAVERGAS</t>
  </si>
  <si>
    <t>PEITORIS</t>
  </si>
  <si>
    <t>LAJES - TÉRREO</t>
  </si>
  <si>
    <t>PILARES - RESERVATÓRIO</t>
  </si>
  <si>
    <t>VIGAS - RESERVATÓRIO</t>
  </si>
  <si>
    <t>LAJES - RESERVATÓRIO</t>
  </si>
  <si>
    <t>ESTRUTURA EM MADEIRA</t>
  </si>
  <si>
    <t>TELHAMENTO</t>
  </si>
  <si>
    <t>PORTAS</t>
  </si>
  <si>
    <t>JANELAS</t>
  </si>
  <si>
    <t>FOSSA, FILTRO E SUMIDOURO</t>
  </si>
  <si>
    <t>ESGOTO - TUBOS E CONEXÕES</t>
  </si>
  <si>
    <t>ESGOTO - RALOS E CAIXAS</t>
  </si>
  <si>
    <t>ÁGUA FRIA - REGISTROS E VÁLVULAS</t>
  </si>
  <si>
    <t>APARELHOS SANITÁRIOS, LOUÇAS E METAIS</t>
  </si>
  <si>
    <t>ENTRADA DE ENERGIA</t>
  </si>
  <si>
    <t>QUADROS E DISJUNTORES</t>
  </si>
  <si>
    <t>LUMINÁRIAS</t>
  </si>
  <si>
    <t>EXTERNO</t>
  </si>
  <si>
    <t>INTERNO</t>
  </si>
  <si>
    <t>PISOS</t>
  </si>
  <si>
    <t>EXTERNA</t>
  </si>
  <si>
    <t>INTERNA</t>
  </si>
  <si>
    <t>PAREDES</t>
  </si>
  <si>
    <t>99810</t>
  </si>
  <si>
    <t>99813</t>
  </si>
  <si>
    <t>99816</t>
  </si>
  <si>
    <t>99818</t>
  </si>
  <si>
    <t>99821</t>
  </si>
  <si>
    <t>88415</t>
  </si>
  <si>
    <t>95626</t>
  </si>
  <si>
    <t>88485</t>
  </si>
  <si>
    <t>104641</t>
  </si>
  <si>
    <t>102193</t>
  </si>
  <si>
    <t>102197</t>
  </si>
  <si>
    <t>102218</t>
  </si>
  <si>
    <t>96111</t>
  </si>
  <si>
    <t>96121</t>
  </si>
  <si>
    <t>101965</t>
  </si>
  <si>
    <t>96624</t>
  </si>
  <si>
    <t>94990</t>
  </si>
  <si>
    <t>87894</t>
  </si>
  <si>
    <t>87794</t>
  </si>
  <si>
    <t>PISOS - SOBRE LAJE</t>
  </si>
  <si>
    <t>PISOS - SOBRE ATERRO</t>
  </si>
  <si>
    <t>88471</t>
  </si>
  <si>
    <t>97083</t>
  </si>
  <si>
    <t>97113</t>
  </si>
  <si>
    <t>87700</t>
  </si>
  <si>
    <t>87879</t>
  </si>
  <si>
    <t>87529</t>
  </si>
  <si>
    <t>PISOS - CERÂMICOS</t>
  </si>
  <si>
    <t>87248</t>
  </si>
  <si>
    <t>PAREDES - ARGAMASSADOS</t>
  </si>
  <si>
    <t>PAREDES - CERÂMICOS</t>
  </si>
  <si>
    <t>87265</t>
  </si>
  <si>
    <t>88648</t>
  </si>
  <si>
    <t>101489</t>
  </si>
  <si>
    <t>41195</t>
  </si>
  <si>
    <t>100578</t>
  </si>
  <si>
    <t>PONTOS ELÉTRICOS</t>
  </si>
  <si>
    <t>COMPOSIÇÃO</t>
  </si>
  <si>
    <t>002</t>
  </si>
  <si>
    <t>003</t>
  </si>
  <si>
    <t>004</t>
  </si>
  <si>
    <t>005</t>
  </si>
  <si>
    <t>101876</t>
  </si>
  <si>
    <t>93654</t>
  </si>
  <si>
    <t>93666</t>
  </si>
  <si>
    <t>93665</t>
  </si>
  <si>
    <t>103782</t>
  </si>
  <si>
    <t>97607</t>
  </si>
  <si>
    <t>98052</t>
  </si>
  <si>
    <t>98058</t>
  </si>
  <si>
    <t>98062</t>
  </si>
  <si>
    <t>93358</t>
  </si>
  <si>
    <t>101616</t>
  </si>
  <si>
    <t>93382</t>
  </si>
  <si>
    <t>89711</t>
  </si>
  <si>
    <t>89712</t>
  </si>
  <si>
    <t>89713</t>
  </si>
  <si>
    <t>89714</t>
  </si>
  <si>
    <t>89744</t>
  </si>
  <si>
    <t>89724</t>
  </si>
  <si>
    <t>89726</t>
  </si>
  <si>
    <t>89731</t>
  </si>
  <si>
    <t>89732</t>
  </si>
  <si>
    <t>89785</t>
  </si>
  <si>
    <t>104345</t>
  </si>
  <si>
    <t>89784</t>
  </si>
  <si>
    <t>104328</t>
  </si>
  <si>
    <t>89710</t>
  </si>
  <si>
    <t>RESERVATÓRIO</t>
  </si>
  <si>
    <t>ÁGUA FRIA - TUBOS E CONEXÕES</t>
  </si>
  <si>
    <t>ENTRADA DE ÁGUA - CORSAN</t>
  </si>
  <si>
    <t>97741</t>
  </si>
  <si>
    <t>001</t>
  </si>
  <si>
    <t>102605</t>
  </si>
  <si>
    <t>94797</t>
  </si>
  <si>
    <t>94489</t>
  </si>
  <si>
    <t>89985</t>
  </si>
  <si>
    <t>94495</t>
  </si>
  <si>
    <t>97902</t>
  </si>
  <si>
    <t>98102</t>
  </si>
  <si>
    <t>86931</t>
  </si>
  <si>
    <t>100849</t>
  </si>
  <si>
    <t>86939</t>
  </si>
  <si>
    <t>86920</t>
  </si>
  <si>
    <t>86934</t>
  </si>
  <si>
    <t>94569</t>
  </si>
  <si>
    <t>94570</t>
  </si>
  <si>
    <t>94572</t>
  </si>
  <si>
    <t>36888</t>
  </si>
  <si>
    <t>91314</t>
  </si>
  <si>
    <t>94805</t>
  </si>
  <si>
    <t>4914</t>
  </si>
  <si>
    <t>98557</t>
  </si>
  <si>
    <t>92560</t>
  </si>
  <si>
    <t>100368</t>
  </si>
  <si>
    <t>92543</t>
  </si>
  <si>
    <t>94207</t>
  </si>
  <si>
    <t>94223</t>
  </si>
  <si>
    <t>94231</t>
  </si>
  <si>
    <t>100327</t>
  </si>
  <si>
    <t>103355</t>
  </si>
  <si>
    <t>105024</t>
  </si>
  <si>
    <t>105030</t>
  </si>
  <si>
    <t>103689</t>
  </si>
  <si>
    <t>99059</t>
  </si>
  <si>
    <t>96521</t>
  </si>
  <si>
    <t>101619</t>
  </si>
  <si>
    <t>96535</t>
  </si>
  <si>
    <t>96546</t>
  </si>
  <si>
    <t>104919</t>
  </si>
  <si>
    <t>006</t>
  </si>
  <si>
    <t>101175</t>
  </si>
  <si>
    <t>95584</t>
  </si>
  <si>
    <t>96534</t>
  </si>
  <si>
    <t>96543</t>
  </si>
  <si>
    <t>007</t>
  </si>
  <si>
    <t>104111</t>
  </si>
  <si>
    <t>104108</t>
  </si>
  <si>
    <t>103672</t>
  </si>
  <si>
    <t>92439</t>
  </si>
  <si>
    <t>92479</t>
  </si>
  <si>
    <t>92761</t>
  </si>
  <si>
    <t>92759</t>
  </si>
  <si>
    <t>92762</t>
  </si>
  <si>
    <t>92763</t>
  </si>
  <si>
    <t>103675</t>
  </si>
  <si>
    <t>EMBASAMENTO</t>
  </si>
  <si>
    <t>101159</t>
  </si>
  <si>
    <t>008</t>
  </si>
  <si>
    <t>34449</t>
  </si>
  <si>
    <t>33</t>
  </si>
  <si>
    <t>34</t>
  </si>
  <si>
    <t>90777</t>
  </si>
  <si>
    <t>100309</t>
  </si>
  <si>
    <t>2 HORAS SEMANAIS, 4 SEMANAS, 12 MESES</t>
  </si>
  <si>
    <t>PROGRAMA "A CASA É SUA" (30 UH)</t>
  </si>
  <si>
    <t>1 PLACA</t>
  </si>
  <si>
    <t>92764</t>
  </si>
  <si>
    <t>RENATA CENCI SIGNOR</t>
  </si>
  <si>
    <t>093177</t>
  </si>
  <si>
    <t>14426537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</si>
</sst>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167" fontId="0" fillId="0" borderId="29" xfId="0" applyNumberFormat="1" applyBorder="1" applyAlignment="1">
      <alignment horizontal="left"/>
    </xf>
    <xf numFmtId="0" fontId="0" fillId="16" borderId="106" xfId="0" applyFill="1" applyBorder="1" applyAlignment="1" applyProtection="1">
      <alignment horizontal="left" vertical="center"/>
      <protection locked="0"/>
    </xf>
    <xf numFmtId="0" fontId="0" fillId="16" borderId="109"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39" fillId="0" borderId="0" xfId="0" applyFont="1" applyAlignment="1">
      <alignment horizontal="center" textRotation="90"/>
    </xf>
    <xf numFmtId="0" fontId="46" fillId="0" borderId="0" xfId="34" applyFont="1" applyAlignment="1">
      <alignment horizontal="center" wrapText="1"/>
    </xf>
    <xf numFmtId="0" fontId="0" fillId="0" borderId="30" xfId="0" applyBorder="1" applyAlignment="1">
      <alignment horizontal="center"/>
    </xf>
    <xf numFmtId="0" fontId="24" fillId="0" borderId="13" xfId="0" applyFont="1" applyBorder="1" applyAlignment="1">
      <alignment horizontal="center"/>
    </xf>
    <xf numFmtId="0" fontId="46" fillId="0" borderId="45" xfId="34" applyFont="1" applyBorder="1" applyAlignment="1">
      <alignment horizontal="left"/>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33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1"/>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1"/>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0" y="971526"/>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0" y="971526"/>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F5kt9mWMSbhexX/eoSoJWW8bnoyE36PZhxwgTjmNz1iP/y2y4PRW9Mx1VSUe4Ts1qc5aPdTI+OfYUpAwV2sxRg==" saltValue="ABLYZf9+ruyG7B5dxspDP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96" t="str">
        <f>CHOOSE(MATCH(Objeto,{"PM","PO"}),"PLANILHA MÚLTIPLA ","PLANILHA ORÇAMENTÁRIA ")&amp; Versao</f>
        <v>PLANILHA MÚLTIPLA v3.16</v>
      </c>
      <c r="F2" s="696"/>
      <c r="G2" s="696"/>
      <c r="H2" s="408"/>
      <c r="I2" s="406"/>
      <c r="J2" s="491" t="s">
        <v>1004</v>
      </c>
      <c r="K2" s="510" t="b">
        <v>1</v>
      </c>
    </row>
    <row r="3" spans="1:15" ht="22.5" customHeight="1" x14ac:dyDescent="0.2">
      <c r="A3" s="404"/>
      <c r="B3" s="406"/>
      <c r="C3" s="406"/>
      <c r="D3" s="406"/>
      <c r="E3" s="696"/>
      <c r="F3" s="696"/>
      <c r="G3" s="696"/>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95" t="str">
        <f>IF($O$3&lt;&gt;2,"DOCUMENTAÇÃO DA PROPOSTA","PROPOSTA: Para visualizar/preencher esta seção, altere o TIPO DE ORÇAMENTO para 'Proposto'")</f>
        <v>DOCUMENTAÇÃO DA PROPOSTA</v>
      </c>
      <c r="C8" s="695"/>
      <c r="D8" s="695"/>
      <c r="E8" s="695"/>
      <c r="F8" s="695"/>
      <c r="G8" s="695"/>
      <c r="H8" s="695"/>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03-2026.xlsm.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95" t="str">
        <f>IF($O$3&lt;&gt;2,"PÓS-LICITADO: Para visualizar/preencher esta seção, altere o TIPO DE ORÇAMENTO para 'Licitado'","RESULTADO DO PROCESSO LICITATÓRIO")</f>
        <v>PÓS-LICITADO: Para visualizar/preencher esta seção, altere o TIPO DE ORÇAMENTO para 'Licitado'</v>
      </c>
      <c r="C16" s="695"/>
      <c r="D16" s="695"/>
      <c r="E16" s="695"/>
      <c r="F16" s="695"/>
      <c r="G16" s="695"/>
      <c r="H16" s="695"/>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95" t="str">
        <f>IF($O$3&lt;&gt;2,"ACOMPANHAMENTO: Para visualizar/preencher esta seção, altere o TIPO DE ORÇAMENTO para 'Licitado'","ACOMPANHAMENTO DO EMPREENDIMENTO")</f>
        <v>ACOMPANHAMENTO: Para visualizar/preencher esta seção, altere o TIPO DE ORÇAMENTO para 'Licitado'</v>
      </c>
      <c r="C20" s="695"/>
      <c r="D20" s="695"/>
      <c r="E20" s="695"/>
      <c r="F20" s="695"/>
      <c r="G20" s="695"/>
      <c r="H20" s="695"/>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n+mzjqtuy6xea2mQPGlHNBAHXGPounq6TWtMcBaRtgiE/orGzdmbKH2PaDS0kB2TjTpBLmZ0lD5H5tg0j+orA==" saltValue="Mw9QpoqxSfhfHTeCBeQfog==" spinCount="100000" sheet="1" objects="1" scenarios="1" autoFilter="0"/>
  <mergeCells count="4">
    <mergeCell ref="B20:H20"/>
    <mergeCell ref="B8:H8"/>
    <mergeCell ref="E2:G3"/>
    <mergeCell ref="B16:H16"/>
  </mergeCells>
  <phoneticPr fontId="38" type="noConversion"/>
  <conditionalFormatting sqref="C10:G14">
    <cfRule type="expression" dxfId="1254" priority="70" stopIfTrue="1">
      <formula>TIPOORCAMENTO="Licitado"</formula>
    </cfRule>
  </conditionalFormatting>
  <conditionalFormatting sqref="C18:G18 E22:E24">
    <cfRule type="expression" dxfId="1253" priority="71" stopIfTrue="1">
      <formula>TIPOORCAMENTO&lt;&gt;"Licitado"</formula>
    </cfRule>
  </conditionalFormatting>
  <conditionalFormatting sqref="C22">
    <cfRule type="expression" dxfId="1252" priority="73" stopIfTrue="1">
      <formula>OR(TIPOORCAMENTO&lt;&gt;"Licitado",ACOMPANHAMENTO&lt;&gt;"PLE")</formula>
    </cfRule>
  </conditionalFormatting>
  <conditionalFormatting sqref="G22">
    <cfRule type="expression" dxfId="1251" priority="74" stopIfTrue="1">
      <formula>OR(TIPOORCAMENTO&lt;&gt;"Licitado",ACOMPANHAMENTO&lt;&gt;"BM")</formula>
    </cfRule>
  </conditionalFormatting>
  <conditionalFormatting sqref="B16:H16 B20:H20">
    <cfRule type="expression" dxfId="1250" priority="599" stopIfTrue="1">
      <formula>$O$3&lt;&gt;2</formula>
    </cfRule>
  </conditionalFormatting>
  <conditionalFormatting sqref="B8:H8">
    <cfRule type="expression" dxfId="1249"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145" zoomScaleNormal="145"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98" t="s">
        <v>97</v>
      </c>
      <c r="O1" s="698"/>
      <c r="P1" s="698"/>
      <c r="Q1" s="698"/>
      <c r="R1" s="698"/>
      <c r="S1" s="698"/>
      <c r="T1" s="698"/>
      <c r="U1" s="698"/>
      <c r="V1" s="698"/>
      <c r="W1" s="698"/>
      <c r="X1" s="698"/>
      <c r="Y1" s="698"/>
      <c r="Z1" s="698"/>
      <c r="AA1" s="698"/>
      <c r="AB1" s="698"/>
      <c r="AC1" s="698"/>
      <c r="AD1" s="698"/>
      <c r="AE1" s="698"/>
      <c r="AF1" s="698"/>
      <c r="AG1" s="698"/>
      <c r="AH1" s="698"/>
      <c r="AI1" s="698"/>
      <c r="AJ1" s="698"/>
      <c r="AK1" s="698"/>
      <c r="AL1" s="698"/>
      <c r="AM1" s="698"/>
      <c r="AN1" s="698"/>
      <c r="AO1" s="698"/>
      <c r="AP1" s="698"/>
      <c r="AQ1" s="698"/>
      <c r="AR1" s="698"/>
      <c r="AS1" s="698"/>
      <c r="AT1" s="698"/>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97" t="s">
        <v>119</v>
      </c>
      <c r="C3" s="697"/>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2400000</v>
      </c>
      <c r="D9" s="563" t="str">
        <f t="shared" ca="1" si="0"/>
        <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7" t="s">
        <v>220</v>
      </c>
      <c r="C15" s="697"/>
      <c r="D15" s="562" t="str">
        <f ca="1">IF(COUNTIF(D16:D19,"◄")=0,"","Falta preencher a linha "&amp;MATCH("◄",D16:D19,0)+ROW(D15))</f>
        <v/>
      </c>
      <c r="L15" s="12" t="s">
        <v>112</v>
      </c>
      <c r="AV15" t="s">
        <v>221</v>
      </c>
      <c r="AW15" t="s">
        <v>222</v>
      </c>
    </row>
    <row r="16" spans="2:49" x14ac:dyDescent="0.2">
      <c r="B16" s="24" t="s">
        <v>223</v>
      </c>
      <c r="C16" s="25" t="s">
        <v>1011</v>
      </c>
      <c r="D16" s="563" t="str">
        <f t="shared" ref="D16:D19" ca="1" si="1">IF(OFFSET(D16,0,-1)="","◄","")</f>
        <v/>
      </c>
      <c r="L16" s="12" t="s">
        <v>113</v>
      </c>
      <c r="AV16" t="s">
        <v>224</v>
      </c>
      <c r="AW16" t="s">
        <v>225</v>
      </c>
    </row>
    <row r="17" spans="2:49" x14ac:dyDescent="0.2">
      <c r="B17" s="17" t="s">
        <v>226</v>
      </c>
      <c r="C17" s="26" t="s">
        <v>1195</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46082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97" t="s">
        <v>237</v>
      </c>
      <c r="C21" s="697"/>
      <c r="D21" s="562" t="str">
        <f ca="1">IF(COUNTIF(D22:D25,"◄")=0,"","Falta preencher a linha "&amp;MATCH("◄",D22:D25,0)+ROW(D21))</f>
        <v/>
      </c>
      <c r="L21" s="12"/>
      <c r="AV21" t="s">
        <v>238</v>
      </c>
      <c r="AW21" t="s">
        <v>239</v>
      </c>
    </row>
    <row r="22" spans="2:49" x14ac:dyDescent="0.2">
      <c r="B22" s="15" t="s">
        <v>240</v>
      </c>
      <c r="C22" s="31" t="s">
        <v>1198</v>
      </c>
      <c r="D22" s="563" t="str">
        <f t="shared" ref="D22:D24" ca="1" si="2">IF(OFFSET(D22,0,-1)="","◄","")</f>
        <v/>
      </c>
      <c r="AV22" t="s">
        <v>241</v>
      </c>
      <c r="AW22" t="s">
        <v>242</v>
      </c>
    </row>
    <row r="23" spans="2:49" x14ac:dyDescent="0.2">
      <c r="B23" s="17" t="s">
        <v>243</v>
      </c>
      <c r="C23" s="18" t="s">
        <v>1199</v>
      </c>
      <c r="D23" s="563" t="str">
        <f t="shared" ca="1" si="2"/>
        <v/>
      </c>
      <c r="AV23" t="s">
        <v>244</v>
      </c>
      <c r="AW23" t="s">
        <v>245</v>
      </c>
    </row>
    <row r="24" spans="2:49" x14ac:dyDescent="0.2">
      <c r="B24" s="17" t="s">
        <v>246</v>
      </c>
      <c r="C24" s="18" t="s">
        <v>1200</v>
      </c>
      <c r="D24" s="563" t="str">
        <f t="shared" ca="1" si="2"/>
        <v/>
      </c>
      <c r="AV24" t="s">
        <v>247</v>
      </c>
      <c r="AW24" t="s">
        <v>248</v>
      </c>
    </row>
    <row r="25" spans="2:49" ht="13.5" thickBot="1" x14ac:dyDescent="0.25">
      <c r="B25" s="21" t="s">
        <v>249</v>
      </c>
      <c r="C25" s="32">
        <f ca="1">TODAY()</f>
        <v>46190</v>
      </c>
      <c r="D25" s="563" t="s">
        <v>250</v>
      </c>
      <c r="AV25" t="s">
        <v>251</v>
      </c>
      <c r="AW25" t="s">
        <v>252</v>
      </c>
    </row>
    <row r="26" spans="2:49" ht="13.5" thickBot="1" x14ac:dyDescent="0.25">
      <c r="AV26" t="s">
        <v>253</v>
      </c>
      <c r="AW26" t="s">
        <v>254</v>
      </c>
    </row>
    <row r="27" spans="2:49" ht="15.75" thickBot="1" x14ac:dyDescent="0.3">
      <c r="B27" s="697" t="s">
        <v>255</v>
      </c>
      <c r="C27" s="697"/>
      <c r="D27" s="562" t="str">
        <f ca="1">IF(COUNTIF(D28:D29,"◄")=0,"","Falta preencher a linha "&amp;MATCH("◄",D28:D29,0)+ROW(D27))</f>
        <v/>
      </c>
      <c r="AV27" t="s">
        <v>256</v>
      </c>
      <c r="AW27" t="s">
        <v>257</v>
      </c>
    </row>
    <row r="28" spans="2:49" x14ac:dyDescent="0.2">
      <c r="B28" s="13" t="s">
        <v>240</v>
      </c>
      <c r="C28" s="33" t="s">
        <v>1009</v>
      </c>
      <c r="D28" s="563" t="str">
        <f t="shared" ref="D28:D29" ca="1" si="3">IF(OFFSET(D28,0,-1)="","◄","")</f>
        <v/>
      </c>
      <c r="AV28" t="s">
        <v>258</v>
      </c>
      <c r="AW28" t="s">
        <v>259</v>
      </c>
    </row>
    <row r="29" spans="2:49" ht="13.5" thickBot="1" x14ac:dyDescent="0.25">
      <c r="B29" s="21" t="s">
        <v>260</v>
      </c>
      <c r="C29" s="34" t="s">
        <v>1010</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7" t="s">
        <v>273</v>
      </c>
      <c r="C35" s="697"/>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7" t="s">
        <v>303</v>
      </c>
      <c r="C46" s="697"/>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97" t="s">
        <v>314</v>
      </c>
      <c r="C50" s="697"/>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7" t="s">
        <v>337</v>
      </c>
      <c r="C59" s="697"/>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HNE5We8fKrlBRiVMNVwjy9Kse/JBgEzTuv/8aq7Xs4pbEVgyUPIhv6zYWDZEYJ/1c5V+RBRtfjWDo7mw+2xouA==" saltValue="h6um2TW4IYH39tibPgM+A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248" priority="2" stopIfTrue="1">
      <formula>CAIXA.Modo=FALSE</formula>
    </cfRule>
  </conditionalFormatting>
  <conditionalFormatting sqref="B59:C61">
    <cfRule type="expression" dxfId="1247"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115" zoomScaleNormal="115"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92" t="s">
        <v>644</v>
      </c>
      <c r="S1" s="692"/>
    </row>
    <row r="2" spans="1:21" x14ac:dyDescent="0.2">
      <c r="A2" s="49" t="s">
        <v>645</v>
      </c>
      <c r="B2" s="53" t="s">
        <v>646</v>
      </c>
      <c r="C2" s="49" t="str">
        <f t="shared" ref="C2:C49" si="0">CONCATENATE(A2,"-",B2)</f>
        <v>Construção e Reforma de Edifícios-AC</v>
      </c>
      <c r="E2" s="54">
        <v>0.03</v>
      </c>
      <c r="F2" s="54">
        <v>0.04</v>
      </c>
      <c r="G2" s="54">
        <v>5.5E-2</v>
      </c>
      <c r="R2" s="693" t="s">
        <v>647</v>
      </c>
      <c r="S2" s="693"/>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18" t="s">
        <v>650</v>
      </c>
      <c r="K4" s="718"/>
      <c r="L4" s="718" t="s">
        <v>651</v>
      </c>
      <c r="M4" s="718"/>
      <c r="N4" s="718" t="s">
        <v>652</v>
      </c>
      <c r="O4" s="718"/>
      <c r="P4" s="718"/>
      <c r="Q4" s="718"/>
      <c r="R4" s="718"/>
      <c r="S4" s="718"/>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21">
        <f>Import.CR</f>
        <v>0</v>
      </c>
      <c r="K5" s="721"/>
      <c r="L5" s="721">
        <f>Import.TransfereGOV</f>
        <v>0</v>
      </c>
      <c r="M5" s="721"/>
      <c r="N5" s="721" t="str">
        <f>Import.Proponente</f>
        <v>MUNICIPIO DE SARANDI/RS</v>
      </c>
      <c r="O5" s="721"/>
      <c r="P5" s="721"/>
      <c r="Q5" s="721"/>
      <c r="R5" s="721"/>
      <c r="S5" s="721"/>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0"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0"/>
      <c r="J7" s="718" t="s">
        <v>657</v>
      </c>
      <c r="K7" s="718"/>
      <c r="L7" s="718"/>
      <c r="M7" s="718"/>
      <c r="N7" s="718"/>
      <c r="O7" s="718"/>
      <c r="P7" s="718"/>
      <c r="Q7" s="718"/>
      <c r="R7" s="718"/>
      <c r="S7" s="718"/>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0"/>
      <c r="J8" s="724" t="str">
        <f>Import.Apelido&amp;" / "&amp;Import.DescLote</f>
        <v>A CASA É SUA / PROGRAMA "A CASA É SUA" (30 UH)</v>
      </c>
      <c r="K8" s="724"/>
      <c r="L8" s="724"/>
      <c r="M8" s="724"/>
      <c r="N8" s="724"/>
      <c r="O8" s="724"/>
      <c r="P8" s="724"/>
      <c r="Q8" s="724"/>
      <c r="R8" s="724"/>
      <c r="S8" s="724"/>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0"/>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0"/>
      <c r="J10" s="725" t="s">
        <v>659</v>
      </c>
      <c r="K10" s="725"/>
      <c r="L10" s="725"/>
      <c r="M10" s="725"/>
      <c r="N10" s="725"/>
      <c r="O10" s="725"/>
      <c r="P10" s="725"/>
      <c r="Q10" s="725"/>
      <c r="R10" s="723">
        <v>1</v>
      </c>
      <c r="S10" s="723"/>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22" t="s">
        <v>661</v>
      </c>
      <c r="K11" s="722"/>
      <c r="L11" s="722"/>
      <c r="M11" s="722"/>
      <c r="N11" s="722"/>
      <c r="O11" s="722"/>
      <c r="P11" s="722"/>
      <c r="Q11" s="722"/>
      <c r="R11" s="723">
        <v>0.05</v>
      </c>
      <c r="S11" s="723"/>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20" t="s">
        <v>663</v>
      </c>
      <c r="K14" s="720"/>
      <c r="L14" s="720"/>
      <c r="M14" s="720"/>
      <c r="N14" s="720"/>
      <c r="O14" s="720"/>
      <c r="P14" s="720"/>
      <c r="Q14" s="720"/>
      <c r="R14" s="720"/>
      <c r="S14" s="720"/>
      <c r="U14" s="521" t="str">
        <f ca="1">IF(COUNTIF(ORÇAMENTO!$V$15:$V$240,BDI_1.Título)=0,"",IF(OR(Import.BDI.Tipo1="(SELECIONAR)",Import.BDI.Tipo1="",U17&lt;&gt;"",AND($J17&lt;&gt;$A$145,OR(S21="",S22="",AND($J17&lt;&gt;$A$146,OR(S23="",S24="")),S25="",S26=""))),"Falta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18" t="s">
        <v>664</v>
      </c>
      <c r="K16" s="718"/>
      <c r="L16" s="718"/>
      <c r="M16" s="718"/>
      <c r="N16" s="718"/>
      <c r="O16" s="718"/>
      <c r="P16" s="718"/>
      <c r="Q16" s="718"/>
      <c r="R16" s="718"/>
      <c r="S16" s="718"/>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19" t="s">
        <v>645</v>
      </c>
      <c r="K17" s="719"/>
      <c r="L17" s="719"/>
      <c r="M17" s="719"/>
      <c r="N17" s="719"/>
      <c r="O17" s="719"/>
      <c r="P17" s="719"/>
      <c r="Q17" s="719"/>
      <c r="R17" s="719"/>
      <c r="S17" s="719"/>
      <c r="T17" s="563" t="str">
        <f ca="1">IF(U17="","","◄")</f>
        <v/>
      </c>
      <c r="U17" s="562" t="str">
        <f ca="1">IF(AND(OR(S29&gt;0,COUNTIF(ORÇAMENTO!$V$15:$V$240,BDI_1.Título)&gt;0),OR(Import.BDI.Tipo1="(SELECIONAR)",Import.BDI.Tipo1="")),"Selecione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17" t="s">
        <v>666</v>
      </c>
      <c r="K19" s="717"/>
      <c r="L19" s="717"/>
      <c r="M19" s="717"/>
      <c r="N19" s="717"/>
      <c r="O19" s="717"/>
      <c r="P19" s="717"/>
      <c r="Q19" s="717"/>
      <c r="R19" s="717" t="s">
        <v>667</v>
      </c>
      <c r="S19" s="709" t="s">
        <v>668</v>
      </c>
      <c r="U19" s="709" t="s">
        <v>669</v>
      </c>
      <c r="V19" s="709"/>
      <c r="W19" s="709"/>
      <c r="X19" s="716" t="s">
        <v>670</v>
      </c>
      <c r="Y19" s="716" t="s">
        <v>671</v>
      </c>
      <c r="Z19" s="716"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17"/>
      <c r="K20" s="717"/>
      <c r="L20" s="717"/>
      <c r="M20" s="717"/>
      <c r="N20" s="717"/>
      <c r="O20" s="717"/>
      <c r="P20" s="717"/>
      <c r="Q20" s="717"/>
      <c r="R20" s="717"/>
      <c r="S20" s="709"/>
      <c r="U20" s="709"/>
      <c r="V20" s="709"/>
      <c r="W20" s="709"/>
      <c r="X20" s="716"/>
      <c r="Y20" s="716"/>
      <c r="Z20" s="716"/>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07" t="str">
        <f>IF($J$17=$A$146,"Encargos Sociais incidentes sobre a mão de obra","Administração Central")</f>
        <v>Administração Central</v>
      </c>
      <c r="K21" s="707"/>
      <c r="L21" s="707"/>
      <c r="M21" s="707"/>
      <c r="N21" s="707"/>
      <c r="O21" s="707"/>
      <c r="P21" s="707"/>
      <c r="Q21" s="707"/>
      <c r="R21" s="60" t="str">
        <f>IF($J17=$A$146,"K1","AC")</f>
        <v>AC</v>
      </c>
      <c r="S21" s="61">
        <v>0.03</v>
      </c>
      <c r="T21" s="572" t="str">
        <f ca="1">IF(AND($U$14&lt;&gt;"",$U$17="",R21&lt;&gt;"",S21=""),"◄","")</f>
        <v/>
      </c>
      <c r="U21" s="708" t="str">
        <f ca="1">IFERROR(IF(T21="◄","FALTA PREENCHER",IF(AND(OR(S21&gt;=X21,X21="-"),OR(S21&lt;=Z21,Z21="-")),"OK","FORA DO INTERVALO")),"-")</f>
        <v>OK</v>
      </c>
      <c r="V21" s="708"/>
      <c r="W21" s="708"/>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07" t="str">
        <f>IF($J$17=$A$146,"Administração Central da empresa ou consultoria - overhead","Seguro e Garantia")</f>
        <v>Seguro e Garantia</v>
      </c>
      <c r="K22" s="707"/>
      <c r="L22" s="707"/>
      <c r="M22" s="707"/>
      <c r="N22" s="707"/>
      <c r="O22" s="707"/>
      <c r="P22" s="707"/>
      <c r="Q22" s="707"/>
      <c r="R22" s="60" t="str">
        <f>IF($J17=$A$146,"K2","SG")</f>
        <v>SG</v>
      </c>
      <c r="S22" s="61">
        <v>8.0000000000000002E-3</v>
      </c>
      <c r="T22" s="572" t="str">
        <f t="shared" ref="T22:T26" ca="1" si="1">IF(AND($U$14&lt;&gt;"",$U$17="",R22&lt;&gt;"",S22=""),"◄","")</f>
        <v/>
      </c>
      <c r="U22" s="708" t="str">
        <f t="shared" ref="U22:U28" ca="1" si="2">IFERROR(IF(T22="◄","FALTA PREENCHER",IF(AND(OR(S22&gt;=X22,X22="-"),OR(S22&lt;=Z22,Z22="-")),"OK","FORA DO INTERVALO")),"-")</f>
        <v>OK</v>
      </c>
      <c r="V22" s="708"/>
      <c r="W22" s="708"/>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07" t="s">
        <v>942</v>
      </c>
      <c r="K23" s="707"/>
      <c r="L23" s="707"/>
      <c r="M23" s="707"/>
      <c r="N23" s="707"/>
      <c r="O23" s="707"/>
      <c r="P23" s="707"/>
      <c r="Q23" s="707"/>
      <c r="R23" s="60" t="str">
        <f>IF($J17=$A$146,"","R")</f>
        <v>R</v>
      </c>
      <c r="S23" s="61">
        <v>9.7000000000000003E-3</v>
      </c>
      <c r="T23" s="572" t="str">
        <f t="shared" ca="1" si="1"/>
        <v/>
      </c>
      <c r="U23" s="708" t="str">
        <f t="shared" ca="1" si="2"/>
        <v>OK</v>
      </c>
      <c r="V23" s="708"/>
      <c r="W23" s="708"/>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07" t="s">
        <v>943</v>
      </c>
      <c r="K24" s="707"/>
      <c r="L24" s="707"/>
      <c r="M24" s="707"/>
      <c r="N24" s="707"/>
      <c r="O24" s="707"/>
      <c r="P24" s="707"/>
      <c r="Q24" s="707"/>
      <c r="R24" s="60" t="str">
        <f>IF($J17=$A$146,"","DF")</f>
        <v>DF</v>
      </c>
      <c r="S24" s="61">
        <v>5.8999999999999999E-3</v>
      </c>
      <c r="T24" s="572" t="str">
        <f t="shared" ca="1" si="1"/>
        <v/>
      </c>
      <c r="U24" s="708" t="str">
        <f t="shared" ca="1" si="2"/>
        <v>OK</v>
      </c>
      <c r="V24" s="708"/>
      <c r="W24" s="708"/>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07" t="str">
        <f>IF($J$17=$A$146,"Margem bruta da empresa de consultoria","Lucro")</f>
        <v>Lucro</v>
      </c>
      <c r="K25" s="707"/>
      <c r="L25" s="707"/>
      <c r="M25" s="707"/>
      <c r="N25" s="707"/>
      <c r="O25" s="707"/>
      <c r="P25" s="707"/>
      <c r="Q25" s="707"/>
      <c r="R25" s="60" t="str">
        <f>IF($J17=$A$146,"K3","L")</f>
        <v>L</v>
      </c>
      <c r="S25" s="61">
        <v>6.1600000000000002E-2</v>
      </c>
      <c r="T25" s="572" t="str">
        <f t="shared" ca="1" si="1"/>
        <v/>
      </c>
      <c r="U25" s="708" t="str">
        <f t="shared" ca="1" si="2"/>
        <v>OK</v>
      </c>
      <c r="V25" s="708"/>
      <c r="W25" s="708"/>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07" t="s">
        <v>675</v>
      </c>
      <c r="K26" s="707"/>
      <c r="L26" s="707"/>
      <c r="M26" s="707"/>
      <c r="N26" s="707"/>
      <c r="O26" s="707"/>
      <c r="P26" s="707"/>
      <c r="Q26" s="707"/>
      <c r="R26" s="60" t="s">
        <v>456</v>
      </c>
      <c r="S26" s="61">
        <v>3.6499999999999998E-2</v>
      </c>
      <c r="T26" s="572" t="str">
        <f t="shared" ca="1" si="1"/>
        <v/>
      </c>
      <c r="U26" s="708" t="str">
        <f t="shared" ca="1" si="2"/>
        <v>OK</v>
      </c>
      <c r="V26" s="708"/>
      <c r="W26" s="708"/>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07" t="s">
        <v>676</v>
      </c>
      <c r="K27" s="707"/>
      <c r="L27" s="707"/>
      <c r="M27" s="707"/>
      <c r="N27" s="707"/>
      <c r="O27" s="707"/>
      <c r="P27" s="707"/>
      <c r="Q27" s="707"/>
      <c r="R27" s="60" t="s">
        <v>677</v>
      </c>
      <c r="S27" s="62">
        <f ca="1">IF(AND($J17&lt;&gt;$A$145,COUNTA(OFFSET(S20,1,0,6))&gt;0),$R$11*$R$10,0)</f>
        <v>0.05</v>
      </c>
      <c r="U27" s="708" t="str">
        <f t="shared" ca="1" si="2"/>
        <v>OK</v>
      </c>
      <c r="V27" s="708"/>
      <c r="W27" s="708"/>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07" t="s">
        <v>678</v>
      </c>
      <c r="K28" s="707"/>
      <c r="L28" s="707"/>
      <c r="M28" s="707"/>
      <c r="N28" s="707"/>
      <c r="O28" s="707"/>
      <c r="P28" s="707"/>
      <c r="Q28" s="707"/>
      <c r="R28" s="60" t="s">
        <v>679</v>
      </c>
      <c r="S28" s="62" cm="1">
        <f t="array" aca="1" ref="S28" ca="1">IF(BDI.Opcao&lt;&gt;"Desonerado",0,IF(AND($J17&lt;&gt;$A$145,COUNTA(OFFSET(S20,1,0,6))&gt;0),IF(YEAR(Import.DataBase)&lt;2025,4.5%,IF(YEAR(Import.DataBase)=2025,3.6%,IF(YEAR(Import.DataBase)=2026,2.7%,IF(YEAR(Import.DataBase)=2027,1.8%,0%)))),0%))</f>
        <v>0</v>
      </c>
      <c r="U28" s="708" t="str">
        <f t="shared" ca="1" si="2"/>
        <v>OK</v>
      </c>
      <c r="V28" s="708"/>
      <c r="W28" s="708"/>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07" t="s">
        <v>680</v>
      </c>
      <c r="K29" s="707"/>
      <c r="L29" s="707"/>
      <c r="M29" s="707"/>
      <c r="N29" s="707"/>
      <c r="O29" s="707"/>
      <c r="P29" s="707"/>
      <c r="Q29" s="707"/>
      <c r="R29" s="64" t="s">
        <v>656</v>
      </c>
      <c r="S29" s="62">
        <f ca="1">IF($J17=$A$145,0,ROUND((((1+S21+S22+S23)*(1+S24)*(1+S25)/(1-(S26+S27)))-1),4))</f>
        <v>0.22470000000000001</v>
      </c>
      <c r="U29" s="709" t="str">
        <f ca="1">IFERROR(IF(AND(OR(S29&gt;=X29,X29="-"),OR(S29&lt;=Z29,Z29="-")),"OK","FORA DO INTERVALO"),IF(S29=0,"OK","Selecione o Tipo de obra"))</f>
        <v>OK</v>
      </c>
      <c r="V29" s="709"/>
      <c r="W29" s="709"/>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0" t="s">
        <v>681</v>
      </c>
      <c r="K30" s="710"/>
      <c r="L30" s="710"/>
      <c r="M30" s="710"/>
      <c r="N30" s="710"/>
      <c r="O30" s="710"/>
      <c r="P30" s="710"/>
      <c r="Q30" s="710"/>
      <c r="R30" s="65" t="s">
        <v>682</v>
      </c>
      <c r="S30" s="66">
        <f ca="1">IF($J17=$A$145,0,ROUND((((1+S21+S22+S23)*(1+S24)*(1+S25)/(1-(S26+S27+S28)))-1),4))</f>
        <v>0.22470000000000001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1" t="str">
        <f ca="1">IF(U29&lt;&gt;"ok","Anexo: Relatório Técnico Circunstanciado justificando a adoção do percentual de cada parcela do BDI.","")</f>
        <v/>
      </c>
      <c r="L32" s="711"/>
      <c r="M32" s="711"/>
      <c r="N32" s="711"/>
      <c r="O32" s="711"/>
      <c r="P32" s="711"/>
      <c r="Q32" s="711"/>
      <c r="R32" s="711"/>
      <c r="S32" s="711"/>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12" t="s">
        <v>683</v>
      </c>
      <c r="K34" s="712"/>
      <c r="L34" s="712"/>
      <c r="M34" s="712"/>
      <c r="N34" s="712"/>
      <c r="O34" s="712"/>
      <c r="P34" s="712"/>
      <c r="Q34" s="712"/>
      <c r="R34" s="712"/>
      <c r="S34" s="712"/>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13" t="s">
        <v>684</v>
      </c>
      <c r="N35" s="714" t="str">
        <f>IF($J17=$A$146,"(1+K1+K2)*(1+K3)","(1+AC + S + R + G)*(1 + DF)*(1+L)")</f>
        <v>(1+AC + S + R + G)*(1 + DF)*(1+L)</v>
      </c>
      <c r="O35" s="714"/>
      <c r="P35" s="714"/>
      <c r="Q35" s="715"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13"/>
      <c r="N36" s="706" t="s">
        <v>686</v>
      </c>
      <c r="O36" s="706"/>
      <c r="P36" s="706"/>
      <c r="Q36" s="715"/>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0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700"/>
      <c r="L38" s="700"/>
      <c r="M38" s="700"/>
      <c r="N38" s="700"/>
      <c r="O38" s="700"/>
      <c r="P38" s="700"/>
      <c r="Q38" s="700"/>
      <c r="R38" s="700"/>
      <c r="S38" s="700"/>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00"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00"/>
      <c r="L40" s="700"/>
      <c r="M40" s="700"/>
      <c r="N40" s="700"/>
      <c r="O40" s="700"/>
      <c r="P40" s="700"/>
      <c r="Q40" s="700"/>
      <c r="R40" s="700"/>
      <c r="S40" s="700"/>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1"/>
      <c r="K43" s="701"/>
      <c r="L43" s="701"/>
      <c r="M43" s="701"/>
      <c r="N43" s="701"/>
      <c r="O43" s="701"/>
      <c r="P43" s="701"/>
      <c r="Q43" s="701"/>
      <c r="R43" s="701"/>
      <c r="S43" s="701"/>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SARANDI/RS</v>
      </c>
      <c r="K45" s="702"/>
      <c r="L45" s="702"/>
      <c r="M45" s="702"/>
      <c r="P45" s="703">
        <f ca="1">DADOS!$C$25</f>
        <v>46190</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99" t="s">
        <v>696</v>
      </c>
      <c r="K49" s="699"/>
      <c r="L49" s="699"/>
      <c r="M49" s="699"/>
    </row>
    <row r="50" spans="1:26" ht="14.25" x14ac:dyDescent="0.2">
      <c r="B50" s="58"/>
      <c r="E50" s="54"/>
      <c r="F50" s="54"/>
      <c r="G50" s="54"/>
      <c r="I50" t="s">
        <v>536</v>
      </c>
      <c r="J50" s="77" t="s">
        <v>240</v>
      </c>
      <c r="K50" s="78" t="str">
        <f t="array" ref="K50:K52">Import.RespOrçamento</f>
        <v>RENATA CENCI SIGNOR</v>
      </c>
      <c r="L50" s="79"/>
      <c r="M50" s="79"/>
      <c r="N50" s="76"/>
    </row>
    <row r="51" spans="1:26" ht="14.25" x14ac:dyDescent="0.2">
      <c r="A51"/>
      <c r="B51"/>
      <c r="C51"/>
      <c r="D51"/>
      <c r="E51"/>
      <c r="F51"/>
      <c r="G51"/>
      <c r="I51" t="s">
        <v>536</v>
      </c>
      <c r="J51" s="77" t="s">
        <v>243</v>
      </c>
      <c r="K51" s="78" t="str">
        <v>093177</v>
      </c>
      <c r="L51" s="79"/>
      <c r="M51" s="79"/>
      <c r="N51" s="76"/>
    </row>
    <row r="52" spans="1:26" ht="14.25" x14ac:dyDescent="0.2">
      <c r="A52"/>
      <c r="B52"/>
      <c r="C52"/>
      <c r="D52"/>
      <c r="E52"/>
      <c r="F52"/>
      <c r="G52"/>
      <c r="I52" t="s">
        <v>536</v>
      </c>
      <c r="J52" s="77" t="s">
        <v>246</v>
      </c>
      <c r="K52" s="78" t="str">
        <v>14426537</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720" t="s">
        <v>697</v>
      </c>
      <c r="K54" s="720"/>
      <c r="L54" s="720"/>
      <c r="M54" s="720"/>
      <c r="N54" s="720"/>
      <c r="O54" s="720"/>
      <c r="P54" s="720"/>
      <c r="Q54" s="720"/>
      <c r="R54" s="720"/>
      <c r="S54" s="720"/>
      <c r="U54" s="521" t="str">
        <f>IF(COUNTIF(ORÇAMENTO!$V$15:$V$240,BDI_2.Título)=0,"",IF(OR(Import.BDI.Tipo2="(SELECIONAR)",Import.BDI.Tipo2="",U57&lt;&gt;"",AND($J57&lt;&gt;$A$145,OR(S61="",S62="",AND($J57&lt;&gt;$A$146,OR(S63="",S64="")),S65="",S66=""))),"Falta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718" t="s">
        <v>664</v>
      </c>
      <c r="K56" s="718"/>
      <c r="L56" s="718"/>
      <c r="M56" s="718"/>
      <c r="N56" s="718"/>
      <c r="O56" s="718"/>
      <c r="P56" s="718"/>
      <c r="Q56" s="718"/>
      <c r="R56" s="718"/>
      <c r="S56" s="718"/>
    </row>
    <row r="57" spans="1:26" ht="15" hidden="1" x14ac:dyDescent="0.25">
      <c r="A57"/>
      <c r="B57"/>
      <c r="C57"/>
      <c r="D57"/>
      <c r="E57"/>
      <c r="F57"/>
      <c r="G57"/>
      <c r="I57" t="str">
        <f t="shared" ca="1" si="3"/>
        <v/>
      </c>
      <c r="J57" s="719" t="s">
        <v>139</v>
      </c>
      <c r="K57" s="719"/>
      <c r="L57" s="719"/>
      <c r="M57" s="719"/>
      <c r="N57" s="719"/>
      <c r="O57" s="719"/>
      <c r="P57" s="719"/>
      <c r="Q57" s="719"/>
      <c r="R57" s="719"/>
      <c r="S57" s="719"/>
      <c r="T57" s="563" t="str">
        <f ca="1">IF(U57="","","◄")</f>
        <v/>
      </c>
      <c r="U57" s="562" t="str">
        <f ca="1">IF(AND(OR(S69&gt;0,COUNTIF(ORÇAMENTO!$V$15:$V$240,BDI_2.Título)&gt;0),OR(Import.BDI.Tipo2="(SELECIONAR)",Import.BDI.Tipo2="")),"Selecione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17" t="s">
        <v>666</v>
      </c>
      <c r="K59" s="717"/>
      <c r="L59" s="717"/>
      <c r="M59" s="717"/>
      <c r="N59" s="717"/>
      <c r="O59" s="717"/>
      <c r="P59" s="717"/>
      <c r="Q59" s="717"/>
      <c r="R59" s="717" t="s">
        <v>667</v>
      </c>
      <c r="S59" s="709" t="s">
        <v>668</v>
      </c>
      <c r="U59" s="709" t="s">
        <v>669</v>
      </c>
      <c r="V59" s="709"/>
      <c r="W59" s="709"/>
      <c r="X59" s="716" t="s">
        <v>670</v>
      </c>
      <c r="Y59" s="716" t="s">
        <v>671</v>
      </c>
      <c r="Z59" s="716" t="s">
        <v>672</v>
      </c>
    </row>
    <row r="60" spans="1:26" ht="12.75" hidden="1" customHeight="1" x14ac:dyDescent="0.2">
      <c r="A60"/>
      <c r="B60"/>
      <c r="C60"/>
      <c r="D60"/>
      <c r="E60"/>
      <c r="F60"/>
      <c r="G60"/>
      <c r="I60" t="str">
        <f t="shared" ca="1" si="3"/>
        <v/>
      </c>
      <c r="J60" s="717"/>
      <c r="K60" s="717"/>
      <c r="L60" s="717"/>
      <c r="M60" s="717"/>
      <c r="N60" s="717"/>
      <c r="O60" s="717"/>
      <c r="P60" s="717"/>
      <c r="Q60" s="717"/>
      <c r="R60" s="717"/>
      <c r="S60" s="709"/>
      <c r="U60" s="709"/>
      <c r="V60" s="709"/>
      <c r="W60" s="709"/>
      <c r="X60" s="716"/>
      <c r="Y60" s="716"/>
      <c r="Z60" s="716"/>
    </row>
    <row r="61" spans="1:26" ht="15" hidden="1" customHeight="1" x14ac:dyDescent="0.2">
      <c r="A61"/>
      <c r="B61"/>
      <c r="C61"/>
      <c r="D61"/>
      <c r="E61"/>
      <c r="F61"/>
      <c r="G61"/>
      <c r="I61" t="str">
        <f t="shared" ca="1" si="3"/>
        <v/>
      </c>
      <c r="J61" s="707" t="str">
        <f>IF($J$57=$A$146,"Encargos Sociais incidentes sobre a mão de obra","Administração Central")</f>
        <v>Administração Central</v>
      </c>
      <c r="K61" s="707"/>
      <c r="L61" s="707"/>
      <c r="M61" s="707"/>
      <c r="N61" s="707"/>
      <c r="O61" s="707"/>
      <c r="P61" s="707"/>
      <c r="Q61" s="707"/>
      <c r="R61" s="60" t="str">
        <f>IF($J57=$A$146,"K1","AC")</f>
        <v>AC</v>
      </c>
      <c r="S61" s="61"/>
      <c r="T61" s="572" t="str">
        <f ca="1">IF(AND($U$54&lt;&gt;"",$U$57="",R61&lt;&gt;"",S61=""),"◄","")</f>
        <v/>
      </c>
      <c r="U61" s="708" t="str">
        <f ca="1">IFERROR(IF(T61="◄","FALTA PREENCHER",IF(AND(OR(S61&gt;=X61,X61="-"),OR(S61&lt;=Z61,Z61="-")),"OK","FORA DO INTERVALO")),"-")</f>
        <v>-</v>
      </c>
      <c r="V61" s="708"/>
      <c r="W61" s="708"/>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707" t="str">
        <f>IF($J$57=$A$146,"Administração Central da empresa ou consultoria - overhead","Seguro e Garantia")</f>
        <v>Seguro e Garantia</v>
      </c>
      <c r="K62" s="707"/>
      <c r="L62" s="707"/>
      <c r="M62" s="707"/>
      <c r="N62" s="707"/>
      <c r="O62" s="707"/>
      <c r="P62" s="707"/>
      <c r="Q62" s="707"/>
      <c r="R62" s="60" t="str">
        <f>IF($J57=$A$146,"K2","SG")</f>
        <v>SG</v>
      </c>
      <c r="S62" s="61"/>
      <c r="T62" s="572" t="str">
        <f t="shared" ref="T62:T66" ca="1" si="4">IF(AND($U$54&lt;&gt;"",$U$57="",R62&lt;&gt;"",S62=""),"◄","")</f>
        <v/>
      </c>
      <c r="U62" s="708" t="str">
        <f t="shared" ref="U62:U68" ca="1" si="5">IFERROR(IF(T62="◄","FALTA PREENCHER",IF(AND(OR(S62&gt;=X62,X62="-"),OR(S62&lt;=Z62,Z62="-")),"OK","FORA DO INTERVALO")),"-")</f>
        <v>-</v>
      </c>
      <c r="V62" s="708"/>
      <c r="W62" s="708"/>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707" t="s">
        <v>942</v>
      </c>
      <c r="K63" s="707"/>
      <c r="L63" s="707"/>
      <c r="M63" s="707"/>
      <c r="N63" s="707"/>
      <c r="O63" s="707"/>
      <c r="P63" s="707"/>
      <c r="Q63" s="707"/>
      <c r="R63" s="60" t="str">
        <f>IF($J57=$A$146,"","R")</f>
        <v>R</v>
      </c>
      <c r="S63" s="61"/>
      <c r="T63" s="572" t="str">
        <f t="shared" ca="1" si="4"/>
        <v/>
      </c>
      <c r="U63" s="708" t="str">
        <f t="shared" ca="1" si="5"/>
        <v>-</v>
      </c>
      <c r="V63" s="708"/>
      <c r="W63" s="708"/>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707" t="s">
        <v>943</v>
      </c>
      <c r="K64" s="707"/>
      <c r="L64" s="707"/>
      <c r="M64" s="707"/>
      <c r="N64" s="707"/>
      <c r="O64" s="707"/>
      <c r="P64" s="707"/>
      <c r="Q64" s="707"/>
      <c r="R64" s="60" t="str">
        <f>IF($J57=$A$146,"","DF")</f>
        <v>DF</v>
      </c>
      <c r="S64" s="61"/>
      <c r="T64" s="572" t="str">
        <f t="shared" ca="1" si="4"/>
        <v/>
      </c>
      <c r="U64" s="708" t="str">
        <f t="shared" ca="1" si="5"/>
        <v>-</v>
      </c>
      <c r="V64" s="708"/>
      <c r="W64" s="708"/>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707" t="str">
        <f>IF($J$57=$A$146,"Margem bruta da empresa de consultoria","Lucro")</f>
        <v>Lucro</v>
      </c>
      <c r="K65" s="707"/>
      <c r="L65" s="707"/>
      <c r="M65" s="707"/>
      <c r="N65" s="707"/>
      <c r="O65" s="707"/>
      <c r="P65" s="707"/>
      <c r="Q65" s="707"/>
      <c r="R65" s="60" t="str">
        <f>IF($J57=$A$146,"K3","L")</f>
        <v>L</v>
      </c>
      <c r="S65" s="61"/>
      <c r="T65" s="572" t="str">
        <f t="shared" ca="1" si="4"/>
        <v/>
      </c>
      <c r="U65" s="708" t="str">
        <f t="shared" ca="1" si="5"/>
        <v>-</v>
      </c>
      <c r="V65" s="708"/>
      <c r="W65" s="708"/>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707" t="s">
        <v>675</v>
      </c>
      <c r="K66" s="707"/>
      <c r="L66" s="707"/>
      <c r="M66" s="707"/>
      <c r="N66" s="707"/>
      <c r="O66" s="707"/>
      <c r="P66" s="707"/>
      <c r="Q66" s="707"/>
      <c r="R66" s="60" t="s">
        <v>456</v>
      </c>
      <c r="S66" s="61"/>
      <c r="T66" s="572" t="str">
        <f t="shared" ca="1" si="4"/>
        <v/>
      </c>
      <c r="U66" s="708" t="str">
        <f t="shared" ca="1" si="5"/>
        <v>FORA DO INTERVALO</v>
      </c>
      <c r="V66" s="708"/>
      <c r="W66" s="708"/>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707" t="s">
        <v>676</v>
      </c>
      <c r="K67" s="707"/>
      <c r="L67" s="707"/>
      <c r="M67" s="707"/>
      <c r="N67" s="707"/>
      <c r="O67" s="707"/>
      <c r="P67" s="707"/>
      <c r="Q67" s="707"/>
      <c r="R67" s="60" t="s">
        <v>677</v>
      </c>
      <c r="S67" s="62">
        <f ca="1">IF(AND($J57&lt;&gt;$A$145,COUNTA(OFFSET(S60,1,0,6))&gt;0),$R$11*$R$10,0)</f>
        <v>0</v>
      </c>
      <c r="U67" s="708" t="str">
        <f t="shared" ca="1" si="5"/>
        <v>OK</v>
      </c>
      <c r="V67" s="708"/>
      <c r="W67" s="708"/>
      <c r="X67" s="62">
        <v>0</v>
      </c>
      <c r="Y67" s="62">
        <v>2.5000000000000001E-2</v>
      </c>
      <c r="Z67" s="62">
        <v>0.05</v>
      </c>
    </row>
    <row r="68" spans="1:26" ht="15" hidden="1" customHeight="1" x14ac:dyDescent="0.2">
      <c r="A68"/>
      <c r="B68"/>
      <c r="C68"/>
      <c r="D68"/>
      <c r="E68"/>
      <c r="F68"/>
      <c r="G68"/>
      <c r="I68" t="str">
        <f t="shared" ca="1" si="3"/>
        <v/>
      </c>
      <c r="J68" s="707" t="s">
        <v>678</v>
      </c>
      <c r="K68" s="707"/>
      <c r="L68" s="707"/>
      <c r="M68" s="707"/>
      <c r="N68" s="707"/>
      <c r="O68" s="707"/>
      <c r="P68" s="707"/>
      <c r="Q68" s="707"/>
      <c r="R68" s="60" t="s">
        <v>679</v>
      </c>
      <c r="S68" s="62" cm="1">
        <f t="array" aca="1" ref="S68" ca="1">IF(BDI.Opcao&lt;&gt;"Desonerado",0,IF(AND($J57&lt;&gt;$A$145,COUNTA(OFFSET(S60,1,0,6))&gt;0),IF(YEAR(Import.DataBase)&lt;2025,4.5%,IF(YEAR(Import.DataBase)=2025,3.6%,IF(YEAR(Import.DataBase)=2026,2.7%,IF(YEAR(Import.DataBase)=2027,1.8%,0%)))),0%))</f>
        <v>0</v>
      </c>
      <c r="U68" s="708" t="str">
        <f t="shared" ca="1" si="5"/>
        <v>OK</v>
      </c>
      <c r="V68" s="708"/>
      <c r="W68" s="708"/>
      <c r="X68" s="63">
        <f ca="1">$S68</f>
        <v>0</v>
      </c>
      <c r="Y68" s="63">
        <f ca="1">$S68</f>
        <v>0</v>
      </c>
      <c r="Z68" s="63">
        <f ca="1">$S68</f>
        <v>0</v>
      </c>
    </row>
    <row r="69" spans="1:26" ht="15" hidden="1" customHeight="1" x14ac:dyDescent="0.2">
      <c r="A69"/>
      <c r="B69"/>
      <c r="C69"/>
      <c r="D69"/>
      <c r="E69"/>
      <c r="F69"/>
      <c r="G69"/>
      <c r="I69" t="str">
        <f t="shared" ca="1" si="3"/>
        <v/>
      </c>
      <c r="J69" s="707" t="s">
        <v>680</v>
      </c>
      <c r="K69" s="707"/>
      <c r="L69" s="707"/>
      <c r="M69" s="707"/>
      <c r="N69" s="707"/>
      <c r="O69" s="707"/>
      <c r="P69" s="707"/>
      <c r="Q69" s="707"/>
      <c r="R69" s="64" t="s">
        <v>656</v>
      </c>
      <c r="S69" s="62">
        <f ca="1">IF($J57=$A$145,0,ROUND((((1+S61+S62+S63)*(1+S64)*(1+S65)/(1-(S66+S67)))-1),4))</f>
        <v>0</v>
      </c>
      <c r="U69" s="709" t="str">
        <f ca="1">IFERROR(IF(AND(OR(S69&gt;=X69,X69="-"),OR(S69&lt;=Z69,Z69="-")),"OK","FORA DO INTERVALO"),IF(S69=0,"OK","Selecione o Tipo de obra"))</f>
        <v>OK</v>
      </c>
      <c r="V69" s="709"/>
      <c r="W69" s="709"/>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710" t="s">
        <v>681</v>
      </c>
      <c r="K70" s="710"/>
      <c r="L70" s="710"/>
      <c r="M70" s="710"/>
      <c r="N70" s="710"/>
      <c r="O70" s="710"/>
      <c r="P70" s="710"/>
      <c r="Q70" s="710"/>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711" t="str">
        <f ca="1">IF(U69&lt;&gt;"ok","Anexo: Relatório Técnico Circunstanciado justificando a adoção do percentual de cada parcela do BDI.","")</f>
        <v/>
      </c>
      <c r="L72" s="711"/>
      <c r="M72" s="711"/>
      <c r="N72" s="711"/>
      <c r="O72" s="711"/>
      <c r="P72" s="711"/>
      <c r="Q72" s="711"/>
      <c r="R72" s="711"/>
      <c r="S72" s="711"/>
    </row>
    <row r="73" spans="1:26" hidden="1" x14ac:dyDescent="0.2">
      <c r="A73"/>
      <c r="B73"/>
      <c r="C73"/>
      <c r="D73"/>
      <c r="E73"/>
      <c r="F73"/>
      <c r="G73"/>
      <c r="I73" t="str">
        <f t="shared" ca="1" si="3"/>
        <v/>
      </c>
    </row>
    <row r="74" spans="1:26" hidden="1" x14ac:dyDescent="0.2">
      <c r="A74"/>
      <c r="B74"/>
      <c r="C74"/>
      <c r="D74"/>
      <c r="E74"/>
      <c r="F74"/>
      <c r="G74"/>
      <c r="I74" t="str">
        <f t="shared" ca="1" si="3"/>
        <v/>
      </c>
      <c r="J74" s="712" t="s">
        <v>683</v>
      </c>
      <c r="K74" s="712"/>
      <c r="L74" s="712"/>
      <c r="M74" s="712"/>
      <c r="N74" s="712"/>
      <c r="O74" s="712"/>
      <c r="P74" s="712"/>
      <c r="Q74" s="712"/>
      <c r="R74" s="712"/>
      <c r="S74" s="712"/>
    </row>
    <row r="75" spans="1:26" ht="15.75" hidden="1" x14ac:dyDescent="0.25">
      <c r="A75"/>
      <c r="B75"/>
      <c r="C75"/>
      <c r="D75"/>
      <c r="E75"/>
      <c r="F75"/>
      <c r="G75"/>
      <c r="I75" t="str">
        <f t="shared" ca="1" si="3"/>
        <v/>
      </c>
      <c r="J75" s="68"/>
      <c r="K75" s="68"/>
      <c r="L75" s="68"/>
      <c r="M75" s="713" t="s">
        <v>684</v>
      </c>
      <c r="N75" s="714" t="str">
        <f>IF($J57=$A$146,"(1+K1+K2)*(1+K3)","(1+AC + S + R + G)*(1 + DF)*(1+L)")</f>
        <v>(1+AC + S + R + G)*(1 + DF)*(1+L)</v>
      </c>
      <c r="O75" s="714"/>
      <c r="P75" s="714"/>
      <c r="Q75" s="715" t="s">
        <v>685</v>
      </c>
      <c r="R75" s="68"/>
      <c r="S75" s="68"/>
    </row>
    <row r="76" spans="1:26" ht="15.75" hidden="1" x14ac:dyDescent="0.2">
      <c r="A76"/>
      <c r="B76"/>
      <c r="C76"/>
      <c r="D76"/>
      <c r="E76"/>
      <c r="F76"/>
      <c r="G76"/>
      <c r="I76" t="str">
        <f t="shared" ca="1" si="3"/>
        <v/>
      </c>
      <c r="J76" s="68"/>
      <c r="K76" s="68"/>
      <c r="L76" s="68"/>
      <c r="M76" s="713"/>
      <c r="N76" s="706" t="s">
        <v>686</v>
      </c>
      <c r="O76" s="706"/>
      <c r="P76" s="706"/>
      <c r="Q76" s="715"/>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70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700"/>
      <c r="L78" s="700"/>
      <c r="M78" s="700"/>
      <c r="N78" s="700"/>
      <c r="O78" s="700"/>
      <c r="P78" s="700"/>
      <c r="Q78" s="700"/>
      <c r="R78" s="700"/>
      <c r="S78" s="700"/>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700"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00"/>
      <c r="L80" s="700"/>
      <c r="M80" s="700"/>
      <c r="N80" s="700"/>
      <c r="O80" s="700"/>
      <c r="P80" s="700"/>
      <c r="Q80" s="700"/>
      <c r="R80" s="700"/>
      <c r="S80" s="700"/>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701"/>
      <c r="K83" s="701"/>
      <c r="L83" s="701"/>
      <c r="M83" s="701"/>
      <c r="N83" s="701"/>
      <c r="O83" s="701"/>
      <c r="P83" s="701"/>
      <c r="Q83" s="701"/>
      <c r="R83" s="701"/>
      <c r="S83" s="701"/>
    </row>
    <row r="84" spans="1:21" hidden="1" x14ac:dyDescent="0.2">
      <c r="A84"/>
      <c r="B84"/>
      <c r="C84"/>
      <c r="D84"/>
      <c r="E84"/>
      <c r="F84"/>
      <c r="G84"/>
      <c r="I84" t="str">
        <f t="shared" ca="1" si="3"/>
        <v/>
      </c>
    </row>
    <row r="85" spans="1:21" hidden="1" x14ac:dyDescent="0.2">
      <c r="A85"/>
      <c r="B85"/>
      <c r="C85"/>
      <c r="D85"/>
      <c r="E85"/>
      <c r="F85"/>
      <c r="G85"/>
      <c r="I85" t="str">
        <f t="shared" ca="1" si="3"/>
        <v/>
      </c>
      <c r="J85" s="702" t="str">
        <f>Import.Município</f>
        <v>SARANDI/RS</v>
      </c>
      <c r="K85" s="702"/>
      <c r="L85" s="702"/>
      <c r="M85" s="702"/>
      <c r="P85" s="703">
        <f ca="1">DADOS!$C$25</f>
        <v>46190</v>
      </c>
      <c r="Q85" s="703"/>
      <c r="R85" s="703"/>
      <c r="S85" s="703"/>
    </row>
    <row r="86" spans="1:21" hidden="1" x14ac:dyDescent="0.2">
      <c r="A86"/>
      <c r="B86"/>
      <c r="C86"/>
      <c r="D86"/>
      <c r="E86"/>
      <c r="F86"/>
      <c r="G86"/>
      <c r="I86" t="str">
        <f t="shared" ca="1" si="3"/>
        <v/>
      </c>
      <c r="J86" s="704" t="s">
        <v>693</v>
      </c>
      <c r="K86" s="704"/>
      <c r="L86" s="704"/>
      <c r="M86" s="704"/>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05"/>
      <c r="K88" s="705"/>
      <c r="L88" s="705"/>
      <c r="M88" s="705"/>
      <c r="N88" s="76"/>
    </row>
    <row r="89" spans="1:21" hidden="1" x14ac:dyDescent="0.2">
      <c r="A89"/>
      <c r="B89"/>
      <c r="C89"/>
      <c r="D89"/>
      <c r="E89"/>
      <c r="F89"/>
      <c r="G89"/>
      <c r="I89" t="str">
        <f t="shared" ca="1" si="3"/>
        <v/>
      </c>
      <c r="J89" s="699" t="s">
        <v>696</v>
      </c>
      <c r="K89" s="699"/>
      <c r="L89" s="699"/>
      <c r="M89" s="699"/>
    </row>
    <row r="90" spans="1:21" ht="14.25" hidden="1" x14ac:dyDescent="0.2">
      <c r="A90"/>
      <c r="B90"/>
      <c r="C90"/>
      <c r="D90"/>
      <c r="E90"/>
      <c r="F90"/>
      <c r="G90"/>
      <c r="I90" t="str">
        <f t="shared" ca="1" si="3"/>
        <v/>
      </c>
      <c r="J90" s="77" t="s">
        <v>240</v>
      </c>
      <c r="K90" s="78" t="str">
        <f t="array" ref="K90:K92">Import.RespOrçamento</f>
        <v>RENATA CENCI SIGNOR</v>
      </c>
      <c r="L90" s="79"/>
      <c r="M90" s="79"/>
      <c r="N90" s="76"/>
    </row>
    <row r="91" spans="1:21" ht="14.25" hidden="1" x14ac:dyDescent="0.2">
      <c r="A91"/>
      <c r="B91"/>
      <c r="C91"/>
      <c r="D91"/>
      <c r="E91"/>
      <c r="F91"/>
      <c r="G91"/>
      <c r="I91" t="str">
        <f t="shared" ca="1" si="3"/>
        <v/>
      </c>
      <c r="J91" s="77" t="s">
        <v>243</v>
      </c>
      <c r="K91" s="78" t="str">
        <v>093177</v>
      </c>
      <c r="L91" s="79"/>
      <c r="M91" s="79"/>
      <c r="N91" s="76"/>
    </row>
    <row r="92" spans="1:21" ht="14.25" hidden="1" x14ac:dyDescent="0.2">
      <c r="A92"/>
      <c r="B92"/>
      <c r="C92"/>
      <c r="D92"/>
      <c r="E92"/>
      <c r="F92"/>
      <c r="G92"/>
      <c r="I92" t="str">
        <f t="shared" ca="1" si="3"/>
        <v/>
      </c>
      <c r="J92" s="77" t="s">
        <v>246</v>
      </c>
      <c r="K92" s="78" t="str">
        <v>14426537</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720" t="s">
        <v>698</v>
      </c>
      <c r="K94" s="720"/>
      <c r="L94" s="720"/>
      <c r="M94" s="720"/>
      <c r="N94" s="720"/>
      <c r="O94" s="720"/>
      <c r="P94" s="720"/>
      <c r="Q94" s="720"/>
      <c r="R94" s="720"/>
      <c r="S94" s="720"/>
      <c r="U94" s="521" t="str">
        <f>IF(COUNTIF(ORÇAMENTO!$V$15:$V$240,BDI_3.Título)=0,"",IF(OR(Import.BDI.Tipo3="(SELECIONAR)",Import.BDI.Tipo3="",U97&lt;&gt;"",AND($J97&lt;&gt;$A$145,OR(S101="",S102="",AND($J97&lt;&gt;$A$146,OR(S103="",S104="")),S105="",S106=""))),"Falta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718" t="s">
        <v>664</v>
      </c>
      <c r="K96" s="718"/>
      <c r="L96" s="718"/>
      <c r="M96" s="718"/>
      <c r="N96" s="718"/>
      <c r="O96" s="718"/>
      <c r="P96" s="718"/>
      <c r="Q96" s="718"/>
      <c r="R96" s="718"/>
      <c r="S96" s="718"/>
    </row>
    <row r="97" spans="1:26" ht="15" hidden="1" x14ac:dyDescent="0.25">
      <c r="A97"/>
      <c r="B97"/>
      <c r="C97"/>
      <c r="D97"/>
      <c r="E97"/>
      <c r="F97"/>
      <c r="G97"/>
      <c r="I97" t="str">
        <f t="shared" ca="1" si="6"/>
        <v/>
      </c>
      <c r="J97" s="719" t="s">
        <v>139</v>
      </c>
      <c r="K97" s="719"/>
      <c r="L97" s="719"/>
      <c r="M97" s="719"/>
      <c r="N97" s="719"/>
      <c r="O97" s="719"/>
      <c r="P97" s="719"/>
      <c r="Q97" s="719"/>
      <c r="R97" s="719"/>
      <c r="S97" s="719"/>
      <c r="T97" s="563" t="str">
        <f ca="1">IF(U97="","","◄")</f>
        <v/>
      </c>
      <c r="U97" s="562" t="str">
        <f ca="1">IF(AND(OR(S109&gt;0,COUNTIF(ORÇAMENTO!$V$15:$V$240,BDI_3.Título)&gt;0),OR(Import.BDI.Tipo3="(SELECIONAR)",Import.BDI.Tipo3="")),"Selecione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17" t="s">
        <v>666</v>
      </c>
      <c r="K99" s="717"/>
      <c r="L99" s="717"/>
      <c r="M99" s="717"/>
      <c r="N99" s="717"/>
      <c r="O99" s="717"/>
      <c r="P99" s="717"/>
      <c r="Q99" s="717"/>
      <c r="R99" s="717" t="s">
        <v>667</v>
      </c>
      <c r="S99" s="709" t="s">
        <v>668</v>
      </c>
      <c r="U99" s="709" t="s">
        <v>669</v>
      </c>
      <c r="V99" s="709"/>
      <c r="W99" s="709"/>
      <c r="X99" s="716" t="s">
        <v>670</v>
      </c>
      <c r="Y99" s="716" t="s">
        <v>671</v>
      </c>
      <c r="Z99" s="716" t="s">
        <v>672</v>
      </c>
    </row>
    <row r="100" spans="1:26" ht="12.75" hidden="1" customHeight="1" x14ac:dyDescent="0.2">
      <c r="A100"/>
      <c r="B100"/>
      <c r="C100"/>
      <c r="D100"/>
      <c r="E100"/>
      <c r="F100"/>
      <c r="G100"/>
      <c r="I100" t="str">
        <f t="shared" ca="1" si="6"/>
        <v/>
      </c>
      <c r="J100" s="717"/>
      <c r="K100" s="717"/>
      <c r="L100" s="717"/>
      <c r="M100" s="717"/>
      <c r="N100" s="717"/>
      <c r="O100" s="717"/>
      <c r="P100" s="717"/>
      <c r="Q100" s="717"/>
      <c r="R100" s="717"/>
      <c r="S100" s="709"/>
      <c r="U100" s="709"/>
      <c r="V100" s="709"/>
      <c r="W100" s="709"/>
      <c r="X100" s="716"/>
      <c r="Y100" s="716"/>
      <c r="Z100" s="716"/>
    </row>
    <row r="101" spans="1:26" ht="15" hidden="1" customHeight="1" x14ac:dyDescent="0.2">
      <c r="A101"/>
      <c r="B101"/>
      <c r="C101"/>
      <c r="D101"/>
      <c r="E101"/>
      <c r="F101"/>
      <c r="G101"/>
      <c r="I101" t="str">
        <f t="shared" ca="1" si="6"/>
        <v/>
      </c>
      <c r="J101" s="707" t="str">
        <f>IF($J$97=$A$146,"Encargos Sociais incidentes sobre a mão de obra","Administração Central")</f>
        <v>Administração Central</v>
      </c>
      <c r="K101" s="707"/>
      <c r="L101" s="707"/>
      <c r="M101" s="707"/>
      <c r="N101" s="707"/>
      <c r="O101" s="707"/>
      <c r="P101" s="707"/>
      <c r="Q101" s="707"/>
      <c r="R101" s="60" t="str">
        <f>IF($J97=$A$146,"K1","AC")</f>
        <v>AC</v>
      </c>
      <c r="S101" s="61"/>
      <c r="T101" s="572" t="str">
        <f ca="1">IF(AND($U$94&lt;&gt;"",$U$97="",R101&lt;&gt;"",S101=""),"◄","")</f>
        <v/>
      </c>
      <c r="U101" s="708" t="str">
        <f ca="1">IFERROR(IF(T101="◄","FALTA PREENCHER",IF(AND(OR(S101&gt;=X101,X101="-"),OR(S101&lt;=Z101,Z101="-")),"OK","FORA DO INTERVALO")),"-")</f>
        <v>-</v>
      </c>
      <c r="V101" s="708"/>
      <c r="W101" s="708"/>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07" t="str">
        <f>IF($J$97=$A$146,"Administração Central da empresa ou consultoria - overhead","Seguro e Garantia")</f>
        <v>Seguro e Garantia</v>
      </c>
      <c r="K102" s="707"/>
      <c r="L102" s="707"/>
      <c r="M102" s="707"/>
      <c r="N102" s="707"/>
      <c r="O102" s="707"/>
      <c r="P102" s="707"/>
      <c r="Q102" s="707"/>
      <c r="R102" s="60" t="str">
        <f>IF($J97=$A$146,"K2","SG")</f>
        <v>SG</v>
      </c>
      <c r="S102" s="61"/>
      <c r="T102" s="572" t="str">
        <f t="shared" ref="T102:T106" ca="1" si="7">IF(AND($U$94&lt;&gt;"",$U$97="",R102&lt;&gt;"",S102=""),"◄","")</f>
        <v/>
      </c>
      <c r="U102" s="708" t="str">
        <f t="shared" ref="U102:U108" ca="1" si="8">IFERROR(IF(T102="◄","FALTA PREENCHER",IF(AND(OR(S102&gt;=X102,X102="-"),OR(S102&lt;=Z102,Z102="-")),"OK","FORA DO INTERVALO")),"-")</f>
        <v>-</v>
      </c>
      <c r="V102" s="708"/>
      <c r="W102" s="708"/>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07" t="s">
        <v>942</v>
      </c>
      <c r="K103" s="707"/>
      <c r="L103" s="707"/>
      <c r="M103" s="707"/>
      <c r="N103" s="707"/>
      <c r="O103" s="707"/>
      <c r="P103" s="707"/>
      <c r="Q103" s="707"/>
      <c r="R103" s="60" t="str">
        <f>IF($J97=$A$146,"","R")</f>
        <v>R</v>
      </c>
      <c r="S103" s="61"/>
      <c r="T103" s="572" t="str">
        <f t="shared" ca="1" si="7"/>
        <v/>
      </c>
      <c r="U103" s="708" t="str">
        <f t="shared" ca="1" si="8"/>
        <v>-</v>
      </c>
      <c r="V103" s="708"/>
      <c r="W103" s="708"/>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07" t="s">
        <v>943</v>
      </c>
      <c r="K104" s="707"/>
      <c r="L104" s="707"/>
      <c r="M104" s="707"/>
      <c r="N104" s="707"/>
      <c r="O104" s="707"/>
      <c r="P104" s="707"/>
      <c r="Q104" s="707"/>
      <c r="R104" s="60" t="str">
        <f>IF($J97=$A$146,"","DF")</f>
        <v>DF</v>
      </c>
      <c r="S104" s="61"/>
      <c r="T104" s="572" t="str">
        <f t="shared" ca="1" si="7"/>
        <v/>
      </c>
      <c r="U104" s="708" t="str">
        <f t="shared" ca="1" si="8"/>
        <v>-</v>
      </c>
      <c r="V104" s="708"/>
      <c r="W104" s="708"/>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07" t="str">
        <f>IF($J$57=$A$146,"Margem bruta da empresa de consultoria","Lucro")</f>
        <v>Lucro</v>
      </c>
      <c r="K105" s="707"/>
      <c r="L105" s="707"/>
      <c r="M105" s="707"/>
      <c r="N105" s="707"/>
      <c r="O105" s="707"/>
      <c r="P105" s="707"/>
      <c r="Q105" s="707"/>
      <c r="R105" s="60" t="str">
        <f>IF($J97=$A$146,"K3","L")</f>
        <v>L</v>
      </c>
      <c r="S105" s="61"/>
      <c r="T105" s="572" t="str">
        <f t="shared" ca="1" si="7"/>
        <v/>
      </c>
      <c r="U105" s="708" t="str">
        <f t="shared" ca="1" si="8"/>
        <v>-</v>
      </c>
      <c r="V105" s="708"/>
      <c r="W105" s="708"/>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07" t="s">
        <v>675</v>
      </c>
      <c r="K106" s="707"/>
      <c r="L106" s="707"/>
      <c r="M106" s="707"/>
      <c r="N106" s="707"/>
      <c r="O106" s="707"/>
      <c r="P106" s="707"/>
      <c r="Q106" s="707"/>
      <c r="R106" s="60" t="s">
        <v>456</v>
      </c>
      <c r="S106" s="61"/>
      <c r="T106" s="572" t="str">
        <f t="shared" ca="1" si="7"/>
        <v/>
      </c>
      <c r="U106" s="708" t="str">
        <f t="shared" ca="1" si="8"/>
        <v>FORA DO INTERVALO</v>
      </c>
      <c r="V106" s="708"/>
      <c r="W106" s="708"/>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07" t="s">
        <v>676</v>
      </c>
      <c r="K107" s="707"/>
      <c r="L107" s="707"/>
      <c r="M107" s="707"/>
      <c r="N107" s="707"/>
      <c r="O107" s="707"/>
      <c r="P107" s="707"/>
      <c r="Q107" s="707"/>
      <c r="R107" s="60" t="s">
        <v>677</v>
      </c>
      <c r="S107" s="62">
        <f ca="1">IF(AND($J97&lt;&gt;$A$145,COUNTA(OFFSET(S100,1,0,6))&gt;0),$R$11*$R$10,0)</f>
        <v>0</v>
      </c>
      <c r="U107" s="708" t="str">
        <f t="shared" ca="1" si="8"/>
        <v>OK</v>
      </c>
      <c r="V107" s="708"/>
      <c r="W107" s="708"/>
      <c r="X107" s="62">
        <v>0</v>
      </c>
      <c r="Y107" s="62">
        <v>2.5000000000000001E-2</v>
      </c>
      <c r="Z107" s="62">
        <v>0.05</v>
      </c>
    </row>
    <row r="108" spans="1:26" ht="15" hidden="1" customHeight="1" x14ac:dyDescent="0.2">
      <c r="A108"/>
      <c r="B108"/>
      <c r="C108"/>
      <c r="D108"/>
      <c r="E108"/>
      <c r="F108"/>
      <c r="G108"/>
      <c r="I108" t="str">
        <f t="shared" ca="1" si="6"/>
        <v/>
      </c>
      <c r="J108" s="707" t="s">
        <v>678</v>
      </c>
      <c r="K108" s="707"/>
      <c r="L108" s="707"/>
      <c r="M108" s="707"/>
      <c r="N108" s="707"/>
      <c r="O108" s="707"/>
      <c r="P108" s="707"/>
      <c r="Q108" s="707"/>
      <c r="R108" s="60" t="s">
        <v>679</v>
      </c>
      <c r="S108" s="62" cm="1">
        <f t="array" aca="1" ref="S108" ca="1">IF(BDI.Opcao&lt;&gt;"Desonerado",0,IF(AND($J97&lt;&gt;$A$145,COUNTA(OFFSET(S100,1,0,6))&gt;0),IF(YEAR(Import.DataBase)&lt;2025,4.5%,IF(YEAR(Import.DataBase)=2025,3.6%,IF(YEAR(Import.DataBase)=2026,2.7%,IF(YEAR(Import.DataBase)=2027,1.8%,0%)))),0%))</f>
        <v>0</v>
      </c>
      <c r="U108" s="708" t="str">
        <f t="shared" ca="1" si="8"/>
        <v>OK</v>
      </c>
      <c r="V108" s="708"/>
      <c r="W108" s="708"/>
      <c r="X108" s="63">
        <f ca="1">$S108</f>
        <v>0</v>
      </c>
      <c r="Y108" s="63">
        <f ca="1">$S108</f>
        <v>0</v>
      </c>
      <c r="Z108" s="63">
        <f ca="1">$S108</f>
        <v>0</v>
      </c>
    </row>
    <row r="109" spans="1:26" ht="15" hidden="1" customHeight="1" x14ac:dyDescent="0.2">
      <c r="A109"/>
      <c r="B109"/>
      <c r="C109"/>
      <c r="D109"/>
      <c r="E109"/>
      <c r="F109"/>
      <c r="G109"/>
      <c r="I109" t="str">
        <f t="shared" ca="1" si="6"/>
        <v/>
      </c>
      <c r="J109" s="707" t="s">
        <v>680</v>
      </c>
      <c r="K109" s="707"/>
      <c r="L109" s="707"/>
      <c r="M109" s="707"/>
      <c r="N109" s="707"/>
      <c r="O109" s="707"/>
      <c r="P109" s="707"/>
      <c r="Q109" s="707"/>
      <c r="R109" s="64" t="s">
        <v>656</v>
      </c>
      <c r="S109" s="62">
        <f ca="1">IF($J97=$A$145,0,ROUND((((1+S101+S102+S103)*(1+S104)*(1+S105)/(1-(S106+S107)))-1),4))</f>
        <v>0</v>
      </c>
      <c r="U109" s="709" t="str">
        <f ca="1">IFERROR(IF(AND(OR(S109&gt;=X109,X109="-"),OR(S109&lt;=Z109,Z109="-")),"OK","FORA DO INTERVALO"),IF(S109=0,"OK","Selecione o Tipo de obra"))</f>
        <v>OK</v>
      </c>
      <c r="V109" s="709"/>
      <c r="W109" s="709"/>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10" t="s">
        <v>681</v>
      </c>
      <c r="K110" s="710"/>
      <c r="L110" s="710"/>
      <c r="M110" s="710"/>
      <c r="N110" s="710"/>
      <c r="O110" s="710"/>
      <c r="P110" s="710"/>
      <c r="Q110" s="710"/>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11" t="str">
        <f ca="1">IF(U109&lt;&gt;"ok","Anexo: Relatório Técnico Circunstanciado justificando a adoção do percentual de cada parcela do BDI.","")</f>
        <v/>
      </c>
      <c r="L112" s="711"/>
      <c r="M112" s="711"/>
      <c r="N112" s="711"/>
      <c r="O112" s="711"/>
      <c r="P112" s="711"/>
      <c r="Q112" s="711"/>
      <c r="R112" s="711"/>
      <c r="S112" s="711"/>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12" t="s">
        <v>683</v>
      </c>
      <c r="K114" s="712"/>
      <c r="L114" s="712"/>
      <c r="M114" s="712"/>
      <c r="N114" s="712"/>
      <c r="O114" s="712"/>
      <c r="P114" s="712"/>
      <c r="Q114" s="712"/>
      <c r="R114" s="712"/>
      <c r="S114" s="712"/>
    </row>
    <row r="115" spans="1:19" ht="15.75" hidden="1" x14ac:dyDescent="0.25">
      <c r="A115"/>
      <c r="B115"/>
      <c r="C115"/>
      <c r="D115"/>
      <c r="E115"/>
      <c r="F115"/>
      <c r="G115"/>
      <c r="I115" t="str">
        <f t="shared" ca="1" si="6"/>
        <v/>
      </c>
      <c r="J115" s="68"/>
      <c r="K115" s="68"/>
      <c r="L115" s="68"/>
      <c r="M115" s="713" t="s">
        <v>684</v>
      </c>
      <c r="N115" s="714" t="str">
        <f>IF($J97=$A$146,"(1+K1+K2)*(1+K3)","(1+AC + S + R + G)*(1 + DF)*(1+L)")</f>
        <v>(1+AC + S + R + G)*(1 + DF)*(1+L)</v>
      </c>
      <c r="O115" s="714"/>
      <c r="P115" s="714"/>
      <c r="Q115" s="715" t="s">
        <v>685</v>
      </c>
      <c r="R115" s="68"/>
      <c r="S115" s="68"/>
    </row>
    <row r="116" spans="1:19" ht="15.75" hidden="1" x14ac:dyDescent="0.2">
      <c r="A116"/>
      <c r="B116"/>
      <c r="C116"/>
      <c r="D116"/>
      <c r="E116"/>
      <c r="F116"/>
      <c r="G116"/>
      <c r="I116" t="str">
        <f t="shared" ca="1" si="6"/>
        <v/>
      </c>
      <c r="J116" s="68"/>
      <c r="K116" s="68"/>
      <c r="L116" s="68"/>
      <c r="M116" s="713"/>
      <c r="N116" s="706" t="s">
        <v>686</v>
      </c>
      <c r="O116" s="706"/>
      <c r="P116" s="706"/>
      <c r="Q116" s="715"/>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0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700"/>
      <c r="L118" s="700"/>
      <c r="M118" s="700"/>
      <c r="N118" s="700"/>
      <c r="O118" s="700"/>
      <c r="P118" s="700"/>
      <c r="Q118" s="700"/>
      <c r="R118" s="700"/>
      <c r="S118" s="700"/>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00"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00"/>
      <c r="L120" s="700"/>
      <c r="M120" s="700"/>
      <c r="N120" s="700"/>
      <c r="O120" s="700"/>
      <c r="P120" s="700"/>
      <c r="Q120" s="700"/>
      <c r="R120" s="700"/>
      <c r="S120" s="700"/>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01"/>
      <c r="K123" s="701"/>
      <c r="L123" s="701"/>
      <c r="M123" s="701"/>
      <c r="N123" s="701"/>
      <c r="O123" s="701"/>
      <c r="P123" s="701"/>
      <c r="Q123" s="701"/>
      <c r="R123" s="701"/>
      <c r="S123" s="701"/>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02" t="str">
        <f>Import.Município</f>
        <v>SARANDI/RS</v>
      </c>
      <c r="K125" s="702"/>
      <c r="L125" s="702"/>
      <c r="M125" s="702"/>
      <c r="P125" s="703">
        <f ca="1">DADOS!$C$25</f>
        <v>46190</v>
      </c>
      <c r="Q125" s="703"/>
      <c r="R125" s="703"/>
      <c r="S125" s="703"/>
    </row>
    <row r="126" spans="1:19" hidden="1" x14ac:dyDescent="0.2">
      <c r="A126"/>
      <c r="B126"/>
      <c r="C126"/>
      <c r="D126"/>
      <c r="E126"/>
      <c r="F126"/>
      <c r="G126"/>
      <c r="I126" t="str">
        <f t="shared" ca="1" si="6"/>
        <v/>
      </c>
      <c r="J126" s="704" t="s">
        <v>693</v>
      </c>
      <c r="K126" s="704"/>
      <c r="L126" s="704"/>
      <c r="M126" s="704"/>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05"/>
      <c r="K128" s="705"/>
      <c r="L128" s="705"/>
      <c r="M128" s="705"/>
      <c r="N128" s="76"/>
    </row>
    <row r="129" spans="1:14" hidden="1" x14ac:dyDescent="0.2">
      <c r="A129"/>
      <c r="B129"/>
      <c r="C129"/>
      <c r="D129"/>
      <c r="E129"/>
      <c r="F129"/>
      <c r="G129"/>
      <c r="I129" t="str">
        <f t="shared" ca="1" si="6"/>
        <v/>
      </c>
      <c r="J129" s="699" t="s">
        <v>696</v>
      </c>
      <c r="K129" s="699"/>
      <c r="L129" s="699"/>
      <c r="M129" s="699"/>
    </row>
    <row r="130" spans="1:14" ht="14.25" hidden="1" x14ac:dyDescent="0.2">
      <c r="A130"/>
      <c r="B130"/>
      <c r="C130"/>
      <c r="D130"/>
      <c r="E130"/>
      <c r="F130"/>
      <c r="G130"/>
      <c r="I130" t="str">
        <f t="shared" ca="1" si="6"/>
        <v/>
      </c>
      <c r="J130" s="77" t="s">
        <v>240</v>
      </c>
      <c r="K130" s="78" t="str">
        <f t="array" ref="K130:K132">Import.RespOrçamento</f>
        <v>RENATA CENCI SIGNOR</v>
      </c>
      <c r="L130" s="79"/>
      <c r="M130" s="79"/>
      <c r="N130" s="76"/>
    </row>
    <row r="131" spans="1:14" ht="14.25" hidden="1" x14ac:dyDescent="0.2">
      <c r="A131"/>
      <c r="B131"/>
      <c r="C131"/>
      <c r="D131"/>
      <c r="E131"/>
      <c r="F131"/>
      <c r="G131"/>
      <c r="I131" t="str">
        <f t="shared" ca="1" si="6"/>
        <v/>
      </c>
      <c r="J131" s="77" t="s">
        <v>243</v>
      </c>
      <c r="K131" s="78" t="str">
        <v>093177</v>
      </c>
      <c r="L131" s="79"/>
      <c r="M131" s="79"/>
      <c r="N131" s="76"/>
    </row>
    <row r="132" spans="1:14" ht="14.25" hidden="1" x14ac:dyDescent="0.2">
      <c r="A132"/>
      <c r="B132"/>
      <c r="C132"/>
      <c r="D132"/>
      <c r="E132"/>
      <c r="F132"/>
      <c r="G132"/>
      <c r="I132" t="str">
        <f t="shared" ca="1" si="6"/>
        <v/>
      </c>
      <c r="J132" s="77" t="s">
        <v>246</v>
      </c>
      <c r="K132" s="78" t="str">
        <v>14426537</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g8fqy6Of9791IzTmmRetL76nBAOMT9jdyIVkeEgYhPsjTnnzitwRnddqU2h+TWZ30Gzeig2q7Ob4tqqwJo614A==" saltValue="kalRvkwntQBvZtKj10mOYg=="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246" priority="11" stopIfTrue="1">
      <formula>DESONERACAO="não"</formula>
    </cfRule>
  </conditionalFormatting>
  <conditionalFormatting sqref="U69:W69 U29:W29 U109:W109">
    <cfRule type="expression" dxfId="1245" priority="12" stopIfTrue="1">
      <formula>AND(U29&lt;&gt;"OK",U29&lt;&gt;"-",U29&lt;&gt;"")</formula>
    </cfRule>
    <cfRule type="cellIs" dxfId="1244" priority="13" stopIfTrue="1" operator="equal">
      <formula>"OK"</formula>
    </cfRule>
  </conditionalFormatting>
  <conditionalFormatting sqref="S29 S69 S109">
    <cfRule type="expression" dxfId="1243" priority="14" stopIfTrue="1">
      <formula>DESONERACAO="não"</formula>
    </cfRule>
  </conditionalFormatting>
  <conditionalFormatting sqref="J23:S24">
    <cfRule type="expression" dxfId="1242" priority="9">
      <formula>$J$17=$A$146</formula>
    </cfRule>
  </conditionalFormatting>
  <conditionalFormatting sqref="S21:S26">
    <cfRule type="expression" dxfId="1241" priority="8">
      <formula>$J$17=$A$145</formula>
    </cfRule>
  </conditionalFormatting>
  <conditionalFormatting sqref="J63:S64">
    <cfRule type="expression" dxfId="1240" priority="7">
      <formula>$J$57=$A$146</formula>
    </cfRule>
  </conditionalFormatting>
  <conditionalFormatting sqref="S61:S66">
    <cfRule type="expression" dxfId="1239" priority="6">
      <formula>$J$57=$A$145</formula>
    </cfRule>
  </conditionalFormatting>
  <conditionalFormatting sqref="J103:S104">
    <cfRule type="expression" dxfId="1238" priority="5">
      <formula>$J$97=$A$146</formula>
    </cfRule>
  </conditionalFormatting>
  <conditionalFormatting sqref="S101:S106">
    <cfRule type="expression" dxfId="1237" priority="4">
      <formula>$J$97=$A$145</formula>
    </cfRule>
  </conditionalFormatting>
  <conditionalFormatting sqref="U21:W28">
    <cfRule type="cellIs" dxfId="1236" priority="3" operator="notEqual">
      <formula>"OK"</formula>
    </cfRule>
  </conditionalFormatting>
  <conditionalFormatting sqref="U61:W68">
    <cfRule type="cellIs" dxfId="1235" priority="2" operator="notEqual">
      <formula>"OK"</formula>
    </cfRule>
  </conditionalFormatting>
  <conditionalFormatting sqref="U101:W108">
    <cfRule type="cellIs" dxfId="1234" priority="1" operator="notEqual">
      <formula>"OK"</formula>
    </cfRule>
  </conditionalFormatting>
  <dataValidations disablePrompts="1"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70"/>
  <sheetViews>
    <sheetView showGridLines="0" tabSelected="1" zoomScale="85" zoomScaleNormal="85"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18" t="s">
        <v>650</v>
      </c>
      <c r="P4" s="718"/>
      <c r="Q4" s="87" t="s">
        <v>707</v>
      </c>
      <c r="R4" s="87" t="s">
        <v>652</v>
      </c>
      <c r="S4" s="718" t="s">
        <v>708</v>
      </c>
      <c r="T4" s="718"/>
      <c r="U4" s="718"/>
      <c r="V4" s="718"/>
      <c r="W4" s="718"/>
      <c r="X4" s="718"/>
      <c r="Y4" s="77"/>
      <c r="Z4" s="77"/>
      <c r="AA4" s="77"/>
      <c r="AB4" s="77"/>
    </row>
    <row r="5" spans="1:40" ht="12.75" customHeight="1" x14ac:dyDescent="0.2">
      <c r="A5" s="450">
        <f ca="1">MAX($C$15:$C$240)</f>
        <v>4</v>
      </c>
      <c r="B5" s="7"/>
      <c r="C5" s="7"/>
      <c r="D5" s="7"/>
      <c r="E5" s="7"/>
      <c r="F5" s="663">
        <f ca="1">IF(BDI.Opcao="DESONERADO",BDI!$S$30,BDI!$S$29)</f>
        <v>0.22470000000000001</v>
      </c>
      <c r="G5" s="663">
        <f ca="1">IF(BDI.Opcao="DESONERADO",BDI!$S$70,BDI!$S$69)</f>
        <v>0</v>
      </c>
      <c r="H5" s="663">
        <f ca="1">IF(BDI.Opcao="DESONERADO",BDI!$S$110,BDI!$S$109)</f>
        <v>0</v>
      </c>
      <c r="I5" s="7"/>
      <c r="O5" s="721">
        <f>Import.CR</f>
        <v>0</v>
      </c>
      <c r="P5" s="721"/>
      <c r="Q5" s="90" cm="1">
        <f t="array" ref="Q5">Import.TransfereGOV</f>
        <v>0</v>
      </c>
      <c r="R5" s="91" t="str">
        <f>Import.Proponente</f>
        <v>MUNICIPIO DE SARANDI/RS</v>
      </c>
      <c r="S5" s="721" t="str">
        <f>Import.Apelido</f>
        <v>A CASA É SUA</v>
      </c>
      <c r="T5" s="721"/>
      <c r="U5" s="721"/>
      <c r="V5" s="721"/>
      <c r="W5" s="721"/>
      <c r="X5" s="721"/>
      <c r="Y5" s="92"/>
      <c r="Z5" s="92"/>
      <c r="AA5" s="92"/>
      <c r="AB5" s="92"/>
      <c r="AE5" s="726" t="s">
        <v>709</v>
      </c>
      <c r="AF5" s="726"/>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18" t="s">
        <v>710</v>
      </c>
      <c r="P7" s="718"/>
      <c r="Q7" s="87" t="s">
        <v>711</v>
      </c>
      <c r="R7" s="87" t="str" cm="1">
        <f t="array" ref="R7">IF(TIPOORCAMENTO="Licitado","NOME DA EMPRESA","DESCRIÇÃO DO LOTE")</f>
        <v>DESCRIÇÃO DO LOTE</v>
      </c>
      <c r="S7" s="727" t="str" cm="1">
        <f t="array" ref="S7">IF(TIPOORCAMENTO="Licitado","REGIME DE EXECUÇÃO","MUNICÍPIO / UF")</f>
        <v>MUNICÍPIO / UF</v>
      </c>
      <c r="T7" s="727"/>
      <c r="U7" s="727"/>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IF(COUNTIFS($L$15:$L$240,"F",$AC$15:$AC$240,"JUSTIFICAR BDI")&gt;0,"JUSTIFICAR BDI","")</f>
        <v/>
      </c>
      <c r="AE7" s="88" t="s">
        <v>712</v>
      </c>
      <c r="AF7" s="89" t="b">
        <v>1</v>
      </c>
      <c r="AJ7" s="730" t="s">
        <v>713</v>
      </c>
      <c r="AL7" s="728" t="s">
        <v>714</v>
      </c>
    </row>
    <row r="8" spans="1:40" ht="12.75" customHeight="1" x14ac:dyDescent="0.2">
      <c r="A8" s="7"/>
      <c r="B8" s="7"/>
      <c r="C8" s="7"/>
      <c r="E8" s="506" t="s">
        <v>996</v>
      </c>
      <c r="F8" s="731" t="str" cm="1">
        <f t="array" aca="1" ref="F8" ca="1">IF(LEN(INFO("release"))&gt;5,"'Referência "&amp;Excel_BuiltIn_Database&amp;".xlsm'#Banco.$a5:$a$65536","'[Referência "&amp;Excel_BuiltIn_Database&amp;".xlsm]Banco'!$a5:$a$65536")</f>
        <v>'[Referência 03-2026.xlsm]Banco'!$a5:$a$65536</v>
      </c>
      <c r="G8" s="731"/>
      <c r="H8" s="731"/>
      <c r="I8" s="731"/>
      <c r="J8" s="731"/>
      <c r="K8" s="731"/>
      <c r="L8" s="690" t="s">
        <v>655</v>
      </c>
      <c r="O8" s="721" t="str" cm="1">
        <f t="array" aca="1" ref="O8" ca="1">IF(ISERROR(INDIRECT($F$9)),"(N/D: 'Referência "&amp;Excel_BuiltIn_Database&amp;".xlsm)",INDIRECT($F$9))</f>
        <v>PORTO ALEGRE</v>
      </c>
      <c r="P8" s="721"/>
      <c r="Q8" s="99" t="str" cm="1">
        <f t="array" aca="1" ref="Q8" ca="1">TEXT(Import.DataBase,"mm-aa")&amp;IF(DESONERACAO="Sim"," (DES.)"," (N DES.)")</f>
        <v>03-26 (N DES.)</v>
      </c>
      <c r="R8" s="91" t="str" cm="1">
        <f t="array" ref="R8">IF(TIPOORCAMENTO="Licitado",Import.empresa,Import.DescLote)</f>
        <v>PROGRAMA "A CASA É SUA" (30 UH)</v>
      </c>
      <c r="S8" s="732" t="str" cm="1">
        <f t="array" ref="S8">IF(TIPOORCAMENTO="Licitado",Import.RegimeExecução,Import.Município)</f>
        <v>SARANDI/RS</v>
      </c>
      <c r="T8" s="732"/>
      <c r="U8" s="732"/>
      <c r="V8" s="100" t="str" cm="1">
        <f t="array" aca="1" ref="V8" ca="1">IF(TIPOORCAMENTO="Licitado","",TEXT(F5,"0,00%"))</f>
        <v>22,47%</v>
      </c>
      <c r="W8" s="100" t="str" cm="1">
        <f t="array" aca="1" ref="W8" ca="1">IF(TIPOORCAMENTO="Licitado","",TEXT(G5,"0,00%"))</f>
        <v>0,00%</v>
      </c>
      <c r="X8" s="101" t="str" cm="1">
        <f t="array" aca="1" ref="X8" ca="1">IF(TIPOORCAMENTO="Licitado",Import.CTEF,TEXT(H5,"0,00%"))</f>
        <v>0,00%</v>
      </c>
      <c r="Y8" s="690" t="s">
        <v>715</v>
      </c>
      <c r="Z8" s="690" t="s">
        <v>716</v>
      </c>
      <c r="AA8" s="102"/>
      <c r="AB8" s="102"/>
      <c r="AE8" s="88" t="s">
        <v>717</v>
      </c>
      <c r="AF8" s="89" t="b">
        <v>1</v>
      </c>
      <c r="AJ8" s="730"/>
      <c r="AL8" s="728"/>
    </row>
    <row r="9" spans="1:40" ht="12.75" customHeight="1" x14ac:dyDescent="0.2">
      <c r="E9" s="506" t="s">
        <v>994</v>
      </c>
      <c r="F9" s="731" t="str" cm="1">
        <f t="array" aca="1" ref="F9" ca="1">IF(LEN(INFO("release"))&gt;5,"'Referência "&amp;Excel_BuiltIn_Database&amp;".xlsm'#Banco.$d$3","'[Referência "&amp;Excel_BuiltIn_Database&amp;".xlsm]Banco'!$d$3")</f>
        <v>'[Referência 03-2026.xlsm]Banco'!$d$3</v>
      </c>
      <c r="G9" s="731"/>
      <c r="H9" s="731"/>
      <c r="I9" s="731"/>
      <c r="J9" s="731"/>
      <c r="K9" s="731"/>
      <c r="L9" s="690"/>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0"/>
      <c r="Z9" s="690"/>
      <c r="AE9" s="88" t="s">
        <v>23</v>
      </c>
      <c r="AF9" s="89" t="b">
        <v>1</v>
      </c>
      <c r="AJ9" s="730"/>
      <c r="AL9" s="728"/>
    </row>
    <row r="10" spans="1:40" x14ac:dyDescent="0.2">
      <c r="E10" s="506" t="s">
        <v>995</v>
      </c>
      <c r="F10" s="731" t="str" cm="1">
        <f t="array" aca="1" ref="F10" ca="1">IF(LEN(INFO("release"))&gt;5,"'Referência "&amp;Excel_BuiltIn_Database&amp;".xlsm'#Banco.$B$3","'[Referência "&amp;Excel_BuiltIn_Database&amp;".xlsm]Banco'!$B$3")</f>
        <v>'[Referência 03-2026.xlsm]Banco'!$B$3</v>
      </c>
      <c r="G10" s="731"/>
      <c r="H10" s="731"/>
      <c r="I10" s="731"/>
      <c r="J10" s="731"/>
      <c r="K10" s="731"/>
      <c r="L10" s="690"/>
      <c r="Y10" s="690"/>
      <c r="Z10" s="690"/>
      <c r="AC10" s="103" t="s">
        <v>718</v>
      </c>
      <c r="AE10" s="88" t="s">
        <v>719</v>
      </c>
      <c r="AF10" s="89" t="b">
        <v>1</v>
      </c>
      <c r="AJ10" s="730"/>
      <c r="AL10" s="728"/>
    </row>
    <row r="11" spans="1:40" x14ac:dyDescent="0.2">
      <c r="F11" s="661" t="str" cm="1">
        <f t="array" aca="1" ref="F11" ca="1">IFERROR(INDIRECT(F10),"")</f>
        <v>03/2026</v>
      </c>
      <c r="G11" s="665" t="str" cm="1">
        <f t="array" aca="1" ref="G11" ca="1">IFERROR(TEXT(Import.DataBase,"mm/aaaa"),"")</f>
        <v>03/2026</v>
      </c>
      <c r="H11" s="104"/>
      <c r="L11" s="690"/>
      <c r="Y11" s="690"/>
      <c r="Z11" s="690"/>
      <c r="AC11" s="105" t="str">
        <f ca="1">IF(COUNTIFS($L$15:$L$240,"F",$AC$15:$AC$240,"&lt;&gt;"&amp;" ",$AC$15:$AC$240,"&lt;&gt;"&amp;"JUSTIFICAR BDI")&gt;0,"NÃO OK","OK")</f>
        <v>OK</v>
      </c>
      <c r="AE11" s="88" t="s">
        <v>720</v>
      </c>
      <c r="AF11" s="89" t="b">
        <v>1</v>
      </c>
      <c r="AJ11" s="730"/>
      <c r="AL11" s="728"/>
    </row>
    <row r="12" spans="1:40" ht="20.100000000000001" customHeight="1" x14ac:dyDescent="0.2">
      <c r="G12" s="85"/>
      <c r="H12" s="85"/>
      <c r="L12" s="690"/>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IF(COUNTIF($AC$15:$AC$240,"FONTE")&gt;0,"Falta preencher a Fonte (coluna P) na Linha "&amp;(14+MATCH("FONTE",$AC$15:$AC$240,0)),
 IF(COUNTIF($AC$15:$AC$240,"CÓDIGO")&gt;0,"Falta preencher o Código (coluna Q) na Linha "&amp;(14+MATCH("CÓDIGO",$AC$15:$AC$240,0)),
 IF(COUNTIF($AC$15:$AC$240,"CÓDIGO N/ID")&gt;0,"Código (coluna Q) não identificado na Linha "&amp;(14+MATCH("CÓDIGO N/ID",$AC$15:$AC$240,0))&amp;". Verifique se o código está correto ou busque outro código",
 IF(COUNTIF($AC$15:$AC$240,"DESCRIÇÃO")&gt;0,"Falta preencher a Descrição (coluna R) na Linha "&amp;(14+MATCH("DESCRIÇÃO",$AC$15:$AC$240,0)),
 IF(COUNTIF($AC$15:$AC$240,"UNIDADE")&gt;0,"Falta preencher a Unidade (coluna S) na Linha "&amp;(14+MATCH("UNIDADE",$AC$15:$AC$240,0)),
 IF(COUNTIF($AC$15:$AC$240,"SEM CUSTO")&gt;0,"Falta preencher o Custo Unitário (coluna U) na Linha "&amp;(14+MATCH("SEM CUSTO",$AC$15:$AC$240,0)),
 IF(COUNTIF($AC$15:$AC$240,"SEM PREÇO")&gt;0,"Falta preencher o Preço Unitário licitado (coluna AL) na Linha "&amp;(14+MATCH("SEM CUSTO",$AC$15:$AC$240,0)),
 IF(COUNTIF($AC$15:$AC$240,"BDI")&gt;0,"Falta definir o BDI (coluna V) na Linha "&amp;(14+MATCH("BDI",$AC$15:$AC$240,0)),
 IF(COUNTIF($AC$15:$AC$240,"ACIMA REF.")&gt;0,
         IF(TIPOORCAMENTO="Proposto","O custo unitário (coluna U) na Linha "&amp;(14+MATCH("ACIMA REF.",$AC$15:$AC$240,0))&amp;" está acima do custo referencial (coluna AG)",
            "O preço unitário licitado (coluna AL) na Linha "&amp;(14+MATCH("ACIMA REF.",$AC$15:$AC$240,0))&amp;" está acima do preço referencial do edital (coluna AN)"),
 IF(COUNTIF($AC$15:$AC$240,"QUANT.")&gt;0,"Falta a Quantidade do serviço na Linha "&amp;(14+MATCH("QUANT.",$AC$15:$AC$240,0))&amp;IF(ACOMPANHAMENTO="PLE",". Preencher na aba CÁLCULO",". Preencher na coluna AJ"),
 IF(COUNTIF($AC$15:$AC$240,"Código &gt;13")&gt;0,"O tamanho do código do serviço no TransfereGOV é limitado a 13 caracteres. Resuma o código (coluna Q) na Linha "&amp;(14+MATCH("Código &gt;13",$AC$15:$AC$240,0)),
 IF(COUNTIF($AC$15:$AC$240,"Descrição &gt;100")&gt;0,"O tamanho da descrição de macrosserviço no TransfereGOV é limitado a 100 caracteres. Resuma a descrição (coluna R) na Linha "&amp;(14+MATCH("Descrição &gt;100",$AC$15:$AC$240,0)),
 IF(COUNTIF($AC$15:$AC$240,"Descrição &gt;500")&gt;0,"O tamanho da descrição de serviço no TransfereGOV é limitado a 500 caracteres. Resuma a descrição (coluna R) na Linha "&amp;(14+MATCH("Descrição &gt;500",$AC$15:$AC$240,0)),
 IF(COUNTIF($AC$15:$AC$240,"Unid. Não Disp")&gt;0,"Unidade não disponível na lista do TransfereGOV. Reveja a unidade (coluna S) na Linha "&amp;(14+MATCH("Unid. Não Disp",$AC$15:$AC$240,0)),
 IF(AND(TIPOORCAMENTO="Proposto",LEFT($O$8,5)="(N/D:"),"Abra o arquivo Referência "&amp;Excel_BuiltIn_Database&amp;".xlsm","")))))))))))))))))</f>
        <v/>
      </c>
      <c r="Y12" s="690"/>
      <c r="Z12" s="690"/>
      <c r="AA12" s="729" t="s">
        <v>721</v>
      </c>
      <c r="AB12" s="729"/>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IF(OR($C14="S",$C14=0),0,MATCH(0,OFFSET($D14,1,$C14,ROW($C$240)-ROW($C14)),0))</f>
        <v>0</v>
      </c>
      <c r="K14">
        <f ca="1">IF(OR($C14="S",$C14=0),0,MATCH(OFFSET($D14,0,$C14)+IF($C14&lt;&gt;1,1,COUNTIF(QCI!$A$13:$A$24,ORÇAMENTO!E14)),OFFSET($D14,1,$C14,ROW($C$240)-ROW($C14)),0))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0.22470000000000001</v>
      </c>
      <c r="AJ14" s="431"/>
      <c r="AL14" s="439"/>
      <c r="AM14" s="336">
        <f t="shared" ref="AM14:AM239" ca="1" si="0">$X14</f>
        <v>0</v>
      </c>
      <c r="AN14" s="470" cm="1">
        <f t="array" aca="1" ref="AN14" ca="1">ROUND(ORÇAMENTO.CustoUnitario*(1+$AH14),2)</f>
        <v>0</v>
      </c>
    </row>
    <row r="15" spans="1:40" ht="12.75" customHeight="1" x14ac:dyDescent="0.2">
      <c r="A15">
        <v>0</v>
      </c>
      <c r="C15" t="s">
        <v>654</v>
      </c>
      <c r="D15">
        <f ca="1">COUNTA(OFFSET(D15,1,0):D$240)</f>
        <v>224</v>
      </c>
      <c r="E15">
        <v>0</v>
      </c>
      <c r="L15" s="114" t="s">
        <v>536</v>
      </c>
      <c r="M15" s="130" t="str" cm="1">
        <f t="array" ref="M15">IF(TIPOORCAMENTO="LICITADO","CTEF","LOTE")</f>
        <v>LOTE</v>
      </c>
      <c r="N15" s="130" t="str" cm="1">
        <f t="array" ref="N15">IF(TIPOORCAMENTO="LICITADO","CTEF","LOTE")</f>
        <v>LOTE</v>
      </c>
      <c r="O15" s="734" t="str">
        <f>Import.DescLote</f>
        <v>PROGRAMA "A CASA É SUA" (30 UH)</v>
      </c>
      <c r="P15" s="735"/>
      <c r="Q15" s="735"/>
      <c r="R15" s="735"/>
      <c r="S15" s="613"/>
      <c r="T15" s="614"/>
      <c r="U15" s="614"/>
      <c r="V15" s="615"/>
      <c r="W15" s="614"/>
      <c r="X15" s="131">
        <f ca="1">SUMIF(OFFSET($C15,1,0,ROW(X240)-ROW(X15)-1),"S",OFFSET(X15,1,0,ROW(X240)-ROW(X15)-1))</f>
        <v>4506430.9400000004</v>
      </c>
      <c r="Y15" s="7"/>
      <c r="Z15" t="str">
        <f ca="1">IF(AND($C15="S",$X15&gt;0),LEFT($Y15,2),"")</f>
        <v/>
      </c>
      <c r="AA15" s="426">
        <f ca="1">SUMIF(OFFSET($C15,1,0,ROW(AA240)-ROW(AA15)-1),"S",OFFSET(AA15,1,0,ROW(AA240)-ROW(AA15)-1))</f>
        <v>2106430.9400000009</v>
      </c>
      <c r="AB15" s="132">
        <f ca="1">SUMIF(OFFSET($C15,1,0,ROW(AB240)-ROW(AB15)-1),"S",OFFSET(AB15,1,0,ROW(AB240)-ROW(AB15)-1))</f>
        <v>0</v>
      </c>
      <c r="AC15" s="565" t="s">
        <v>752</v>
      </c>
      <c r="AG15" s="441"/>
      <c r="AH15" s="442"/>
      <c r="AJ15" s="430"/>
      <c r="AL15" s="440"/>
      <c r="AM15" s="471">
        <f t="shared" ca="1" si="0"/>
        <v>4506430.9400000004</v>
      </c>
      <c r="AN15" s="472"/>
    </row>
    <row r="16" spans="1:40" x14ac:dyDescent="0.2">
      <c r="A16">
        <f t="shared" ref="A16:A239" si="1">CHOOSE(1+LOG(1+2*(ORÇAMENTO.Nivel="Meta")+4*(ORÇAMENTO.Nivel="Nível 2")+8*(ORÇAMENTO.Nivel="Nível 3")+16*(ORÇAMENTO.Nivel="Nível 4")+32*(ORÇAMENTO.Nivel="Serviço"),2),0,1,2,3,4,"S")</f>
        <v>1</v>
      </c>
      <c r="B16">
        <f t="shared" ref="B16:B239" ca="1" si="2">IF(OR(C16="s",C16=0),OFFSET(B16,-1,0),C16)</f>
        <v>1</v>
      </c>
      <c r="C16">
        <f t="shared" ref="C16:C239" ca="1" si="3">IF(OFFSET(C16,-1,0)="L",1,IF(OFFSET(C16,-1,0)=1,2,IF(OR(A16="s",A16=0),"S",IF(AND(OFFSET(C16,-1,0)=2,A16=4),3,IF(AND(OR(OFFSET(C16,-1,0)="s",OFFSET(C16,-1,0)=0),A16&lt;&gt;"s",A16&gt;OFFSET(B16,-1,0)),OFFSET(B16,-1,0),A16)))))</f>
        <v>1</v>
      </c>
      <c r="D16">
        <f t="shared" ref="D16:D239" ca="1" si="4">IF(OR(C16="S",C16=0),0,IF(ISERROR(K16),J16,SMALL(J16:K16,1)))</f>
        <v>224</v>
      </c>
      <c r="E16">
        <f ca="1">IF($C16=1,OFFSET(E16,-1,0)+MAX(1,COUNTIF(QCI!$A$13:$A$24,OFFSET(ORÇAMENTO!E16,-1,0))),OFFSET(E16,-1,0))</f>
        <v>1</v>
      </c>
      <c r="F16">
        <f t="shared" ref="F16:F239" ca="1" si="5">IF($C16=1,0,IF($C16=2,OFFSET(F16,-1,0)+1,OFFSET(F16,-1,0)))</f>
        <v>0</v>
      </c>
      <c r="G16">
        <f t="shared" ref="G16:G239" ca="1" si="6">IF(AND($C16&lt;=2,$C16&lt;&gt;0),0,IF($C16=3,OFFSET(G16,-1,0)+1,OFFSET(G16,-1,0)))</f>
        <v>0</v>
      </c>
      <c r="H16">
        <f t="shared" ref="H16:H239" ca="1" si="7">IF(AND($C16&lt;=3,$C16&lt;&gt;0),0,IF($C16=4,OFFSET(H16,-1,0)+1,OFFSET(H16,-1,0)))</f>
        <v>0</v>
      </c>
      <c r="I16">
        <f t="shared" ref="I16:I239" ca="1" si="8">IF(AND($C16&lt;=4,$C16&lt;&gt;0),0,IF(AND($C16="S",$X16&gt;0),OFFSET(I16,-1,0)+1,OFFSET(I16,-1,0)))</f>
        <v>0</v>
      </c>
      <c r="J16">
        <f t="shared" ref="J16:J46" ca="1" si="9">IF(OR($C16="S",$C16=0),0,MATCH(0,OFFSET($D16,1,$C16,ROW($C$240)-ROW($C16)),0))</f>
        <v>224</v>
      </c>
      <c r="K16" t="e">
        <f ca="1">IF(OR($C16="S",$C16=0),0,MATCH(OFFSET($D16,0,$C16)+IF($C16&lt;&gt;1,1,COUNTIF(QCI!$A$13:$A$24,ORÇAMENTO!E16)),OFFSET($D16,1,$C16,ROW($C$240)-ROW($C16)),0))</f>
        <v>#N/A</v>
      </c>
      <c r="L16" s="114" t="str">
        <f t="shared" ref="L16:L239" ca="1" si="10">IF(OR($X16&gt;0,$C16=1,$C16=2,$C16=3,$C16=4),"F","")</f>
        <v>F</v>
      </c>
      <c r="M16" s="115" t="s">
        <v>701</v>
      </c>
      <c r="N16" s="116" t="str">
        <f t="shared" ref="N16:N239" ca="1" si="11">CHOOSE(1+LOG(1+2*(C16=1)+4*(C16=2)+8*(C16=3)+16*(C16=4)+32*(C16="S"),2),"","Meta","Nível 2","Nível 3","Nível 4","Serviço")</f>
        <v>Meta</v>
      </c>
      <c r="O16" s="117" t="str">
        <f t="shared" ref="O16:O239" ca="1" si="12">IF(OR($C16=0,$L16=""),"-",CONCATENATE(E16&amp;".",IF(AND($A$5&gt;=2,$C16&gt;=2),F16&amp;".",""),IF(AND($A$5&gt;=3,$C16&gt;=3),G16&amp;".",""),IF(AND($A$5&gt;=4,$C16&gt;=4),H16&amp;".",""),IF($C16="S",I16&amp;".","")))</f>
        <v>1.</v>
      </c>
      <c r="P16" s="118" t="s">
        <v>750</v>
      </c>
      <c r="Q16" s="119"/>
      <c r="R16" s="120" t="s">
        <v>1012</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4506430.9400000004</v>
      </c>
      <c r="Y16" s="126" t="s">
        <v>751</v>
      </c>
      <c r="Z16" t="str">
        <f t="shared" ref="Z16:Z239" ca="1" si="13">IF(AND($C16="S",$X16&gt;0),IF(ISBLANK($Y16),"RA",LEFT($Y16,2)),"")</f>
        <v/>
      </c>
      <c r="AA16" s="127" cm="1">
        <f t="array" aca="1" ref="AA16" ca="1">IF($C16="S",IF($Z16="CP",$X16,IF($Z16="RA",(($X16)*QCI!$AA$3),0)),SomaAgrup)</f>
        <v>2106430.9400000009</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239" ca="1" si="14">ROUND(IF(ISNUMBER(ORÇAMENTO.OpcaoBDI),ORÇAMENTO.OpcaoBDI,IF(LEFT(ORÇAMENTO.OpcaoBDI,3)="BDI",HLOOKUP(ORÇAMENTO.OpcaoBDI,$F$4:$H$5,2,FALSE),0)),15-11*$AF$9)</f>
        <v>0.22470000000000001</v>
      </c>
      <c r="AJ16" s="431"/>
      <c r="AL16" s="439"/>
      <c r="AM16" s="336">
        <f t="shared" ca="1" si="0"/>
        <v>4506430.9400000004</v>
      </c>
      <c r="AN16" s="470" cm="1">
        <f t="array" aca="1" ref="AN16" ca="1">ROUND(ORÇAMENTO.CustoUnitario*(1+$AH16),2)</f>
        <v>0</v>
      </c>
    </row>
    <row r="17" spans="1:40" x14ac:dyDescent="0.2">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223</v>
      </c>
      <c r="K17">
        <f ca="1">IF(OR($C17="S",$C17=0),0,MATCH(OFFSET($D17,0,$C17)+IF($C17&lt;&gt;1,1,COUNTIF(QCI!$A$13:$A$24,ORÇAMENTO!E17)),OFFSET($D17,1,$C17,ROW($C$240)-ROW($C17)),0))</f>
        <v>3</v>
      </c>
      <c r="L17" s="114" t="str">
        <f t="shared" ca="1" si="10"/>
        <v>F</v>
      </c>
      <c r="M17" s="115" t="s">
        <v>702</v>
      </c>
      <c r="N17" s="116" t="str">
        <f t="shared" ca="1" si="11"/>
        <v>Nível 2</v>
      </c>
      <c r="O17" s="117" t="str">
        <f t="shared" ca="1" si="12"/>
        <v>1.1.</v>
      </c>
      <c r="P17" s="118" t="s">
        <v>750</v>
      </c>
      <c r="Q17" s="119"/>
      <c r="R17" s="120" t="s">
        <v>1013</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21915.84</v>
      </c>
      <c r="Y17" s="126" t="s">
        <v>751</v>
      </c>
      <c r="Z17" t="str">
        <f t="shared" ca="1" si="13"/>
        <v/>
      </c>
      <c r="AA17" s="127" cm="1">
        <f t="array" aca="1" ref="AA17" ca="1">IF($C17="S",IF($Z17="CP",$X17,IF($Z17="RA",(($X17)*QCI!$AA$3),0)),SomaAgrup)</f>
        <v>10244.0720975721</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0.22470000000000001</v>
      </c>
      <c r="AJ17" s="431"/>
      <c r="AL17" s="439"/>
      <c r="AM17" s="336">
        <f t="shared" ca="1" si="0"/>
        <v>21915.84</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IF(OR($C18="S",$C18=0),0,MATCH(OFFSET($D18,0,$C18)+IF($C18&lt;&gt;1,1,COUNTIF(QCI!$A$13:$A$24,ORÇAMENTO!E18)),OFFSET($D18,1,$C18,ROW($C$240)-ROW($C18)),0))</f>
        <v>0</v>
      </c>
      <c r="L18" s="114" t="str">
        <f t="shared" ca="1" si="10"/>
        <v>F</v>
      </c>
      <c r="M18" s="115" t="s">
        <v>705</v>
      </c>
      <c r="N18" s="116" t="str">
        <f t="shared" ca="1" si="11"/>
        <v>Serviço</v>
      </c>
      <c r="O18" s="117" t="str">
        <f t="shared" ca="1" si="12"/>
        <v>1.1.0.0.1.</v>
      </c>
      <c r="P18" s="118" t="s">
        <v>750</v>
      </c>
      <c r="Q18" s="119" t="s">
        <v>1192</v>
      </c>
      <c r="R18" s="120" t="str" cm="1">
        <f t="array" aca="1" ref="R18" ca="1">IF($C18="S",REFERENCIA.Descricao,"(digite a descrição aqui)")</f>
        <v>ENGENHEIRO CIVIL DE OBRA JUNIOR COM ENCARGOS COMPLEMENTARES</v>
      </c>
      <c r="S18" s="121" t="str" cm="1">
        <f t="array" aca="1" ref="S18" ca="1">REFERENCIA.Unidade</f>
        <v>H</v>
      </c>
      <c r="T18" s="122">
        <f ca="1">OFFSET(CÁLCULO!H$15,ROW($T18)-ROW(T$15),0)</f>
        <v>96</v>
      </c>
      <c r="U18" s="123">
        <f t="shared" ref="U18:U19" ca="1" si="15">AG18</f>
        <v>139.01</v>
      </c>
      <c r="V18" s="124" t="s">
        <v>663</v>
      </c>
      <c r="W18" s="122" cm="1">
        <f t="array" aca="1" ref="W18" ca="1">IF($C18="S",ROUND(IF(TIPOORCAMENTO="Proposto",ORÇAMENTO.CustoUnitario*(1+$AH18),ORÇAMENTO.PrecoUnitarioLicitado),15-13*$AF$10),0)</f>
        <v>170.25</v>
      </c>
      <c r="X18" s="125" cm="1">
        <f t="array" aca="1" ref="X18" ca="1">IF($C18="S",IF(OR(Import.TipoArredondamento&lt;&gt;"TransfereGOV",ACOMPANHAMENTO="BM"),VTOTAL1,SUM(OFFSET(CÁLCULO!$AA$15,ROW($X18)-ROW($X$15),1):OFFSET(CÁLCULO!$AL$15,ROW($X18)-ROW($X$15),-1))),IF($C18=0,0,ROUND(SomaAgrup,15-13*$AF$11)))</f>
        <v>16344</v>
      </c>
      <c r="Y18" s="126" t="s">
        <v>751</v>
      </c>
      <c r="Z18" t="str">
        <f t="shared" ca="1" si="13"/>
        <v>RA</v>
      </c>
      <c r="AA18" s="127" cm="1">
        <f t="array" aca="1" ref="AA18" ca="1">IF($C18="S",IF($Z18="CP",$X18,IF($Z18="RA",(($X18)*QCI!$AA$3),0)),SomaAgrup)</f>
        <v>7639.6393824155675</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90777</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13238</v>
      </c>
      <c r="AG18" s="428" cm="1">
        <f t="array" aca="1" ref="AG18" ca="1">ROUND(IF(DESONERACAO="sim",REFERENCIA.Desonerado,REFERENCIA.NaoDesonerado),2)</f>
        <v>139.01</v>
      </c>
      <c r="AH18" s="429">
        <f t="shared" ca="1" si="14"/>
        <v>0.22470000000000001</v>
      </c>
      <c r="AJ18" s="431">
        <f>2*4*12</f>
        <v>96</v>
      </c>
      <c r="AL18" s="439"/>
      <c r="AM18" s="336">
        <f t="shared" ca="1" si="0"/>
        <v>16344</v>
      </c>
      <c r="AN18" s="470" cm="1">
        <f t="array" aca="1" ref="AN18" ca="1">ROUND(ORÇAMENTO.CustoUnitario*(1+$AH18),2)</f>
        <v>170.25</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IF(OR($C19="S",$C19=0),0,MATCH(OFFSET($D19,0,$C19)+IF($C19&lt;&gt;1,1,COUNTIF(QCI!$A$13:$A$24,ORÇAMENTO!E19)),OFFSET($D19,1,$C19,ROW($C$240)-ROW($C19)),0))</f>
        <v>0</v>
      </c>
      <c r="L19" s="114" t="str">
        <f t="shared" ca="1" si="10"/>
        <v>F</v>
      </c>
      <c r="M19" s="115" t="s">
        <v>705</v>
      </c>
      <c r="N19" s="116" t="str">
        <f t="shared" ca="1" si="11"/>
        <v>Serviço</v>
      </c>
      <c r="O19" s="117" t="str">
        <f t="shared" ca="1" si="12"/>
        <v>1.1.0.0.2.</v>
      </c>
      <c r="P19" s="118" t="s">
        <v>750</v>
      </c>
      <c r="Q19" s="119" t="s">
        <v>1193</v>
      </c>
      <c r="R19" s="120" t="str" cm="1">
        <f t="array" aca="1" ref="R19" ca="1">IF($C19="S",REFERENCIA.Descricao,"(digite a descrição aqui)")</f>
        <v>TÉCNICO EM SEGURANÇA DO TRABALHO COM ENCARGOS COMPLEMENTARES</v>
      </c>
      <c r="S19" s="121" t="str" cm="1">
        <f t="array" aca="1" ref="S19" ca="1">REFERENCIA.Unidade</f>
        <v>H</v>
      </c>
      <c r="T19" s="122">
        <f ca="1">OFFSET(CÁLCULO!H$15,ROW($T19)-ROW(T$15),0)</f>
        <v>96</v>
      </c>
      <c r="U19" s="123">
        <f t="shared" ca="1" si="15"/>
        <v>47.39</v>
      </c>
      <c r="V19" s="124" t="s">
        <v>663</v>
      </c>
      <c r="W19" s="122" cm="1">
        <f t="array" aca="1" ref="W19" ca="1">IF($C19="S",ROUND(IF(TIPOORCAMENTO="Proposto",ORÇAMENTO.CustoUnitario*(1+$AH19),ORÇAMENTO.PrecoUnitarioLicitado),15-13*$AF$10),0)</f>
        <v>58.04</v>
      </c>
      <c r="X19" s="125" cm="1">
        <f t="array" aca="1" ref="X19" ca="1">IF($C19="S",IF(OR(Import.TipoArredondamento&lt;&gt;"TransfereGOV",ACOMPANHAMENTO="BM"),VTOTAL1,SUM(OFFSET(CÁLCULO!$AA$15,ROW($X19)-ROW($X$15),1):OFFSET(CÁLCULO!$AL$15,ROW($X19)-ROW($X$15),-1))),IF($C19=0,0,ROUND(SomaAgrup,15-13*$AF$11)))</f>
        <v>5571.84</v>
      </c>
      <c r="Y19" s="126" t="s">
        <v>751</v>
      </c>
      <c r="Z19" t="str">
        <f t="shared" ca="1" si="13"/>
        <v>RA</v>
      </c>
      <c r="AA19" s="127" cm="1">
        <f t="array" aca="1" ref="AA19" ca="1">IF($C19="S",IF($Z19="CP",$X19,IF($Z19="RA",(($X19)*QCI!$AA$3),0)),SomaAgrup)</f>
        <v>2604.4327151565317</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100309</v>
      </c>
      <c r="AF19" s="12"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13348</v>
      </c>
      <c r="AG19" s="428" cm="1">
        <f t="array" aca="1" ref="AG19" ca="1">ROUND(IF(DESONERACAO="sim",REFERENCIA.Desonerado,REFERENCIA.NaoDesonerado),2)</f>
        <v>47.39</v>
      </c>
      <c r="AH19" s="429">
        <f t="shared" ca="1" si="14"/>
        <v>0.22470000000000001</v>
      </c>
      <c r="AJ19" s="431">
        <f>2*4*12</f>
        <v>96</v>
      </c>
      <c r="AL19" s="439"/>
      <c r="AM19" s="336">
        <f t="shared" ca="1" si="0"/>
        <v>5571.84</v>
      </c>
      <c r="AN19" s="470" cm="1">
        <f t="array" aca="1" ref="AN19" ca="1">ROUND(ORÇAMENTO.CustoUnitario*(1+$AH19),2)</f>
        <v>58.04</v>
      </c>
    </row>
    <row r="20" spans="1:40" x14ac:dyDescent="0.2">
      <c r="A20">
        <f t="shared" si="1"/>
        <v>2</v>
      </c>
      <c r="B20">
        <f t="shared" ca="1" si="2"/>
        <v>2</v>
      </c>
      <c r="C20">
        <f t="shared" ca="1" si="3"/>
        <v>2</v>
      </c>
      <c r="D20">
        <f t="shared" ca="1" si="4"/>
        <v>2</v>
      </c>
      <c r="E20">
        <f ca="1">IF($C20=1,OFFSET(E20,-1,0)+MAX(1,COUNTIF(QCI!$A$13:$A$24,OFFSET(ORÇAMENTO!E20,-1,0))),OFFSET(E20,-1,0))</f>
        <v>1</v>
      </c>
      <c r="F20">
        <f t="shared" ca="1" si="5"/>
        <v>2</v>
      </c>
      <c r="G20">
        <f t="shared" ca="1" si="6"/>
        <v>0</v>
      </c>
      <c r="H20">
        <f t="shared" ca="1" si="7"/>
        <v>0</v>
      </c>
      <c r="I20">
        <f t="shared" ca="1" si="8"/>
        <v>0</v>
      </c>
      <c r="J20">
        <f t="shared" ca="1" si="9"/>
        <v>220</v>
      </c>
      <c r="K20">
        <f ca="1">IF(OR($C20="S",$C20=0),0,MATCH(OFFSET($D20,0,$C20)+IF($C20&lt;&gt;1,1,COUNTIF(QCI!$A$13:$A$24,ORÇAMENTO!E20)),OFFSET($D20,1,$C20,ROW($C$240)-ROW($C20)),0))</f>
        <v>2</v>
      </c>
      <c r="L20" s="114" t="str">
        <f t="shared" ca="1" si="10"/>
        <v>F</v>
      </c>
      <c r="M20" s="115" t="s">
        <v>702</v>
      </c>
      <c r="N20" s="116" t="str">
        <f t="shared" ca="1" si="11"/>
        <v>Nível 2</v>
      </c>
      <c r="O20" s="117" t="str">
        <f t="shared" ca="1" si="12"/>
        <v>1.2.</v>
      </c>
      <c r="P20" s="118" t="s">
        <v>750</v>
      </c>
      <c r="Q20" s="119"/>
      <c r="R20" s="120" t="s">
        <v>1014</v>
      </c>
      <c r="S20" s="121" t="str" cm="1">
        <f t="array" aca="1" ref="S20" ca="1">REFERENCIA.Unidade</f>
        <v>-</v>
      </c>
      <c r="T20" s="122">
        <f ca="1">OFFSET(CÁLCULO!H$15,ROW($T20)-ROW(T$15),0)</f>
        <v>0</v>
      </c>
      <c r="U20" s="123"/>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3641.52</v>
      </c>
      <c r="Y20" s="126" t="s">
        <v>751</v>
      </c>
      <c r="Z20" t="str">
        <f t="shared" ca="1" si="13"/>
        <v/>
      </c>
      <c r="AA20" s="127" cm="1">
        <f t="array" aca="1" ref="AA20" ca="1">IF($C20="S",IF($Z20="CP",$X20,IF($Z20="RA",(($X20)*QCI!$AA$3),0)),SomaAgrup)</f>
        <v>1702.1475528544993</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cm="1">
        <f t="array" aca="1" ref="AE20" ca="1">IF(AND($C20="S",ORÇAMENTO.CodBarra&lt;&gt;""),IF(ORÇAMENTO.Fonte="",ORÇAMENTO.CodBarra,CONCATENATE(ORÇAMENTO.Fonte," ",ORÇAMENTO.CodBarra)))</f>
        <v>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(Sem Código)</v>
      </c>
      <c r="AG20" s="428" cm="1">
        <f t="array" aca="1" ref="AG20" ca="1">ROUND(IF(DESONERACAO="sim",REFERENCIA.Desonerado,REFERENCIA.NaoDesonerado),2)</f>
        <v>0</v>
      </c>
      <c r="AH20" s="429">
        <f t="shared" ca="1" si="14"/>
        <v>0.22470000000000001</v>
      </c>
      <c r="AJ20" s="431"/>
      <c r="AL20" s="439"/>
      <c r="AM20" s="336">
        <f t="shared" ca="1" si="0"/>
        <v>3641.52</v>
      </c>
      <c r="AN20" s="470" cm="1">
        <f t="array" aca="1" ref="AN20" ca="1">ROUND(ORÇAMENTO.CustoUnitario*(1+$AH20),2)</f>
        <v>0</v>
      </c>
    </row>
    <row r="21" spans="1:40" ht="25.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1</v>
      </c>
      <c r="J21">
        <f t="shared" ca="1" si="9"/>
        <v>0</v>
      </c>
      <c r="K21">
        <f ca="1">IF(OR($C21="S",$C21=0),0,MATCH(OFFSET($D21,0,$C21)+IF($C21&lt;&gt;1,1,COUNTIF(QCI!$A$13:$A$24,ORÇAMENTO!E21)),OFFSET($D21,1,$C21,ROW($C$240)-ROW($C21)),0))</f>
        <v>0</v>
      </c>
      <c r="L21" s="114" t="str">
        <f t="shared" ca="1" si="10"/>
        <v>F</v>
      </c>
      <c r="M21" s="115" t="s">
        <v>705</v>
      </c>
      <c r="N21" s="116" t="str">
        <f t="shared" ca="1" si="11"/>
        <v>Serviço</v>
      </c>
      <c r="O21" s="117" t="str">
        <f t="shared" ca="1" si="12"/>
        <v>1.2.0.0.1.</v>
      </c>
      <c r="P21" s="118" t="s">
        <v>750</v>
      </c>
      <c r="Q21" s="119" t="s">
        <v>1163</v>
      </c>
      <c r="R21" s="120" t="str" cm="1">
        <f t="array" aca="1" ref="R21" ca="1">IF($C21="S",REFERENCIA.Descricao,"(digite a descrição aqui)")</f>
        <v>FORNECIMENTO E INSTALAÇÃO DE PLACA DE OBRA COM CHAPA GALVANIZADA E ESTRUTURA DE MADEIRA. AF_03/2022_PS</v>
      </c>
      <c r="S21" s="121" t="str" cm="1">
        <f t="array" aca="1" ref="S21" ca="1">REFERENCIA.Unidade</f>
        <v>M2</v>
      </c>
      <c r="T21" s="122">
        <f ca="1">OFFSET(CÁLCULO!H$15,ROW($T21)-ROW(T$15),0)</f>
        <v>6</v>
      </c>
      <c r="U21" s="123">
        <f ca="1">AG21</f>
        <v>495.57</v>
      </c>
      <c r="V21" s="124" t="s">
        <v>663</v>
      </c>
      <c r="W21" s="122" cm="1">
        <f t="array" aca="1" ref="W21" ca="1">IF($C21="S",ROUND(IF(TIPOORCAMENTO="Proposto",ORÇAMENTO.CustoUnitario*(1+$AH21),ORÇAMENTO.PrecoUnitarioLicitado),15-13*$AF$10),0)</f>
        <v>606.91999999999996</v>
      </c>
      <c r="X21" s="125" cm="1">
        <f t="array" aca="1" ref="X21" ca="1">IF($C21="S",IF(OR(Import.TipoArredondamento&lt;&gt;"TransfereGOV",ACOMPANHAMENTO="BM"),VTOTAL1,SUM(OFFSET(CÁLCULO!$AA$15,ROW($X21)-ROW($X$15),1):OFFSET(CÁLCULO!$AL$15,ROW($X21)-ROW($X$15),-1))),IF($C21=0,0,ROUND(SomaAgrup,15-13*$AF$11)))</f>
        <v>3641.52</v>
      </c>
      <c r="Y21" s="126" t="s">
        <v>751</v>
      </c>
      <c r="Z21" t="str">
        <f t="shared" ca="1" si="13"/>
        <v>RA</v>
      </c>
      <c r="AA21" s="127" cm="1">
        <f t="array" aca="1" ref="AA21" ca="1">IF($C21="S",IF($Z21="CP",$X21,IF($Z21="RA",(($X21)*QCI!$AA$3),0)),SomaAgrup)</f>
        <v>1702.1475528544993</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103689</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15270</v>
      </c>
      <c r="AG21" s="428" cm="1">
        <f t="array" aca="1" ref="AG21" ca="1">ROUND(IF(DESONERACAO="sim",REFERENCIA.Desonerado,REFERENCIA.NaoDesonerado),2)</f>
        <v>495.57</v>
      </c>
      <c r="AH21" s="429">
        <f t="shared" ca="1" si="14"/>
        <v>0.22470000000000001</v>
      </c>
      <c r="AJ21" s="431">
        <v>6</v>
      </c>
      <c r="AL21" s="439"/>
      <c r="AM21" s="336">
        <f t="shared" ca="1" si="0"/>
        <v>3641.52</v>
      </c>
      <c r="AN21" s="470" cm="1">
        <f t="array" aca="1" ref="AN21" ca="1">ROUND(ORÇAMENTO.CustoUnitario*(1+$AH21),2)</f>
        <v>606.91999999999996</v>
      </c>
    </row>
    <row r="22" spans="1:40" x14ac:dyDescent="0.2">
      <c r="A22">
        <f t="shared" si="1"/>
        <v>2</v>
      </c>
      <c r="B22">
        <f t="shared" ca="1" si="2"/>
        <v>2</v>
      </c>
      <c r="C22">
        <f t="shared" ca="1" si="3"/>
        <v>2</v>
      </c>
      <c r="D22">
        <f t="shared" ca="1" si="4"/>
        <v>2</v>
      </c>
      <c r="E22">
        <f ca="1">IF($C22=1,OFFSET(E22,-1,0)+MAX(1,COUNTIF(QCI!$A$13:$A$24,OFFSET(ORÇAMENTO!E22,-1,0))),OFFSET(E22,-1,0))</f>
        <v>1</v>
      </c>
      <c r="F22">
        <f t="shared" ca="1" si="5"/>
        <v>3</v>
      </c>
      <c r="G22">
        <f t="shared" ca="1" si="6"/>
        <v>0</v>
      </c>
      <c r="H22">
        <f t="shared" ca="1" si="7"/>
        <v>0</v>
      </c>
      <c r="I22">
        <f t="shared" ca="1" si="8"/>
        <v>0</v>
      </c>
      <c r="J22">
        <f t="shared" ca="1" si="9"/>
        <v>218</v>
      </c>
      <c r="K22">
        <f ca="1">IF(OR($C22="S",$C22=0),0,MATCH(OFFSET($D22,0,$C22)+IF($C22&lt;&gt;1,1,COUNTIF(QCI!$A$13:$A$24,ORÇAMENTO!E22)),OFFSET($D22,1,$C22,ROW($C$240)-ROW($C22)),0))</f>
        <v>2</v>
      </c>
      <c r="L22" s="114" t="str">
        <f t="shared" ca="1" si="10"/>
        <v>F</v>
      </c>
      <c r="M22" s="115" t="s">
        <v>702</v>
      </c>
      <c r="N22" s="116" t="str">
        <f t="shared" ca="1" si="11"/>
        <v>Nível 2</v>
      </c>
      <c r="O22" s="117" t="str">
        <f t="shared" ca="1" si="12"/>
        <v>1.3.</v>
      </c>
      <c r="P22" s="118" t="s">
        <v>750</v>
      </c>
      <c r="Q22" s="119"/>
      <c r="R22" s="120" t="s">
        <v>1015</v>
      </c>
      <c r="S22" s="121" t="str" cm="1">
        <f t="array" aca="1" ref="S22" ca="1">REFERENCIA.Unidade</f>
        <v>-</v>
      </c>
      <c r="T22" s="122">
        <f ca="1">OFFSET(CÁLCULO!H$15,ROW($T22)-ROW(T$15),0)</f>
        <v>0</v>
      </c>
      <c r="U22" s="123"/>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72583.649999999994</v>
      </c>
      <c r="Y22" s="126" t="s">
        <v>751</v>
      </c>
      <c r="Z22" t="str">
        <f t="shared" ca="1" si="13"/>
        <v/>
      </c>
      <c r="AA22" s="127" cm="1">
        <f t="array" aca="1" ref="AA22" ca="1">IF($C22="S",IF($Z22="CP",$X22,IF($Z22="RA",(($X22)*QCI!$AA$3),0)),SomaAgrup)</f>
        <v>33927.613256208249</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4</v>
      </c>
      <c r="AE22" s="7" t="b" cm="1">
        <f t="array" aca="1" ref="AE22" ca="1">IF(AND($C22="S",ORÇAMENTO.CodBarra&lt;&gt;""),IF(ORÇAMENTO.Fonte="",ORÇAMENTO.CodBarra,CONCATENATE(ORÇAMENTO.Fonte," ",ORÇAMENTO.CodBarra)))</f>
        <v>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(Sem Código)</v>
      </c>
      <c r="AG22" s="428" cm="1">
        <f t="array" aca="1" ref="AG22" ca="1">ROUND(IF(DESONERACAO="sim",REFERENCIA.Desonerado,REFERENCIA.NaoDesonerado),2)</f>
        <v>0</v>
      </c>
      <c r="AH22" s="429">
        <f t="shared" ca="1" si="14"/>
        <v>0.22470000000000001</v>
      </c>
      <c r="AJ22" s="431"/>
      <c r="AL22" s="439"/>
      <c r="AM22" s="336">
        <f t="shared" ca="1" si="0"/>
        <v>72583.649999999994</v>
      </c>
      <c r="AN22" s="470" cm="1">
        <f t="array" aca="1" ref="AN22" ca="1">ROUND(ORÇAMENTO.CustoUnitario*(1+$AH22),2)</f>
        <v>0</v>
      </c>
    </row>
    <row r="23" spans="1:40" ht="38.25" x14ac:dyDescent="0.2">
      <c r="A23" t="str">
        <f t="shared" si="1"/>
        <v>S</v>
      </c>
      <c r="B23">
        <f t="shared" ca="1" si="2"/>
        <v>2</v>
      </c>
      <c r="C23" t="str">
        <f t="shared" ca="1" si="3"/>
        <v>S</v>
      </c>
      <c r="D23">
        <f t="shared" ca="1" si="4"/>
        <v>0</v>
      </c>
      <c r="E23">
        <f ca="1">IF($C23=1,OFFSET(E23,-1,0)+MAX(1,COUNTIF(QCI!$A$13:$A$24,OFFSET(ORÇAMENTO!E23,-1,0))),OFFSET(E23,-1,0))</f>
        <v>1</v>
      </c>
      <c r="F23">
        <f t="shared" ca="1" si="5"/>
        <v>3</v>
      </c>
      <c r="G23">
        <f t="shared" ca="1" si="6"/>
        <v>0</v>
      </c>
      <c r="H23">
        <f t="shared" ca="1" si="7"/>
        <v>0</v>
      </c>
      <c r="I23">
        <f t="shared" ca="1" si="8"/>
        <v>1</v>
      </c>
      <c r="J23">
        <f t="shared" ca="1" si="9"/>
        <v>0</v>
      </c>
      <c r="K23">
        <f ca="1">IF(OR($C23="S",$C23=0),0,MATCH(OFFSET($D23,0,$C23)+IF($C23&lt;&gt;1,1,COUNTIF(QCI!$A$13:$A$24,ORÇAMENTO!E23)),OFFSET($D23,1,$C23,ROW($C$240)-ROW($C23)),0))</f>
        <v>0</v>
      </c>
      <c r="L23" s="114" t="str">
        <f t="shared" ca="1" si="10"/>
        <v>F</v>
      </c>
      <c r="M23" s="115" t="s">
        <v>705</v>
      </c>
      <c r="N23" s="116" t="str">
        <f t="shared" ca="1" si="11"/>
        <v>Serviço</v>
      </c>
      <c r="O23" s="117" t="str">
        <f t="shared" ca="1" si="12"/>
        <v>1.3.0.0.1.</v>
      </c>
      <c r="P23" s="118" t="s">
        <v>750</v>
      </c>
      <c r="Q23" s="119" t="s">
        <v>1164</v>
      </c>
      <c r="R23" s="120" t="str" cm="1">
        <f t="array" aca="1" ref="R23" ca="1">IF($C23="S",REFERENCIA.Descricao,"(digite a descrição aqui)")</f>
        <v>LOCAÇÃO CONVENCIONAL DE OBRA, UTILIZANDO GABARITO DE TÁBUAS CORRIDAS PONTALETADAS A CADA 2,00M - 2 UTILIZAÇÕES. AF_03/2024</v>
      </c>
      <c r="S23" s="121" t="str" cm="1">
        <f t="array" aca="1" ref="S23" ca="1">REFERENCIA.Unidade</f>
        <v>M</v>
      </c>
      <c r="T23" s="122">
        <f ca="1">OFFSET(CÁLCULO!H$15,ROW($T23)-ROW(T$15),0)</f>
        <v>909</v>
      </c>
      <c r="U23" s="123">
        <f ca="1">AG23</f>
        <v>65.2</v>
      </c>
      <c r="V23" s="124" t="s">
        <v>663</v>
      </c>
      <c r="W23" s="122" cm="1">
        <f t="array" aca="1" ref="W23" ca="1">IF($C23="S",ROUND(IF(TIPOORCAMENTO="Proposto",ORÇAMENTO.CustoUnitario*(1+$AH23),ORÇAMENTO.PrecoUnitarioLicitado),15-13*$AF$10),0)</f>
        <v>79.849999999999994</v>
      </c>
      <c r="X23" s="125" cm="1">
        <f t="array" aca="1" ref="X23" ca="1">IF($C23="S",IF(OR(Import.TipoArredondamento&lt;&gt;"TransfereGOV",ACOMPANHAMENTO="BM"),VTOTAL1,SUM(OFFSET(CÁLCULO!$AA$15,ROW($X23)-ROW($X$15),1):OFFSET(CÁLCULO!$AL$15,ROW($X23)-ROW($X$15),-1))),IF($C23=0,0,ROUND(SomaAgrup,15-13*$AF$11)))</f>
        <v>72583.649999999994</v>
      </c>
      <c r="Y23" s="126" t="s">
        <v>751</v>
      </c>
      <c r="Z23" t="str">
        <f t="shared" ca="1" si="13"/>
        <v>RA</v>
      </c>
      <c r="AA23" s="127" cm="1">
        <f t="array" aca="1" ref="AA23" ca="1">IF($C23="S",IF($Z23="CP",$X23,IF($Z23="RA",(($X23)*QCI!$AA$3),0)),SomaAgrup)</f>
        <v>33927.613256208249</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99059</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13361</v>
      </c>
      <c r="AG23" s="428" cm="1">
        <f t="array" aca="1" ref="AG23" ca="1">ROUND(IF(DESONERACAO="sim",REFERENCIA.Desonerado,REFERENCIA.NaoDesonerado),2)</f>
        <v>65.2</v>
      </c>
      <c r="AH23" s="429">
        <f t="shared" ca="1" si="14"/>
        <v>0.22470000000000001</v>
      </c>
      <c r="AJ23" s="431">
        <v>909</v>
      </c>
      <c r="AL23" s="439"/>
      <c r="AM23" s="336">
        <f t="shared" ca="1" si="0"/>
        <v>72583.649999999994</v>
      </c>
      <c r="AN23" s="470" cm="1">
        <f t="array" aca="1" ref="AN23" ca="1">ROUND(ORÇAMENTO.CustoUnitario*(1+$AH23),2)</f>
        <v>79.849999999999994</v>
      </c>
    </row>
    <row r="24" spans="1:40" x14ac:dyDescent="0.2">
      <c r="A24">
        <f t="shared" si="1"/>
        <v>2</v>
      </c>
      <c r="B24">
        <f t="shared" ca="1" si="2"/>
        <v>2</v>
      </c>
      <c r="C24">
        <f t="shared" ca="1" si="3"/>
        <v>2</v>
      </c>
      <c r="D24">
        <f t="shared" ca="1" si="4"/>
        <v>79</v>
      </c>
      <c r="E24">
        <f ca="1">IF($C24=1,OFFSET(E24,-1,0)+MAX(1,COUNTIF(QCI!$A$13:$A$24,OFFSET(ORÇAMENTO!E24,-1,0))),OFFSET(E24,-1,0))</f>
        <v>1</v>
      </c>
      <c r="F24">
        <f t="shared" ca="1" si="5"/>
        <v>4</v>
      </c>
      <c r="G24">
        <f t="shared" ca="1" si="6"/>
        <v>0</v>
      </c>
      <c r="H24">
        <f t="shared" ca="1" si="7"/>
        <v>0</v>
      </c>
      <c r="I24">
        <f t="shared" ca="1" si="8"/>
        <v>0</v>
      </c>
      <c r="J24">
        <f t="shared" ca="1" si="9"/>
        <v>216</v>
      </c>
      <c r="K24">
        <f ca="1">IF(OR($C24="S",$C24=0),0,MATCH(OFFSET($D24,0,$C24)+IF($C24&lt;&gt;1,1,COUNTIF(QCI!$A$13:$A$24,ORÇAMENTO!E24)),OFFSET($D24,1,$C24,ROW($C$240)-ROW($C24)),0))</f>
        <v>79</v>
      </c>
      <c r="L24" s="114" t="str">
        <f t="shared" ca="1" si="10"/>
        <v>F</v>
      </c>
      <c r="M24" s="115" t="s">
        <v>702</v>
      </c>
      <c r="N24" s="116" t="str">
        <f t="shared" ca="1" si="11"/>
        <v>Nível 2</v>
      </c>
      <c r="O24" s="117" t="str">
        <f t="shared" ca="1" si="12"/>
        <v>1.4.</v>
      </c>
      <c r="P24" s="118" t="s">
        <v>750</v>
      </c>
      <c r="Q24" s="119"/>
      <c r="R24" s="120" t="s">
        <v>1016</v>
      </c>
      <c r="S24" s="121" t="str" cm="1">
        <f t="array" aca="1" ref="S24" ca="1">REFERENCIA.Unidade</f>
        <v>-</v>
      </c>
      <c r="T24" s="122">
        <f ca="1">OFFSET(CÁLCULO!H$15,ROW($T24)-ROW(T$15),0)</f>
        <v>0</v>
      </c>
      <c r="U24" s="123"/>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806251.07</v>
      </c>
      <c r="Y24" s="126" t="s">
        <v>751</v>
      </c>
      <c r="Z24" t="str">
        <f t="shared" ca="1" si="13"/>
        <v/>
      </c>
      <c r="AA24" s="127" cm="1">
        <f t="array" aca="1" ref="AA24" ca="1">IF($C24="S",IF($Z24="CP",$X24,IF($Z24="RA",(($X24)*QCI!$AA$3),0)),SomaAgrup)</f>
        <v>376864.13524759491</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IF(C24&lt;=CRONO.NivelExibicao,MAX($AD$15:OFFSET(AD24,-1,0))+IF($C24&lt;&gt;1,1,MAX(1,COUNTIF(QCI!$A$13:$A$24,OFFSET($E24,-1,0)))),"")</f>
        <v>5</v>
      </c>
      <c r="AE24" s="7" t="b" cm="1">
        <f t="array" aca="1" ref="AE24" ca="1">IF(AND($C24="S",ORÇAMENTO.CodBarra&lt;&gt;""),IF(ORÇAMENTO.Fonte="",ORÇAMENTO.CodBarra,CONCATENATE(ORÇAMENTO.Fonte," ",ORÇAMENTO.CodBarra)))</f>
        <v>0</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(Sem Código)</v>
      </c>
      <c r="AG24" s="428" cm="1">
        <f t="array" aca="1" ref="AG24" ca="1">ROUND(IF(DESONERACAO="sim",REFERENCIA.Desonerado,REFERENCIA.NaoDesonerado),2)</f>
        <v>0</v>
      </c>
      <c r="AH24" s="429">
        <f t="shared" ca="1" si="14"/>
        <v>0.22470000000000001</v>
      </c>
      <c r="AJ24" s="431"/>
      <c r="AL24" s="439"/>
      <c r="AM24" s="336">
        <f t="shared" ca="1" si="0"/>
        <v>806251.07</v>
      </c>
      <c r="AN24" s="470" cm="1">
        <f t="array" aca="1" ref="AN24" ca="1">ROUND(ORÇAMENTO.CustoUnitario*(1+$AH24),2)</f>
        <v>0</v>
      </c>
    </row>
    <row r="25" spans="1:40" x14ac:dyDescent="0.2">
      <c r="A25">
        <f t="shared" si="1"/>
        <v>3</v>
      </c>
      <c r="B25">
        <f t="shared" ca="1" si="2"/>
        <v>3</v>
      </c>
      <c r="C25">
        <f t="shared" ca="1" si="3"/>
        <v>3</v>
      </c>
      <c r="D25">
        <f t="shared" ca="1" si="4"/>
        <v>6</v>
      </c>
      <c r="E25">
        <f ca="1">IF($C25=1,OFFSET(E25,-1,0)+MAX(1,COUNTIF(QCI!$A$13:$A$24,OFFSET(ORÇAMENTO!E25,-1,0))),OFFSET(E25,-1,0))</f>
        <v>1</v>
      </c>
      <c r="F25">
        <f t="shared" ca="1" si="5"/>
        <v>4</v>
      </c>
      <c r="G25">
        <f t="shared" ca="1" si="6"/>
        <v>1</v>
      </c>
      <c r="H25">
        <f t="shared" ca="1" si="7"/>
        <v>0</v>
      </c>
      <c r="I25">
        <f t="shared" ca="1" si="8"/>
        <v>0</v>
      </c>
      <c r="J25">
        <f t="shared" ca="1" si="9"/>
        <v>78</v>
      </c>
      <c r="K25">
        <f ca="1">IF(OR($C25="S",$C25=0),0,MATCH(OFFSET($D25,0,$C25)+IF($C25&lt;&gt;1,1,COUNTIF(QCI!$A$13:$A$24,ORÇAMENTO!E25)),OFFSET($D25,1,$C25,ROW($C$240)-ROW($C25)),0))</f>
        <v>6</v>
      </c>
      <c r="L25" s="114" t="str">
        <f t="shared" ca="1" si="10"/>
        <v>F</v>
      </c>
      <c r="M25" s="115" t="s">
        <v>703</v>
      </c>
      <c r="N25" s="116" t="str">
        <f t="shared" ca="1" si="11"/>
        <v>Nível 3</v>
      </c>
      <c r="O25" s="117" t="str">
        <f t="shared" ca="1" si="12"/>
        <v>1.4.1.</v>
      </c>
      <c r="P25" s="118" t="s">
        <v>750</v>
      </c>
      <c r="Q25" s="119"/>
      <c r="R25" s="120" t="s">
        <v>1026</v>
      </c>
      <c r="S25" s="121" t="str" cm="1">
        <f t="array" aca="1" ref="S25" ca="1">REFERENCIA.Unidade</f>
        <v>-</v>
      </c>
      <c r="T25" s="122">
        <f ca="1">OFFSET(CÁLCULO!H$15,ROW($T25)-ROW(T$15),0)</f>
        <v>0</v>
      </c>
      <c r="U25" s="123"/>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55051.78</v>
      </c>
      <c r="Y25" s="126" t="s">
        <v>751</v>
      </c>
      <c r="Z25" t="str">
        <f t="shared" ca="1" si="13"/>
        <v/>
      </c>
      <c r="AA25" s="127" cm="1">
        <f t="array" aca="1" ref="AA25" ca="1">IF($C25="S",IF($Z25="CP",$X25,IF($Z25="RA",(($X25)*QCI!$AA$3),0)),SomaAgrup)</f>
        <v>25732.730455217676</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14"/>
        <v>0.22470000000000001</v>
      </c>
      <c r="AJ25" s="431"/>
      <c r="AL25" s="439"/>
      <c r="AM25" s="336">
        <f t="shared" ca="1" si="0"/>
        <v>55051.78</v>
      </c>
      <c r="AN25" s="470" cm="1">
        <f t="array" aca="1" ref="AN25" ca="1">ROUND(ORÇAMENTO.CustoUnitario*(1+$AH25),2)</f>
        <v>0</v>
      </c>
    </row>
    <row r="26" spans="1:40" ht="38.25" x14ac:dyDescent="0.2">
      <c r="A26" t="str">
        <f t="shared" si="1"/>
        <v>S</v>
      </c>
      <c r="B26">
        <f t="shared" ca="1" si="2"/>
        <v>3</v>
      </c>
      <c r="C26" t="str">
        <f t="shared" ca="1" si="3"/>
        <v>S</v>
      </c>
      <c r="D26">
        <f t="shared" ca="1" si="4"/>
        <v>0</v>
      </c>
      <c r="E26">
        <f ca="1">IF($C26=1,OFFSET(E26,-1,0)+MAX(1,COUNTIF(QCI!$A$13:$A$24,OFFSET(ORÇAMENTO!E26,-1,0))),OFFSET(E26,-1,0))</f>
        <v>1</v>
      </c>
      <c r="F26">
        <f t="shared" ca="1" si="5"/>
        <v>4</v>
      </c>
      <c r="G26">
        <f t="shared" ca="1" si="6"/>
        <v>1</v>
      </c>
      <c r="H26">
        <f t="shared" ca="1" si="7"/>
        <v>0</v>
      </c>
      <c r="I26">
        <f t="shared" ca="1" si="8"/>
        <v>1</v>
      </c>
      <c r="J26">
        <f t="shared" ca="1" si="9"/>
        <v>0</v>
      </c>
      <c r="K26">
        <f ca="1">IF(OR($C26="S",$C26=0),0,MATCH(OFFSET($D26,0,$C26)+IF($C26&lt;&gt;1,1,COUNTIF(QCI!$A$13:$A$24,ORÇAMENTO!E26)),OFFSET($D26,1,$C26,ROW($C$240)-ROW($C26)),0))</f>
        <v>0</v>
      </c>
      <c r="L26" s="114" t="str">
        <f t="shared" ca="1" si="10"/>
        <v>F</v>
      </c>
      <c r="M26" s="115" t="s">
        <v>705</v>
      </c>
      <c r="N26" s="116" t="str">
        <f t="shared" ca="1" si="11"/>
        <v>Serviço</v>
      </c>
      <c r="O26" s="117" t="str">
        <f t="shared" ca="1" si="12"/>
        <v>1.4.1.0.1.</v>
      </c>
      <c r="P26" s="118" t="s">
        <v>750</v>
      </c>
      <c r="Q26" s="119" t="s">
        <v>1165</v>
      </c>
      <c r="R26" s="120" t="str" cm="1">
        <f t="array" aca="1" ref="R26" ca="1">IF($C26="S",REFERENCIA.Descricao,"(digite a descrição aqui)")</f>
        <v>ESCAVAÇÃO MECANIZADA PARA BLOCO DE COROAMENTO OU SAPATA COM RETROESCAVADEIRA (INCLUINDO ESCAVAÇÃO PARA COLOCAÇÃO DE FÔRMAS). AF_01/2024</v>
      </c>
      <c r="S26" s="121" t="str" cm="1">
        <f t="array" aca="1" ref="S26" ca="1">REFERENCIA.Unidade</f>
        <v>M3</v>
      </c>
      <c r="T26" s="122">
        <f ca="1">OFFSET(CÁLCULO!H$15,ROW($T26)-ROW(T$15),0)</f>
        <v>18.559999999999999</v>
      </c>
      <c r="U26" s="123">
        <f t="shared" ref="U26:U30" ca="1" si="16">AG26</f>
        <v>44.85</v>
      </c>
      <c r="V26" s="124" t="s">
        <v>663</v>
      </c>
      <c r="W26" s="122" cm="1">
        <f t="array" aca="1" ref="W26" ca="1">IF($C26="S",ROUND(IF(TIPOORCAMENTO="Proposto",ORÇAMENTO.CustoUnitario*(1+$AH26),ORÇAMENTO.PrecoUnitarioLicitado),15-13*$AF$10),0)</f>
        <v>54.93</v>
      </c>
      <c r="X26" s="125" cm="1">
        <f t="array" aca="1" ref="X26" ca="1">IF($C26="S",IF(OR(Import.TipoArredondamento&lt;&gt;"TransfereGOV",ACOMPANHAMENTO="BM"),VTOTAL1,SUM(OFFSET(CÁLCULO!$AA$15,ROW($X26)-ROW($X$15),1):OFFSET(CÁLCULO!$AL$15,ROW($X26)-ROW($X$15),-1))),IF($C26=0,0,ROUND(SomaAgrup,15-13*$AF$11)))</f>
        <v>1019.5</v>
      </c>
      <c r="Y26" s="126" t="s">
        <v>751</v>
      </c>
      <c r="Z26" t="str">
        <f t="shared" ca="1" si="13"/>
        <v>RA</v>
      </c>
      <c r="AA26" s="127" cm="1">
        <f t="array" aca="1" ref="AA26" ca="1">IF($C26="S",IF($Z26="CP",$X26,IF($Z26="RA",(($X26)*QCI!$AA$3),0)),SomaAgrup)</f>
        <v>476.542605872043</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96521</v>
      </c>
      <c r="AF26" s="12"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10148</v>
      </c>
      <c r="AG26" s="428" cm="1">
        <f t="array" aca="1" ref="AG26" ca="1">ROUND(IF(DESONERACAO="sim",REFERENCIA.Desonerado,REFERENCIA.NaoDesonerado),2)</f>
        <v>44.85</v>
      </c>
      <c r="AH26" s="429">
        <f t="shared" ca="1" si="14"/>
        <v>0.22470000000000001</v>
      </c>
      <c r="AJ26" s="431">
        <v>18.559999999999999</v>
      </c>
      <c r="AL26" s="439"/>
      <c r="AM26" s="336">
        <f t="shared" ca="1" si="0"/>
        <v>1019.5</v>
      </c>
      <c r="AN26" s="470" cm="1">
        <f t="array" aca="1" ref="AN26" ca="1">ROUND(ORÇAMENTO.CustoUnitario*(1+$AH26),2)</f>
        <v>54.93</v>
      </c>
    </row>
    <row r="27" spans="1:40" ht="25.5" x14ac:dyDescent="0.2">
      <c r="A27" t="str">
        <f t="shared" si="1"/>
        <v>S</v>
      </c>
      <c r="B27">
        <f t="shared" ca="1" si="2"/>
        <v>3</v>
      </c>
      <c r="C27" t="str">
        <f t="shared" ca="1" si="3"/>
        <v>S</v>
      </c>
      <c r="D27">
        <f t="shared" ca="1" si="4"/>
        <v>0</v>
      </c>
      <c r="E27">
        <f ca="1">IF($C27=1,OFFSET(E27,-1,0)+MAX(1,COUNTIF(QCI!$A$13:$A$24,OFFSET(ORÇAMENTO!E27,-1,0))),OFFSET(E27,-1,0))</f>
        <v>1</v>
      </c>
      <c r="F27">
        <f t="shared" ca="1" si="5"/>
        <v>4</v>
      </c>
      <c r="G27">
        <f t="shared" ca="1" si="6"/>
        <v>1</v>
      </c>
      <c r="H27">
        <f t="shared" ca="1" si="7"/>
        <v>0</v>
      </c>
      <c r="I27">
        <f t="shared" ca="1" si="8"/>
        <v>2</v>
      </c>
      <c r="J27">
        <f t="shared" ca="1" si="9"/>
        <v>0</v>
      </c>
      <c r="K27">
        <f ca="1">IF(OR($C27="S",$C27=0),0,MATCH(OFFSET($D27,0,$C27)+IF($C27&lt;&gt;1,1,COUNTIF(QCI!$A$13:$A$24,ORÇAMENTO!E27)),OFFSET($D27,1,$C27,ROW($C$240)-ROW($C27)),0))</f>
        <v>0</v>
      </c>
      <c r="L27" s="114" t="str">
        <f t="shared" ca="1" si="10"/>
        <v>F</v>
      </c>
      <c r="M27" s="115" t="s">
        <v>705</v>
      </c>
      <c r="N27" s="116" t="str">
        <f t="shared" ca="1" si="11"/>
        <v>Serviço</v>
      </c>
      <c r="O27" s="117" t="str">
        <f t="shared" ca="1" si="12"/>
        <v>1.4.1.0.2.</v>
      </c>
      <c r="P27" s="118" t="s">
        <v>750</v>
      </c>
      <c r="Q27" s="119" t="s">
        <v>1166</v>
      </c>
      <c r="R27" s="120" t="str" cm="1">
        <f t="array" aca="1" ref="R27" ca="1">IF($C27="S",REFERENCIA.Descricao,"(digite a descrição aqui)")</f>
        <v>PREPARO DE FUNDO DE VALA COM LARGURA MENOR QUE 1,5 M, COM CAMADA DE BRITA, LANÇAMENTO MANUAL. AF_01/2026</v>
      </c>
      <c r="S27" s="121" t="str" cm="1">
        <f t="array" aca="1" ref="S27" ca="1">REFERENCIA.Unidade</f>
        <v>M3</v>
      </c>
      <c r="T27" s="122">
        <f ca="1">OFFSET(CÁLCULO!H$15,ROW($T27)-ROW(T$15),0)</f>
        <v>0.67</v>
      </c>
      <c r="U27" s="123">
        <f t="shared" ca="1" si="16"/>
        <v>279.44</v>
      </c>
      <c r="V27" s="124" t="s">
        <v>663</v>
      </c>
      <c r="W27" s="122" cm="1">
        <f t="array" aca="1" ref="W27" ca="1">IF($C27="S",ROUND(IF(TIPOORCAMENTO="Proposto",ORÇAMENTO.CustoUnitario*(1+$AH27),ORÇAMENTO.PrecoUnitarioLicitado),15-13*$AF$10),0)</f>
        <v>342.23</v>
      </c>
      <c r="X27" s="125" cm="1">
        <f t="array" aca="1" ref="X27" ca="1">IF($C27="S",IF(OR(Import.TipoArredondamento&lt;&gt;"TransfereGOV",ACOMPANHAMENTO="BM"),VTOTAL1,SUM(OFFSET(CÁLCULO!$AA$15,ROW($X27)-ROW($X$15),1):OFFSET(CÁLCULO!$AL$15,ROW($X27)-ROW($X$15),-1))),IF($C27=0,0,ROUND(SomaAgrup,15-13*$AF$11)))</f>
        <v>229.29</v>
      </c>
      <c r="Y27" s="126" t="s">
        <v>751</v>
      </c>
      <c r="Z27" t="str">
        <f t="shared" ca="1" si="13"/>
        <v>RA</v>
      </c>
      <c r="AA27" s="127" cm="1">
        <f t="array" aca="1" ref="AA27" ca="1">IF($C27="S",IF($Z27="CP",$X27,IF($Z27="RA",(($X27)*QCI!$AA$3),0)),SomaAgrup)</f>
        <v>107.17651211417434</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101619</v>
      </c>
      <c r="AF27" s="12"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9525</v>
      </c>
      <c r="AG27" s="428" cm="1">
        <f t="array" aca="1" ref="AG27" ca="1">ROUND(IF(DESONERACAO="sim",REFERENCIA.Desonerado,REFERENCIA.NaoDesonerado),2)</f>
        <v>279.44</v>
      </c>
      <c r="AH27" s="429">
        <f t="shared" ca="1" si="14"/>
        <v>0.22470000000000001</v>
      </c>
      <c r="AJ27" s="431">
        <v>0.67</v>
      </c>
      <c r="AL27" s="439"/>
      <c r="AM27" s="336">
        <f t="shared" ca="1" si="0"/>
        <v>229.29</v>
      </c>
      <c r="AN27" s="470" cm="1">
        <f t="array" aca="1" ref="AN27" ca="1">ROUND(ORÇAMENTO.CustoUnitario*(1+$AH27),2)</f>
        <v>342.23</v>
      </c>
    </row>
    <row r="28" spans="1:40" ht="38.25" x14ac:dyDescent="0.2">
      <c r="A28" t="str">
        <f t="shared" si="1"/>
        <v>S</v>
      </c>
      <c r="B28">
        <f t="shared" ca="1" si="2"/>
        <v>3</v>
      </c>
      <c r="C28" t="str">
        <f t="shared" ca="1" si="3"/>
        <v>S</v>
      </c>
      <c r="D28">
        <f t="shared" ca="1" si="4"/>
        <v>0</v>
      </c>
      <c r="E28">
        <f ca="1">IF($C28=1,OFFSET(E28,-1,0)+MAX(1,COUNTIF(QCI!$A$13:$A$24,OFFSET(ORÇAMENTO!E28,-1,0))),OFFSET(E28,-1,0))</f>
        <v>1</v>
      </c>
      <c r="F28">
        <f t="shared" ca="1" si="5"/>
        <v>4</v>
      </c>
      <c r="G28">
        <f t="shared" ca="1" si="6"/>
        <v>1</v>
      </c>
      <c r="H28">
        <f t="shared" ca="1" si="7"/>
        <v>0</v>
      </c>
      <c r="I28">
        <f t="shared" ca="1" si="8"/>
        <v>3</v>
      </c>
      <c r="J28">
        <f t="shared" ca="1" si="9"/>
        <v>0</v>
      </c>
      <c r="K28">
        <f ca="1">IF(OR($C28="S",$C28=0),0,MATCH(OFFSET($D28,0,$C28)+IF($C28&lt;&gt;1,1,COUNTIF(QCI!$A$13:$A$24,ORÇAMENTO!E28)),OFFSET($D28,1,$C28,ROW($C$240)-ROW($C28)),0))</f>
        <v>0</v>
      </c>
      <c r="L28" s="114" t="str">
        <f t="shared" ca="1" si="10"/>
        <v>F</v>
      </c>
      <c r="M28" s="115" t="s">
        <v>705</v>
      </c>
      <c r="N28" s="116" t="str">
        <f t="shared" ca="1" si="11"/>
        <v>Serviço</v>
      </c>
      <c r="O28" s="117" t="str">
        <f t="shared" ca="1" si="12"/>
        <v>1.4.1.0.3.</v>
      </c>
      <c r="P28" s="118" t="s">
        <v>750</v>
      </c>
      <c r="Q28" s="119" t="s">
        <v>1167</v>
      </c>
      <c r="R28" s="120" t="str" cm="1">
        <f t="array" aca="1" ref="R28" ca="1">IF($C28="S",REFERENCIA.Descricao,"(digite a descrição aqui)")</f>
        <v>FABRICAÇÃO, MONTAGEM E DESMONTAGEM DE FÔRMA PARA SAPATA, EM MADEIRA SERRADA, E=25 MM, 4 UTILIZAÇÕES. AF_01/2024</v>
      </c>
      <c r="S28" s="121" t="str" cm="1">
        <f t="array" aca="1" ref="S28" ca="1">REFERENCIA.Unidade</f>
        <v>M2</v>
      </c>
      <c r="T28" s="122">
        <f ca="1">OFFSET(CÁLCULO!H$15,ROW($T28)-ROW(T$15),0)</f>
        <v>56.29</v>
      </c>
      <c r="U28" s="123">
        <f t="shared" ca="1" si="16"/>
        <v>136.82</v>
      </c>
      <c r="V28" s="124" t="s">
        <v>663</v>
      </c>
      <c r="W28" s="122" cm="1">
        <f t="array" aca="1" ref="W28" ca="1">IF($C28="S",ROUND(IF(TIPOORCAMENTO="Proposto",ORÇAMENTO.CustoUnitario*(1+$AH28),ORÇAMENTO.PrecoUnitarioLicitado),15-13*$AF$10),0)</f>
        <v>167.56</v>
      </c>
      <c r="X28" s="125" cm="1">
        <f t="array" aca="1" ref="X28" ca="1">IF($C28="S",IF(OR(Import.TipoArredondamento&lt;&gt;"TransfereGOV",ACOMPANHAMENTO="BM"),VTOTAL1,SUM(OFFSET(CÁLCULO!$AA$15,ROW($X28)-ROW($X$15),1):OFFSET(CÁLCULO!$AL$15,ROW($X28)-ROW($X$15),-1))),IF($C28=0,0,ROUND(SomaAgrup,15-13*$AF$11)))</f>
        <v>9431.9500000000007</v>
      </c>
      <c r="Y28" s="126" t="s">
        <v>751</v>
      </c>
      <c r="Z28" t="str">
        <f t="shared" ca="1" si="13"/>
        <v>RA</v>
      </c>
      <c r="AA28" s="127" cm="1">
        <f t="array" aca="1" ref="AA28" ca="1">IF($C28="S",IF($Z28="CP",$X28,IF($Z28="RA",(($X28)*QCI!$AA$3),0)),SomaAgrup)</f>
        <v>4408.7553030454301</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96535</v>
      </c>
      <c r="AF28" s="12"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10166</v>
      </c>
      <c r="AG28" s="428" cm="1">
        <f t="array" aca="1" ref="AG28" ca="1">ROUND(IF(DESONERACAO="sim",REFERENCIA.Desonerado,REFERENCIA.NaoDesonerado),2)</f>
        <v>136.82</v>
      </c>
      <c r="AH28" s="429">
        <f t="shared" ca="1" si="14"/>
        <v>0.22470000000000001</v>
      </c>
      <c r="AJ28" s="431">
        <v>56.29</v>
      </c>
      <c r="AL28" s="439"/>
      <c r="AM28" s="336">
        <f t="shared" ref="AM28:AM30" ca="1" si="17">$X28</f>
        <v>9431.9500000000007</v>
      </c>
      <c r="AN28" s="470" cm="1">
        <f t="array" aca="1" ref="AN28" ca="1">ROUND(ORÇAMENTO.CustoUnitario*(1+$AH28),2)</f>
        <v>167.56</v>
      </c>
    </row>
    <row r="29" spans="1:40" ht="25.5" x14ac:dyDescent="0.2">
      <c r="A29" t="str">
        <f t="shared" si="1"/>
        <v>S</v>
      </c>
      <c r="B29">
        <f t="shared" ca="1" si="2"/>
        <v>3</v>
      </c>
      <c r="C29" t="str">
        <f t="shared" ca="1" si="3"/>
        <v>S</v>
      </c>
      <c r="D29">
        <f t="shared" ca="1" si="4"/>
        <v>0</v>
      </c>
      <c r="E29">
        <f ca="1">IF($C29=1,OFFSET(E29,-1,0)+MAX(1,COUNTIF(QCI!$A$13:$A$24,OFFSET(ORÇAMENTO!E29,-1,0))),OFFSET(E29,-1,0))</f>
        <v>1</v>
      </c>
      <c r="F29">
        <f t="shared" ca="1" si="5"/>
        <v>4</v>
      </c>
      <c r="G29">
        <f t="shared" ca="1" si="6"/>
        <v>1</v>
      </c>
      <c r="H29">
        <f t="shared" ca="1" si="7"/>
        <v>0</v>
      </c>
      <c r="I29">
        <f t="shared" ca="1" si="8"/>
        <v>4</v>
      </c>
      <c r="J29">
        <f t="shared" ca="1" si="9"/>
        <v>0</v>
      </c>
      <c r="K29">
        <f ca="1">IF(OR($C29="S",$C29=0),0,MATCH(OFFSET($D29,0,$C29)+IF($C29&lt;&gt;1,1,COUNTIF(QCI!$A$13:$A$24,ORÇAMENTO!E29)),OFFSET($D29,1,$C29,ROW($C$240)-ROW($C29)),0))</f>
        <v>0</v>
      </c>
      <c r="L29" s="114" t="str">
        <f t="shared" ca="1" si="10"/>
        <v>F</v>
      </c>
      <c r="M29" s="115" t="s">
        <v>705</v>
      </c>
      <c r="N29" s="116" t="str">
        <f t="shared" ca="1" si="11"/>
        <v>Serviço</v>
      </c>
      <c r="O29" s="117" t="str">
        <f t="shared" ca="1" si="12"/>
        <v>1.4.1.0.4.</v>
      </c>
      <c r="P29" s="118" t="s">
        <v>750</v>
      </c>
      <c r="Q29" s="119" t="s">
        <v>1169</v>
      </c>
      <c r="R29" s="120" t="str" cm="1">
        <f t="array" aca="1" ref="R29" ca="1">IF($C29="S",REFERENCIA.Descricao,"(digite a descrição aqui)")</f>
        <v>ARMAÇÃO DE SAPATA ISOLADA, VIGA BALDRAME E SAPATA CORRIDA UTILIZANDO AÇO CA-50 DE 10 MM - MONTAGEM. AF_01/2024</v>
      </c>
      <c r="S29" s="121" t="str" cm="1">
        <f t="array" aca="1" ref="S29" ca="1">REFERENCIA.Unidade</f>
        <v>KG</v>
      </c>
      <c r="T29" s="122">
        <f ca="1">OFFSET(CÁLCULO!H$15,ROW($T29)-ROW(T$15),0)</f>
        <v>149.65</v>
      </c>
      <c r="U29" s="123">
        <f t="shared" ca="1" si="16"/>
        <v>13.13</v>
      </c>
      <c r="V29" s="124" t="s">
        <v>663</v>
      </c>
      <c r="W29" s="122" cm="1">
        <f t="array" aca="1" ref="W29" ca="1">IF($C29="S",ROUND(IF(TIPOORCAMENTO="Proposto",ORÇAMENTO.CustoUnitario*(1+$AH29),ORÇAMENTO.PrecoUnitarioLicitado),15-13*$AF$10),0)</f>
        <v>16.079999999999998</v>
      </c>
      <c r="X29" s="125" cm="1">
        <f t="array" aca="1" ref="X29" ca="1">IF($C29="S",IF(OR(Import.TipoArredondamento&lt;&gt;"TransfereGOV",ACOMPANHAMENTO="BM"),VTOTAL1,SUM(OFFSET(CÁLCULO!$AA$15,ROW($X29)-ROW($X$15),1):OFFSET(CÁLCULO!$AL$15,ROW($X29)-ROW($X$15),-1))),IF($C29=0,0,ROUND(SomaAgrup,15-13*$AF$11)))</f>
        <v>2406.37</v>
      </c>
      <c r="Y29" s="126" t="s">
        <v>751</v>
      </c>
      <c r="Z29" t="str">
        <f t="shared" ca="1" si="13"/>
        <v>RA</v>
      </c>
      <c r="AA29" s="127" cm="1">
        <f t="array" aca="1" ref="AA29" ca="1">IF($C29="S",IF($Z29="CP",$X29,IF($Z29="RA",(($X29)*QCI!$AA$3),0)),SomaAgrup)</f>
        <v>1124.8041495755842</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104919</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10134</v>
      </c>
      <c r="AG29" s="428" cm="1">
        <f t="array" aca="1" ref="AG29" ca="1">ROUND(IF(DESONERACAO="sim",REFERENCIA.Desonerado,REFERENCIA.NaoDesonerado),2)</f>
        <v>13.13</v>
      </c>
      <c r="AH29" s="429">
        <f t="shared" ca="1" si="14"/>
        <v>0.22470000000000001</v>
      </c>
      <c r="AJ29" s="431">
        <v>149.65</v>
      </c>
      <c r="AL29" s="439"/>
      <c r="AM29" s="336">
        <f t="shared" ca="1" si="17"/>
        <v>2406.37</v>
      </c>
      <c r="AN29" s="470" cm="1">
        <f t="array" aca="1" ref="AN29" ca="1">ROUND(ORÇAMENTO.CustoUnitario*(1+$AH29),2)</f>
        <v>16.079999999999998</v>
      </c>
    </row>
    <row r="30" spans="1:40" ht="25.5" x14ac:dyDescent="0.2">
      <c r="A30" t="str">
        <f t="shared" si="1"/>
        <v>S</v>
      </c>
      <c r="B30">
        <f t="shared" ca="1" si="2"/>
        <v>3</v>
      </c>
      <c r="C30" t="str">
        <f t="shared" ca="1" si="3"/>
        <v>S</v>
      </c>
      <c r="D30">
        <f t="shared" ca="1" si="4"/>
        <v>0</v>
      </c>
      <c r="E30">
        <f ca="1">IF($C30=1,OFFSET(E30,-1,0)+MAX(1,COUNTIF(QCI!$A$13:$A$24,OFFSET(ORÇAMENTO!E30,-1,0))),OFFSET(E30,-1,0))</f>
        <v>1</v>
      </c>
      <c r="F30">
        <f t="shared" ca="1" si="5"/>
        <v>4</v>
      </c>
      <c r="G30">
        <f t="shared" ca="1" si="6"/>
        <v>1</v>
      </c>
      <c r="H30">
        <f t="shared" ca="1" si="7"/>
        <v>0</v>
      </c>
      <c r="I30">
        <f t="shared" ca="1" si="8"/>
        <v>5</v>
      </c>
      <c r="J30">
        <f t="shared" ca="1" si="9"/>
        <v>0</v>
      </c>
      <c r="K30">
        <f ca="1">IF(OR($C30="S",$C30=0),0,MATCH(OFFSET($D30,0,$C30)+IF($C30&lt;&gt;1,1,COUNTIF(QCI!$A$13:$A$24,ORÇAMENTO!E30)),OFFSET($D30,1,$C30,ROW($C$240)-ROW($C30)),0))</f>
        <v>0</v>
      </c>
      <c r="L30" s="114" t="str">
        <f t="shared" ca="1" si="10"/>
        <v>F</v>
      </c>
      <c r="M30" s="115" t="s">
        <v>705</v>
      </c>
      <c r="N30" s="116" t="str">
        <f t="shared" ca="1" si="11"/>
        <v>Serviço</v>
      </c>
      <c r="O30" s="117" t="str">
        <f t="shared" ca="1" si="12"/>
        <v>1.4.1.0.5.</v>
      </c>
      <c r="P30" s="118" t="s">
        <v>1097</v>
      </c>
      <c r="Q30" s="119" t="s">
        <v>1170</v>
      </c>
      <c r="R30" s="120" t="str" cm="1">
        <f t="array" aca="1" ref="R30" ca="1">IF($C30="S",REFERENCIA.Descricao,"(digite a descrição aqui)")</f>
        <v>CONCRETAGEM DE SAPATA, FCK 25 MPA, COM USO DE BOMBA - LANÇAMENTO, ADENSAMENTO E ACABAMENTO.</v>
      </c>
      <c r="S30" s="121" t="str" cm="1">
        <f t="array" aca="1" ref="S30" ca="1">REFERENCIA.Unidade</f>
        <v>M3</v>
      </c>
      <c r="T30" s="122">
        <f ca="1">OFFSET(CÁLCULO!H$15,ROW($T30)-ROW(T$15),0)</f>
        <v>43.15</v>
      </c>
      <c r="U30" s="123">
        <f t="shared" ca="1" si="16"/>
        <v>794.1</v>
      </c>
      <c r="V30" s="124" t="s">
        <v>663</v>
      </c>
      <c r="W30" s="122" cm="1">
        <f t="array" aca="1" ref="W30" ca="1">IF($C30="S",ROUND(IF(TIPOORCAMENTO="Proposto",ORÇAMENTO.CustoUnitario*(1+$AH30),ORÇAMENTO.PrecoUnitarioLicitado),15-13*$AF$10),0)</f>
        <v>972.53</v>
      </c>
      <c r="X30" s="125" cm="1">
        <f t="array" aca="1" ref="X30" ca="1">IF($C30="S",IF(OR(Import.TipoArredondamento&lt;&gt;"TransfereGOV",ACOMPANHAMENTO="BM"),VTOTAL1,SUM(OFFSET(CÁLCULO!$AA$15,ROW($X30)-ROW($X$15),1):OFFSET(CÁLCULO!$AL$15,ROW($X30)-ROW($X$15),-1))),IF($C30=0,0,ROUND(SomaAgrup,15-13*$AF$11)))</f>
        <v>41964.67</v>
      </c>
      <c r="Y30" s="126" t="s">
        <v>751</v>
      </c>
      <c r="Z30" t="str">
        <f t="shared" ca="1" si="13"/>
        <v>RA</v>
      </c>
      <c r="AA30" s="127" cm="1">
        <f t="array" aca="1" ref="AA30" ca="1">IF($C30="S",IF($Z30="CP",$X30,IF($Z30="RA",(($X30)*QCI!$AA$3),0)),SomaAgrup)</f>
        <v>19615.451884610444</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006</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8</v>
      </c>
      <c r="AG30" s="428" cm="1">
        <f t="array" aca="1" ref="AG30" ca="1">ROUND(IF(DESONERACAO="sim",REFERENCIA.Desonerado,REFERENCIA.NaoDesonerado),2)</f>
        <v>794.1</v>
      </c>
      <c r="AH30" s="429">
        <f t="shared" ca="1" si="14"/>
        <v>0.22470000000000001</v>
      </c>
      <c r="AJ30" s="431">
        <v>43.15</v>
      </c>
      <c r="AL30" s="439"/>
      <c r="AM30" s="336">
        <f t="shared" ca="1" si="17"/>
        <v>41964.67</v>
      </c>
      <c r="AN30" s="470" cm="1">
        <f t="array" aca="1" ref="AN30" ca="1">ROUND(ORÇAMENTO.CustoUnitario*(1+$AH30),2)</f>
        <v>972.53</v>
      </c>
    </row>
    <row r="31" spans="1:40" x14ac:dyDescent="0.2">
      <c r="A31">
        <f t="shared" si="1"/>
        <v>3</v>
      </c>
      <c r="B31">
        <f t="shared" ca="1" si="2"/>
        <v>3</v>
      </c>
      <c r="C31">
        <f t="shared" ca="1" si="3"/>
        <v>3</v>
      </c>
      <c r="D31">
        <f t="shared" ca="1" si="4"/>
        <v>9</v>
      </c>
      <c r="E31">
        <f ca="1">IF($C31=1,OFFSET(E31,-1,0)+MAX(1,COUNTIF(QCI!$A$13:$A$24,OFFSET(ORÇAMENTO!E31,-1,0))),OFFSET(E31,-1,0))</f>
        <v>1</v>
      </c>
      <c r="F31">
        <f t="shared" ca="1" si="5"/>
        <v>4</v>
      </c>
      <c r="G31">
        <f t="shared" ca="1" si="6"/>
        <v>2</v>
      </c>
      <c r="H31">
        <f t="shared" ca="1" si="7"/>
        <v>0</v>
      </c>
      <c r="I31">
        <f t="shared" ca="1" si="8"/>
        <v>0</v>
      </c>
      <c r="J31">
        <f t="shared" ca="1" si="9"/>
        <v>72</v>
      </c>
      <c r="K31">
        <f ca="1">IF(OR($C31="S",$C31=0),0,MATCH(OFFSET($D31,0,$C31)+IF($C31&lt;&gt;1,1,COUNTIF(QCI!$A$13:$A$24,ORÇAMENTO!E31)),OFFSET($D31,1,$C31,ROW($C$240)-ROW($C31)),0))</f>
        <v>9</v>
      </c>
      <c r="L31" s="114" t="str">
        <f t="shared" ca="1" si="10"/>
        <v>F</v>
      </c>
      <c r="M31" s="115" t="s">
        <v>703</v>
      </c>
      <c r="N31" s="116" t="str">
        <f t="shared" ca="1" si="11"/>
        <v>Nível 3</v>
      </c>
      <c r="O31" s="117" t="str">
        <f t="shared" ca="1" si="12"/>
        <v>1.4.2.</v>
      </c>
      <c r="P31" s="118" t="s">
        <v>750</v>
      </c>
      <c r="Q31" s="119"/>
      <c r="R31" s="120" t="s">
        <v>1027</v>
      </c>
      <c r="S31" s="121" t="str" cm="1">
        <f t="array" aca="1" ref="S31" ca="1">REFERENCIA.Unidade</f>
        <v>-</v>
      </c>
      <c r="T31" s="122">
        <f ca="1">OFFSET(CÁLCULO!H$15,ROW($T31)-ROW(T$15),0)</f>
        <v>0</v>
      </c>
      <c r="U31" s="123"/>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83252.179999999993</v>
      </c>
      <c r="Y31" s="126" t="s">
        <v>751</v>
      </c>
      <c r="Z31" t="str">
        <f t="shared" ca="1" si="13"/>
        <v/>
      </c>
      <c r="AA31" s="127" cm="1">
        <f t="array" aca="1" ref="AA31" ca="1">IF($C31="S",IF($Z31="CP",$X31,IF($Z31="RA",(($X31)*QCI!$AA$3),0)),SomaAgrup)</f>
        <v>38914.380384235788</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b" cm="1">
        <f t="array" aca="1" ref="AE31" ca="1">IF(AND($C31="S",ORÇAMENTO.CodBarra&lt;&gt;""),IF(ORÇAMENTO.Fonte="",ORÇAMENTO.CodBarra,CONCATENATE(ORÇAMENTO.Fonte," ",ORÇAMENTO.CodBarra)))</f>
        <v>0</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8" cm="1">
        <f t="array" aca="1" ref="AG31" ca="1">ROUND(IF(DESONERACAO="sim",REFERENCIA.Desonerado,REFERENCIA.NaoDesonerado),2)</f>
        <v>0</v>
      </c>
      <c r="AH31" s="429">
        <f t="shared" ca="1" si="14"/>
        <v>0.22470000000000001</v>
      </c>
      <c r="AJ31" s="431"/>
      <c r="AL31" s="439"/>
      <c r="AM31" s="336">
        <f t="shared" ca="1" si="0"/>
        <v>83252.179999999993</v>
      </c>
      <c r="AN31" s="470" cm="1">
        <f t="array" aca="1" ref="AN31" ca="1">ROUND(ORÇAMENTO.CustoUnitario*(1+$AH31),2)</f>
        <v>0</v>
      </c>
    </row>
    <row r="32" spans="1:40" ht="38.25" x14ac:dyDescent="0.2">
      <c r="A32" t="str">
        <f t="shared" si="1"/>
        <v>S</v>
      </c>
      <c r="B32">
        <f t="shared" ca="1" si="2"/>
        <v>3</v>
      </c>
      <c r="C32" t="str">
        <f t="shared" ca="1" si="3"/>
        <v>S</v>
      </c>
      <c r="D32">
        <f t="shared" ca="1" si="4"/>
        <v>0</v>
      </c>
      <c r="E32">
        <f ca="1">IF($C32=1,OFFSET(E32,-1,0)+MAX(1,COUNTIF(QCI!$A$13:$A$24,OFFSET(ORÇAMENTO!E32,-1,0))),OFFSET(E32,-1,0))</f>
        <v>1</v>
      </c>
      <c r="F32">
        <f t="shared" ca="1" si="5"/>
        <v>4</v>
      </c>
      <c r="G32">
        <f t="shared" ca="1" si="6"/>
        <v>2</v>
      </c>
      <c r="H32">
        <f t="shared" ca="1" si="7"/>
        <v>0</v>
      </c>
      <c r="I32">
        <f t="shared" ca="1" si="8"/>
        <v>1</v>
      </c>
      <c r="J32">
        <f t="shared" ca="1" si="9"/>
        <v>0</v>
      </c>
      <c r="K32">
        <f ca="1">IF(OR($C32="S",$C32=0),0,MATCH(OFFSET($D32,0,$C32)+IF($C32&lt;&gt;1,1,COUNTIF(QCI!$A$13:$A$24,ORÇAMENTO!E32)),OFFSET($D32,1,$C32,ROW($C$240)-ROW($C32)),0))</f>
        <v>0</v>
      </c>
      <c r="L32" s="114" t="str">
        <f t="shared" ca="1" si="10"/>
        <v>F</v>
      </c>
      <c r="M32" s="115" t="s">
        <v>705</v>
      </c>
      <c r="N32" s="116" t="str">
        <f t="shared" ca="1" si="11"/>
        <v>Serviço</v>
      </c>
      <c r="O32" s="117" t="str">
        <f t="shared" ca="1" si="12"/>
        <v>1.4.2.0.1.</v>
      </c>
      <c r="P32" s="118" t="s">
        <v>750</v>
      </c>
      <c r="Q32" s="119" t="s">
        <v>1171</v>
      </c>
      <c r="R32" s="120" t="str" cm="1">
        <f t="array" aca="1" ref="R32" ca="1">IF($C32="S",REFERENCIA.Descricao,"(digite a descrição aqui)")</f>
        <v>ESTACA BROCA DE CONCRETO, DIÂMETRO DE 30CM, ESCAVAÇÃO MANUAL COM TRADO CONCHA, COM ARMADURA DE ARRANQUE. AF_05/2020</v>
      </c>
      <c r="S32" s="121" t="str" cm="1">
        <f t="array" aca="1" ref="S32" ca="1">REFERENCIA.Unidade</f>
        <v>M</v>
      </c>
      <c r="T32" s="122">
        <f ca="1">OFFSET(CÁLCULO!H$15,ROW($T32)-ROW(T$15),0)</f>
        <v>12.37</v>
      </c>
      <c r="U32" s="123">
        <f t="shared" ref="U32:U39" ca="1" si="18">AG32</f>
        <v>126.92</v>
      </c>
      <c r="V32" s="124" t="s">
        <v>663</v>
      </c>
      <c r="W32" s="122" cm="1">
        <f t="array" aca="1" ref="W32" ca="1">IF($C32="S",ROUND(IF(TIPOORCAMENTO="Proposto",ORÇAMENTO.CustoUnitario*(1+$AH32),ORÇAMENTO.PrecoUnitarioLicitado),15-13*$AF$10),0)</f>
        <v>155.44</v>
      </c>
      <c r="X32" s="125" cm="1">
        <f t="array" aca="1" ref="X32" ca="1">IF($C32="S",IF(OR(Import.TipoArredondamento&lt;&gt;"TransfereGOV",ACOMPANHAMENTO="BM"),VTOTAL1,SUM(OFFSET(CÁLCULO!$AA$15,ROW($X32)-ROW($X$15),1):OFFSET(CÁLCULO!$AL$15,ROW($X32)-ROW($X$15),-1))),IF($C32=0,0,ROUND(SomaAgrup,15-13*$AF$11)))</f>
        <v>1922.79</v>
      </c>
      <c r="Y32" s="126" t="s">
        <v>751</v>
      </c>
      <c r="Z32" t="str">
        <f t="shared" ca="1" si="13"/>
        <v>RA</v>
      </c>
      <c r="AA32" s="127" cm="1">
        <f t="array" aca="1" ref="AA32" ca="1">IF($C32="S",IF($Z32="CP",$X32,IF($Z32="RA",(($X32)*QCI!$AA$3),0)),SomaAgrup)</f>
        <v>898.76543123561112</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101175</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9707</v>
      </c>
      <c r="AG32" s="428" cm="1">
        <f t="array" aca="1" ref="AG32" ca="1">ROUND(IF(DESONERACAO="sim",REFERENCIA.Desonerado,REFERENCIA.NaoDesonerado),2)</f>
        <v>126.92</v>
      </c>
      <c r="AH32" s="429">
        <f t="shared" ca="1" si="14"/>
        <v>0.22470000000000001</v>
      </c>
      <c r="AJ32" s="431">
        <v>12.37</v>
      </c>
      <c r="AL32" s="439"/>
      <c r="AM32" s="336">
        <f t="shared" ca="1" si="0"/>
        <v>1922.79</v>
      </c>
      <c r="AN32" s="470" cm="1">
        <f t="array" aca="1" ref="AN32" ca="1">ROUND(ORÇAMENTO.CustoUnitario*(1+$AH32),2)</f>
        <v>155.44</v>
      </c>
    </row>
    <row r="33" spans="1:40" ht="25.5" x14ac:dyDescent="0.2">
      <c r="A33" t="str">
        <f t="shared" si="1"/>
        <v>S</v>
      </c>
      <c r="B33">
        <f t="shared" ca="1" si="2"/>
        <v>3</v>
      </c>
      <c r="C33" t="str">
        <f t="shared" ca="1" si="3"/>
        <v>S</v>
      </c>
      <c r="D33">
        <f t="shared" ca="1" si="4"/>
        <v>0</v>
      </c>
      <c r="E33">
        <f ca="1">IF($C33=1,OFFSET(E33,-1,0)+MAX(1,COUNTIF(QCI!$A$13:$A$24,OFFSET(ORÇAMENTO!E33,-1,0))),OFFSET(E33,-1,0))</f>
        <v>1</v>
      </c>
      <c r="F33">
        <f t="shared" ca="1" si="5"/>
        <v>4</v>
      </c>
      <c r="G33">
        <f t="shared" ca="1" si="6"/>
        <v>2</v>
      </c>
      <c r="H33">
        <f t="shared" ca="1" si="7"/>
        <v>0</v>
      </c>
      <c r="I33">
        <f t="shared" ca="1" si="8"/>
        <v>2</v>
      </c>
      <c r="J33">
        <f t="shared" ca="1" si="9"/>
        <v>0</v>
      </c>
      <c r="K33">
        <f ca="1">IF(OR($C33="S",$C33=0),0,MATCH(OFFSET($D33,0,$C33)+IF($C33&lt;&gt;1,1,COUNTIF(QCI!$A$13:$A$24,ORÇAMENTO!E33)),OFFSET($D33,1,$C33,ROW($C$240)-ROW($C33)),0))</f>
        <v>0</v>
      </c>
      <c r="L33" s="114" t="str">
        <f t="shared" ca="1" si="10"/>
        <v>F</v>
      </c>
      <c r="M33" s="115" t="s">
        <v>705</v>
      </c>
      <c r="N33" s="116" t="str">
        <f t="shared" ca="1" si="11"/>
        <v>Serviço</v>
      </c>
      <c r="O33" s="117" t="str">
        <f t="shared" ca="1" si="12"/>
        <v>1.4.2.0.2.</v>
      </c>
      <c r="P33" s="118" t="s">
        <v>750</v>
      </c>
      <c r="Q33" s="119" t="s">
        <v>1172</v>
      </c>
      <c r="R33" s="120" t="str" cm="1">
        <f t="array" aca="1" ref="R33" ca="1">IF($C33="S",REFERENCIA.Descricao,"(digite a descrição aqui)")</f>
        <v>MONTAGEM DE ARMADURA TRANSVERSAL DE ESTACAS DE SEÇÃO CIRCULAR, DIÂMETRO = 6,30 MM. AF_09/2021_PS</v>
      </c>
      <c r="S33" s="121" t="str" cm="1">
        <f t="array" aca="1" ref="S33" ca="1">REFERENCIA.Unidade</f>
        <v>KG</v>
      </c>
      <c r="T33" s="122">
        <f ca="1">OFFSET(CÁLCULO!H$15,ROW($T33)-ROW(T$15),0)</f>
        <v>655</v>
      </c>
      <c r="U33" s="123">
        <f t="shared" ca="1" si="18"/>
        <v>14.43</v>
      </c>
      <c r="V33" s="124" t="s">
        <v>663</v>
      </c>
      <c r="W33" s="122" cm="1">
        <f t="array" aca="1" ref="W33" ca="1">IF($C33="S",ROUND(IF(TIPOORCAMENTO="Proposto",ORÇAMENTO.CustoUnitario*(1+$AH33),ORÇAMENTO.PrecoUnitarioLicitado),15-13*$AF$10),0)</f>
        <v>17.670000000000002</v>
      </c>
      <c r="X33" s="125" cm="1">
        <f t="array" aca="1" ref="X33" ca="1">IF($C33="S",IF(OR(Import.TipoArredondamento&lt;&gt;"TransfereGOV",ACOMPANHAMENTO="BM"),VTOTAL1,SUM(OFFSET(CÁLCULO!$AA$15,ROW($X33)-ROW($X$15),1):OFFSET(CÁLCULO!$AL$15,ROW($X33)-ROW($X$15),-1))),IF($C33=0,0,ROUND(SomaAgrup,15-13*$AF$11)))</f>
        <v>11573.85</v>
      </c>
      <c r="Y33" s="126" t="s">
        <v>751</v>
      </c>
      <c r="Z33" t="str">
        <f t="shared" ca="1" si="13"/>
        <v>RA</v>
      </c>
      <c r="AA33" s="127" cm="1">
        <f t="array" aca="1" ref="AA33" ca="1">IF($C33="S",IF($Z33="CP",$X33,IF($Z33="RA",(($X33)*QCI!$AA$3),0)),SomaAgrup)</f>
        <v>5409.938831752962</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95584</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6301</v>
      </c>
      <c r="AG33" s="428" cm="1">
        <f t="array" aca="1" ref="AG33" ca="1">ROUND(IF(DESONERACAO="sim",REFERENCIA.Desonerado,REFERENCIA.NaoDesonerado),2)</f>
        <v>14.43</v>
      </c>
      <c r="AH33" s="429">
        <f t="shared" ca="1" si="14"/>
        <v>0.22470000000000001</v>
      </c>
      <c r="AJ33" s="431">
        <v>655</v>
      </c>
      <c r="AL33" s="439"/>
      <c r="AM33" s="336">
        <f t="shared" ref="AM33:AM39" ca="1" si="19">$X33</f>
        <v>11573.85</v>
      </c>
      <c r="AN33" s="470" cm="1">
        <f t="array" aca="1" ref="AN33" ca="1">ROUND(ORÇAMENTO.CustoUnitario*(1+$AH33),2)</f>
        <v>17.670000000000002</v>
      </c>
    </row>
    <row r="34" spans="1:40" ht="38.25" x14ac:dyDescent="0.2">
      <c r="A34" t="str">
        <f t="shared" si="1"/>
        <v>S</v>
      </c>
      <c r="B34">
        <f t="shared" ca="1" si="2"/>
        <v>3</v>
      </c>
      <c r="C34" t="str">
        <f t="shared" ca="1" si="3"/>
        <v>S</v>
      </c>
      <c r="D34">
        <f t="shared" ca="1" si="4"/>
        <v>0</v>
      </c>
      <c r="E34">
        <f ca="1">IF($C34=1,OFFSET(E34,-1,0)+MAX(1,COUNTIF(QCI!$A$13:$A$24,OFFSET(ORÇAMENTO!E34,-1,0))),OFFSET(E34,-1,0))</f>
        <v>1</v>
      </c>
      <c r="F34">
        <f t="shared" ca="1" si="5"/>
        <v>4</v>
      </c>
      <c r="G34">
        <f t="shared" ca="1" si="6"/>
        <v>2</v>
      </c>
      <c r="H34">
        <f t="shared" ca="1" si="7"/>
        <v>0</v>
      </c>
      <c r="I34">
        <f t="shared" ca="1" si="8"/>
        <v>3</v>
      </c>
      <c r="J34">
        <f t="shared" ca="1" si="9"/>
        <v>0</v>
      </c>
      <c r="K34">
        <f ca="1">IF(OR($C34="S",$C34=0),0,MATCH(OFFSET($D34,0,$C34)+IF($C34&lt;&gt;1,1,COUNTIF(QCI!$A$13:$A$24,ORÇAMENTO!E34)),OFFSET($D34,1,$C34,ROW($C$240)-ROW($C34)),0))</f>
        <v>0</v>
      </c>
      <c r="L34" s="114" t="str">
        <f t="shared" ca="1" si="10"/>
        <v>F</v>
      </c>
      <c r="M34" s="115" t="s">
        <v>705</v>
      </c>
      <c r="N34" s="116" t="str">
        <f t="shared" ca="1" si="11"/>
        <v>Serviço</v>
      </c>
      <c r="O34" s="117" t="str">
        <f t="shared" ca="1" si="12"/>
        <v>1.4.2.0.3.</v>
      </c>
      <c r="P34" s="118" t="s">
        <v>750</v>
      </c>
      <c r="Q34" s="119" t="s">
        <v>1165</v>
      </c>
      <c r="R34" s="120" t="str" cm="1">
        <f t="array" aca="1" ref="R34" ca="1">IF($C34="S",REFERENCIA.Descricao,"(digite a descrição aqui)")</f>
        <v>ESCAVAÇÃO MECANIZADA PARA BLOCO DE COROAMENTO OU SAPATA COM RETROESCAVADEIRA (INCLUINDO ESCAVAÇÃO PARA COLOCAÇÃO DE FÔRMAS). AF_01/2024</v>
      </c>
      <c r="S34" s="121" t="str" cm="1">
        <f t="array" aca="1" ref="S34" ca="1">REFERENCIA.Unidade</f>
        <v>M3</v>
      </c>
      <c r="T34" s="122">
        <f ca="1">OFFSET(CÁLCULO!H$15,ROW($T34)-ROW(T$15),0)</f>
        <v>7.8</v>
      </c>
      <c r="U34" s="123">
        <f t="shared" ca="1" si="18"/>
        <v>44.85</v>
      </c>
      <c r="V34" s="124" t="s">
        <v>663</v>
      </c>
      <c r="W34" s="122" cm="1">
        <f t="array" aca="1" ref="W34" ca="1">IF($C34="S",ROUND(IF(TIPOORCAMENTO="Proposto",ORÇAMENTO.CustoUnitario*(1+$AH34),ORÇAMENTO.PrecoUnitarioLicitado),15-13*$AF$10),0)</f>
        <v>54.93</v>
      </c>
      <c r="X34" s="125" cm="1">
        <f t="array" aca="1" ref="X34" ca="1">IF($C34="S",IF(OR(Import.TipoArredondamento&lt;&gt;"TransfereGOV",ACOMPANHAMENTO="BM"),VTOTAL1,SUM(OFFSET(CÁLCULO!$AA$15,ROW($X34)-ROW($X$15),1):OFFSET(CÁLCULO!$AL$15,ROW($X34)-ROW($X$15),-1))),IF($C34=0,0,ROUND(SomaAgrup,15-13*$AF$11)))</f>
        <v>428.45</v>
      </c>
      <c r="Y34" s="126" t="s">
        <v>751</v>
      </c>
      <c r="Z34" t="str">
        <f t="shared" ca="1" si="13"/>
        <v>RA</v>
      </c>
      <c r="AA34" s="127" cm="1">
        <f t="array" aca="1" ref="AA34" ca="1">IF($C34="S",IF($Z34="CP",$X34,IF($Z34="RA",(($X34)*QCI!$AA$3),0)),SomaAgrup)</f>
        <v>200.26942568501894</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96521</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10148</v>
      </c>
      <c r="AG34" s="428" cm="1">
        <f t="array" aca="1" ref="AG34" ca="1">ROUND(IF(DESONERACAO="sim",REFERENCIA.Desonerado,REFERENCIA.NaoDesonerado),2)</f>
        <v>44.85</v>
      </c>
      <c r="AH34" s="429">
        <f t="shared" ca="1" si="14"/>
        <v>0.22470000000000001</v>
      </c>
      <c r="AJ34" s="431">
        <v>7.8</v>
      </c>
      <c r="AL34" s="439"/>
      <c r="AM34" s="336">
        <f t="shared" ca="1" si="19"/>
        <v>428.45</v>
      </c>
      <c r="AN34" s="470" cm="1">
        <f t="array" aca="1" ref="AN34" ca="1">ROUND(ORÇAMENTO.CustoUnitario*(1+$AH34),2)</f>
        <v>54.93</v>
      </c>
    </row>
    <row r="35" spans="1:40" ht="25.5" x14ac:dyDescent="0.2">
      <c r="A35" t="str">
        <f t="shared" si="1"/>
        <v>S</v>
      </c>
      <c r="B35">
        <f t="shared" ca="1" si="2"/>
        <v>3</v>
      </c>
      <c r="C35" t="str">
        <f t="shared" ca="1" si="3"/>
        <v>S</v>
      </c>
      <c r="D35">
        <f t="shared" ca="1" si="4"/>
        <v>0</v>
      </c>
      <c r="E35">
        <f ca="1">IF($C35=1,OFFSET(E35,-1,0)+MAX(1,COUNTIF(QCI!$A$13:$A$24,OFFSET(ORÇAMENTO!E35,-1,0))),OFFSET(E35,-1,0))</f>
        <v>1</v>
      </c>
      <c r="F35">
        <f t="shared" ca="1" si="5"/>
        <v>4</v>
      </c>
      <c r="G35">
        <f t="shared" ca="1" si="6"/>
        <v>2</v>
      </c>
      <c r="H35">
        <f t="shared" ca="1" si="7"/>
        <v>0</v>
      </c>
      <c r="I35">
        <f t="shared" ca="1" si="8"/>
        <v>4</v>
      </c>
      <c r="J35">
        <f t="shared" ca="1" si="9"/>
        <v>0</v>
      </c>
      <c r="K35">
        <f ca="1">IF(OR($C35="S",$C35=0),0,MATCH(OFFSET($D35,0,$C35)+IF($C35&lt;&gt;1,1,COUNTIF(QCI!$A$13:$A$24,ORÇAMENTO!E35)),OFFSET($D35,1,$C35,ROW($C$240)-ROW($C35)),0))</f>
        <v>0</v>
      </c>
      <c r="L35" s="114" t="str">
        <f t="shared" ca="1" si="10"/>
        <v>F</v>
      </c>
      <c r="M35" s="115" t="s">
        <v>705</v>
      </c>
      <c r="N35" s="116" t="str">
        <f t="shared" ca="1" si="11"/>
        <v>Serviço</v>
      </c>
      <c r="O35" s="117" t="str">
        <f t="shared" ca="1" si="12"/>
        <v>1.4.2.0.4.</v>
      </c>
      <c r="P35" s="118" t="s">
        <v>750</v>
      </c>
      <c r="Q35" s="119" t="s">
        <v>1166</v>
      </c>
      <c r="R35" s="120" t="str" cm="1">
        <f t="array" aca="1" ref="R35" ca="1">IF($C35="S",REFERENCIA.Descricao,"(digite a descrição aqui)")</f>
        <v>PREPARO DE FUNDO DE VALA COM LARGURA MENOR QUE 1,5 M, COM CAMADA DE BRITA, LANÇAMENTO MANUAL. AF_01/2026</v>
      </c>
      <c r="S35" s="121" t="str" cm="1">
        <f t="array" aca="1" ref="S35" ca="1">REFERENCIA.Unidade</f>
        <v>M3</v>
      </c>
      <c r="T35" s="122">
        <f ca="1">OFFSET(CÁLCULO!H$15,ROW($T35)-ROW(T$15),0)</f>
        <v>0.27</v>
      </c>
      <c r="U35" s="123">
        <f t="shared" ca="1" si="18"/>
        <v>279.44</v>
      </c>
      <c r="V35" s="124" t="s">
        <v>663</v>
      </c>
      <c r="W35" s="122" cm="1">
        <f t="array" aca="1" ref="W35" ca="1">IF($C35="S",ROUND(IF(TIPOORCAMENTO="Proposto",ORÇAMENTO.CustoUnitario*(1+$AH35),ORÇAMENTO.PrecoUnitarioLicitado),15-13*$AF$10),0)</f>
        <v>342.23</v>
      </c>
      <c r="X35" s="125" cm="1">
        <f t="array" aca="1" ref="X35" ca="1">IF($C35="S",IF(OR(Import.TipoArredondamento&lt;&gt;"TransfereGOV",ACOMPANHAMENTO="BM"),VTOTAL1,SUM(OFFSET(CÁLCULO!$AA$15,ROW($X35)-ROW($X$15),1):OFFSET(CÁLCULO!$AL$15,ROW($X35)-ROW($X$15),-1))),IF($C35=0,0,ROUND(SomaAgrup,15-13*$AF$11)))</f>
        <v>92.4</v>
      </c>
      <c r="Y35" s="126" t="s">
        <v>751</v>
      </c>
      <c r="Z35" t="str">
        <f t="shared" ca="1" si="13"/>
        <v>RA</v>
      </c>
      <c r="AA35" s="127" cm="1">
        <f t="array" aca="1" ref="AA35" ca="1">IF($C35="S",IF($Z35="CP",$X35,IF($Z35="RA",(($X35)*QCI!$AA$3),0)),SomaAgrup)</f>
        <v>43.190325436563782</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101619</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9525</v>
      </c>
      <c r="AG35" s="428" cm="1">
        <f t="array" aca="1" ref="AG35" ca="1">ROUND(IF(DESONERACAO="sim",REFERENCIA.Desonerado,REFERENCIA.NaoDesonerado),2)</f>
        <v>279.44</v>
      </c>
      <c r="AH35" s="429">
        <f t="shared" ca="1" si="14"/>
        <v>0.22470000000000001</v>
      </c>
      <c r="AJ35" s="431">
        <v>0.27</v>
      </c>
      <c r="AL35" s="439"/>
      <c r="AM35" s="336">
        <f t="shared" ca="1" si="19"/>
        <v>92.4</v>
      </c>
      <c r="AN35" s="470" cm="1">
        <f t="array" aca="1" ref="AN35" ca="1">ROUND(ORÇAMENTO.CustoUnitario*(1+$AH35),2)</f>
        <v>342.23</v>
      </c>
    </row>
    <row r="36" spans="1:40" ht="38.25" x14ac:dyDescent="0.2">
      <c r="A36" t="str">
        <f t="shared" si="1"/>
        <v>S</v>
      </c>
      <c r="B36">
        <f t="shared" ca="1" si="2"/>
        <v>3</v>
      </c>
      <c r="C36" t="str">
        <f t="shared" ca="1" si="3"/>
        <v>S</v>
      </c>
      <c r="D36">
        <f t="shared" ca="1" si="4"/>
        <v>0</v>
      </c>
      <c r="E36">
        <f ca="1">IF($C36=1,OFFSET(E36,-1,0)+MAX(1,COUNTIF(QCI!$A$13:$A$24,OFFSET(ORÇAMENTO!E36,-1,0))),OFFSET(E36,-1,0))</f>
        <v>1</v>
      </c>
      <c r="F36">
        <f t="shared" ca="1" si="5"/>
        <v>4</v>
      </c>
      <c r="G36">
        <f t="shared" ca="1" si="6"/>
        <v>2</v>
      </c>
      <c r="H36">
        <f t="shared" ca="1" si="7"/>
        <v>0</v>
      </c>
      <c r="I36">
        <f t="shared" ca="1" si="8"/>
        <v>5</v>
      </c>
      <c r="J36">
        <f t="shared" ca="1" si="9"/>
        <v>0</v>
      </c>
      <c r="K36">
        <f ca="1">IF(OR($C36="S",$C36=0),0,MATCH(OFFSET($D36,0,$C36)+IF($C36&lt;&gt;1,1,COUNTIF(QCI!$A$13:$A$24,ORÇAMENTO!E36)),OFFSET($D36,1,$C36,ROW($C$240)-ROW($C36)),0))</f>
        <v>0</v>
      </c>
      <c r="L36" s="114" t="str">
        <f t="shared" ca="1" si="10"/>
        <v>F</v>
      </c>
      <c r="M36" s="115" t="s">
        <v>705</v>
      </c>
      <c r="N36" s="116" t="str">
        <f t="shared" ca="1" si="11"/>
        <v>Serviço</v>
      </c>
      <c r="O36" s="117" t="str">
        <f t="shared" ca="1" si="12"/>
        <v>1.4.2.0.5.</v>
      </c>
      <c r="P36" s="118" t="s">
        <v>750</v>
      </c>
      <c r="Q36" s="119" t="s">
        <v>1173</v>
      </c>
      <c r="R36" s="120" t="str" cm="1">
        <f t="array" aca="1" ref="R36" ca="1">IF($C36="S",REFERENCIA.Descricao,"(digite a descrição aqui)")</f>
        <v>FABRICAÇÃO, MONTAGEM E DESMONTAGEM DE FÔRMA PARA BLOCO DE COROAMENTO, EM MADEIRA SERRADA, E=25 MM, 4 UTILIZAÇÕES. AF_01/2024</v>
      </c>
      <c r="S36" s="121" t="str" cm="1">
        <f t="array" aca="1" ref="S36" ca="1">REFERENCIA.Unidade</f>
        <v>M2</v>
      </c>
      <c r="T36" s="122">
        <f ca="1">OFFSET(CÁLCULO!H$15,ROW($T36)-ROW(T$15),0)</f>
        <v>111</v>
      </c>
      <c r="U36" s="123">
        <f t="shared" ca="1" si="18"/>
        <v>78.150000000000006</v>
      </c>
      <c r="V36" s="124" t="s">
        <v>663</v>
      </c>
      <c r="W36" s="122" cm="1">
        <f t="array" aca="1" ref="W36" ca="1">IF($C36="S",ROUND(IF(TIPOORCAMENTO="Proposto",ORÇAMENTO.CustoUnitario*(1+$AH36),ORÇAMENTO.PrecoUnitarioLicitado),15-13*$AF$10),0)</f>
        <v>95.71</v>
      </c>
      <c r="X36" s="125" cm="1">
        <f t="array" aca="1" ref="X36" ca="1">IF($C36="S",IF(OR(Import.TipoArredondamento&lt;&gt;"TransfereGOV",ACOMPANHAMENTO="BM"),VTOTAL1,SUM(OFFSET(CÁLCULO!$AA$15,ROW($X36)-ROW($X$15),1):OFFSET(CÁLCULO!$AL$15,ROW($X36)-ROW($X$15),-1))),IF($C36=0,0,ROUND(SomaAgrup,15-13*$AF$11)))</f>
        <v>10623.81</v>
      </c>
      <c r="Y36" s="126" t="s">
        <v>751</v>
      </c>
      <c r="Z36" t="str">
        <f t="shared" ca="1" si="13"/>
        <v>RA</v>
      </c>
      <c r="AA36" s="127" cm="1">
        <f t="array" aca="1" ref="AA36" ca="1">IF($C36="S",IF($Z36="CP",$X36,IF($Z36="RA",(($X36)*QCI!$AA$3),0)),SomaAgrup)</f>
        <v>4965.8637584006565</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96534</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10156</v>
      </c>
      <c r="AG36" s="428" cm="1">
        <f t="array" aca="1" ref="AG36" ca="1">ROUND(IF(DESONERACAO="sim",REFERENCIA.Desonerado,REFERENCIA.NaoDesonerado),2)</f>
        <v>78.150000000000006</v>
      </c>
      <c r="AH36" s="429">
        <f t="shared" ca="1" si="14"/>
        <v>0.22470000000000001</v>
      </c>
      <c r="AJ36" s="431">
        <v>111</v>
      </c>
      <c r="AL36" s="439"/>
      <c r="AM36" s="336">
        <f t="shared" ca="1" si="19"/>
        <v>10623.81</v>
      </c>
      <c r="AN36" s="470" cm="1">
        <f t="array" aca="1" ref="AN36" ca="1">ROUND(ORÇAMENTO.CustoUnitario*(1+$AH36),2)</f>
        <v>95.71</v>
      </c>
    </row>
    <row r="37" spans="1:40" ht="25.5" x14ac:dyDescent="0.2">
      <c r="A37" t="str">
        <f t="shared" si="1"/>
        <v>S</v>
      </c>
      <c r="B37">
        <f t="shared" ca="1" si="2"/>
        <v>3</v>
      </c>
      <c r="C37" t="str">
        <f t="shared" ca="1" si="3"/>
        <v>S</v>
      </c>
      <c r="D37">
        <f t="shared" ca="1" si="4"/>
        <v>0</v>
      </c>
      <c r="E37">
        <f ca="1">IF($C37=1,OFFSET(E37,-1,0)+MAX(1,COUNTIF(QCI!$A$13:$A$24,OFFSET(ORÇAMENTO!E37,-1,0))),OFFSET(E37,-1,0))</f>
        <v>1</v>
      </c>
      <c r="F37">
        <f t="shared" ca="1" si="5"/>
        <v>4</v>
      </c>
      <c r="G37">
        <f t="shared" ca="1" si="6"/>
        <v>2</v>
      </c>
      <c r="H37">
        <f t="shared" ca="1" si="7"/>
        <v>0</v>
      </c>
      <c r="I37">
        <f t="shared" ca="1" si="8"/>
        <v>6</v>
      </c>
      <c r="J37">
        <f t="shared" ca="1" si="9"/>
        <v>0</v>
      </c>
      <c r="K37">
        <f ca="1">IF(OR($C37="S",$C37=0),0,MATCH(OFFSET($D37,0,$C37)+IF($C37&lt;&gt;1,1,COUNTIF(QCI!$A$13:$A$24,ORÇAMENTO!E37)),OFFSET($D37,1,$C37,ROW($C$240)-ROW($C37)),0))</f>
        <v>0</v>
      </c>
      <c r="L37" s="114" t="str">
        <f t="shared" ca="1" si="10"/>
        <v>F</v>
      </c>
      <c r="M37" s="115" t="s">
        <v>705</v>
      </c>
      <c r="N37" s="116" t="str">
        <f t="shared" ca="1" si="11"/>
        <v>Serviço</v>
      </c>
      <c r="O37" s="117" t="str">
        <f t="shared" ca="1" si="12"/>
        <v>1.4.2.0.6.</v>
      </c>
      <c r="P37" s="118" t="s">
        <v>750</v>
      </c>
      <c r="Q37" s="119" t="s">
        <v>1168</v>
      </c>
      <c r="R37" s="120" t="str" cm="1">
        <f t="array" aca="1" ref="R37" ca="1">IF($C37="S",REFERENCIA.Descricao,"(digite a descrição aqui)")</f>
        <v>ARMAÇÃO DE BLOCO UTILIZANDO AÇO CA-50 DE 10 MM - MONTAGEM. AF_01/2024</v>
      </c>
      <c r="S37" s="121" t="str" cm="1">
        <f t="array" aca="1" ref="S37" ca="1">REFERENCIA.Unidade</f>
        <v>KG</v>
      </c>
      <c r="T37" s="122">
        <f ca="1">OFFSET(CÁLCULO!H$15,ROW($T37)-ROW(T$15),0)</f>
        <v>62.3</v>
      </c>
      <c r="U37" s="123">
        <f t="shared" ca="1" si="18"/>
        <v>14.52</v>
      </c>
      <c r="V37" s="124" t="s">
        <v>663</v>
      </c>
      <c r="W37" s="122" cm="1">
        <f t="array" aca="1" ref="W37" ca="1">IF($C37="S",ROUND(IF(TIPOORCAMENTO="Proposto",ORÇAMENTO.CustoUnitario*(1+$AH37),ORÇAMENTO.PrecoUnitarioLicitado),15-13*$AF$10),0)</f>
        <v>17.78</v>
      </c>
      <c r="X37" s="125" cm="1">
        <f t="array" aca="1" ref="X37" ca="1">IF($C37="S",IF(OR(Import.TipoArredondamento&lt;&gt;"TransfereGOV",ACOMPANHAMENTO="BM"),VTOTAL1,SUM(OFFSET(CÁLCULO!$AA$15,ROW($X37)-ROW($X$15),1):OFFSET(CÁLCULO!$AL$15,ROW($X37)-ROW($X$15),-1))),IF($C37=0,0,ROUND(SomaAgrup,15-13*$AF$11)))</f>
        <v>1107.69</v>
      </c>
      <c r="Y37" s="126" t="s">
        <v>751</v>
      </c>
      <c r="Z37" t="str">
        <f t="shared" ca="1" si="13"/>
        <v>RA</v>
      </c>
      <c r="AA37" s="127" cm="1">
        <f t="array" aca="1" ref="AA37" ca="1">IF($C37="S",IF($Z37="CP",$X37,IF($Z37="RA",(($X37)*QCI!$AA$3),0)),SomaAgrup)</f>
        <v>517.76506042020924</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96546</v>
      </c>
      <c r="AF37" s="1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10127</v>
      </c>
      <c r="AG37" s="428" cm="1">
        <f t="array" aca="1" ref="AG37" ca="1">ROUND(IF(DESONERACAO="sim",REFERENCIA.Desonerado,REFERENCIA.NaoDesonerado),2)</f>
        <v>14.52</v>
      </c>
      <c r="AH37" s="429">
        <f t="shared" ca="1" si="14"/>
        <v>0.22470000000000001</v>
      </c>
      <c r="AJ37" s="431">
        <v>62.3</v>
      </c>
      <c r="AL37" s="439"/>
      <c r="AM37" s="336">
        <f t="shared" ca="1" si="19"/>
        <v>1107.69</v>
      </c>
      <c r="AN37" s="470" cm="1">
        <f t="array" aca="1" ref="AN37" ca="1">ROUND(ORÇAMENTO.CustoUnitario*(1+$AH37),2)</f>
        <v>17.78</v>
      </c>
    </row>
    <row r="38" spans="1:40" ht="25.5" x14ac:dyDescent="0.2">
      <c r="A38" t="str">
        <f t="shared" si="1"/>
        <v>S</v>
      </c>
      <c r="B38">
        <f t="shared" ca="1" si="2"/>
        <v>3</v>
      </c>
      <c r="C38" t="str">
        <f t="shared" ca="1" si="3"/>
        <v>S</v>
      </c>
      <c r="D38">
        <f t="shared" ca="1" si="4"/>
        <v>0</v>
      </c>
      <c r="E38">
        <f ca="1">IF($C38=1,OFFSET(E38,-1,0)+MAX(1,COUNTIF(QCI!$A$13:$A$24,OFFSET(ORÇAMENTO!E38,-1,0))),OFFSET(E38,-1,0))</f>
        <v>1</v>
      </c>
      <c r="F38">
        <f t="shared" ca="1" si="5"/>
        <v>4</v>
      </c>
      <c r="G38">
        <f t="shared" ca="1" si="6"/>
        <v>2</v>
      </c>
      <c r="H38">
        <f t="shared" ca="1" si="7"/>
        <v>0</v>
      </c>
      <c r="I38">
        <f t="shared" ca="1" si="8"/>
        <v>7</v>
      </c>
      <c r="J38">
        <f t="shared" ca="1" si="9"/>
        <v>0</v>
      </c>
      <c r="K38">
        <f ca="1">IF(OR($C38="S",$C38=0),0,MATCH(OFFSET($D38,0,$C38)+IF($C38&lt;&gt;1,1,COUNTIF(QCI!$A$13:$A$24,ORÇAMENTO!E38)),OFFSET($D38,1,$C38,ROW($C$240)-ROW($C38)),0))</f>
        <v>0</v>
      </c>
      <c r="L38" s="114" t="str">
        <f t="shared" ca="1" si="10"/>
        <v>F</v>
      </c>
      <c r="M38" s="115" t="s">
        <v>705</v>
      </c>
      <c r="N38" s="116" t="str">
        <f t="shared" ca="1" si="11"/>
        <v>Serviço</v>
      </c>
      <c r="O38" s="117" t="str">
        <f t="shared" ca="1" si="12"/>
        <v>1.4.2.0.7.</v>
      </c>
      <c r="P38" s="118" t="s">
        <v>750</v>
      </c>
      <c r="Q38" s="119" t="s">
        <v>1174</v>
      </c>
      <c r="R38" s="120" t="str" cm="1">
        <f t="array" aca="1" ref="R38" ca="1">IF($C38="S",REFERENCIA.Descricao,"(digite a descrição aqui)")</f>
        <v>ARMAÇÃO DE BLOCO UTILIZANDO AÇO CA-60 DE 5 MM - MONTAGEM. AF_01/2024</v>
      </c>
      <c r="S38" s="121" t="str" cm="1">
        <f t="array" aca="1" ref="S38" ca="1">REFERENCIA.Unidade</f>
        <v>KG</v>
      </c>
      <c r="T38" s="122">
        <f ca="1">OFFSET(CÁLCULO!H$15,ROW($T38)-ROW(T$15),0)</f>
        <v>357.77</v>
      </c>
      <c r="U38" s="123">
        <f t="shared" ca="1" si="18"/>
        <v>20.92</v>
      </c>
      <c r="V38" s="124" t="s">
        <v>663</v>
      </c>
      <c r="W38" s="122" cm="1">
        <f t="array" aca="1" ref="W38" ca="1">IF($C38="S",ROUND(IF(TIPOORCAMENTO="Proposto",ORÇAMENTO.CustoUnitario*(1+$AH38),ORÇAMENTO.PrecoUnitarioLicitado),15-13*$AF$10),0)</f>
        <v>25.62</v>
      </c>
      <c r="X38" s="125" cm="1">
        <f t="array" aca="1" ref="X38" ca="1">IF($C38="S",IF(OR(Import.TipoArredondamento&lt;&gt;"TransfereGOV",ACOMPANHAMENTO="BM"),VTOTAL1,SUM(OFFSET(CÁLCULO!$AA$15,ROW($X38)-ROW($X$15),1):OFFSET(CÁLCULO!$AL$15,ROW($X38)-ROW($X$15),-1))),IF($C38=0,0,ROUND(SomaAgrup,15-13*$AF$11)))</f>
        <v>9166.07</v>
      </c>
      <c r="Y38" s="126" t="s">
        <v>751</v>
      </c>
      <c r="Z38" t="str">
        <f t="shared" ca="1" si="13"/>
        <v>RA</v>
      </c>
      <c r="AA38" s="127" cm="1">
        <f t="array" aca="1" ref="AA38" ca="1">IF($C38="S",IF($Z38="CP",$X38,IF($Z38="RA",(($X38)*QCI!$AA$3),0)),SomaAgrup)</f>
        <v>4284.4756090294823</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96543</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10130</v>
      </c>
      <c r="AG38" s="428" cm="1">
        <f t="array" aca="1" ref="AG38" ca="1">ROUND(IF(DESONERACAO="sim",REFERENCIA.Desonerado,REFERENCIA.NaoDesonerado),2)</f>
        <v>20.92</v>
      </c>
      <c r="AH38" s="429">
        <f t="shared" ca="1" si="14"/>
        <v>0.22470000000000001</v>
      </c>
      <c r="AJ38" s="431">
        <v>357.77</v>
      </c>
      <c r="AL38" s="439"/>
      <c r="AM38" s="336">
        <f t="shared" ca="1" si="19"/>
        <v>9166.07</v>
      </c>
      <c r="AN38" s="470" cm="1">
        <f t="array" aca="1" ref="AN38" ca="1">ROUND(ORÇAMENTO.CustoUnitario*(1+$AH38),2)</f>
        <v>25.62</v>
      </c>
    </row>
    <row r="39" spans="1:40" ht="38.25" x14ac:dyDescent="0.2">
      <c r="A39" t="str">
        <f t="shared" si="1"/>
        <v>S</v>
      </c>
      <c r="B39">
        <f t="shared" ca="1" si="2"/>
        <v>3</v>
      </c>
      <c r="C39" t="str">
        <f t="shared" ca="1" si="3"/>
        <v>S</v>
      </c>
      <c r="D39">
        <f t="shared" ca="1" si="4"/>
        <v>0</v>
      </c>
      <c r="E39">
        <f ca="1">IF($C39=1,OFFSET(E39,-1,0)+MAX(1,COUNTIF(QCI!$A$13:$A$24,OFFSET(ORÇAMENTO!E39,-1,0))),OFFSET(E39,-1,0))</f>
        <v>1</v>
      </c>
      <c r="F39">
        <f t="shared" ca="1" si="5"/>
        <v>4</v>
      </c>
      <c r="G39">
        <f t="shared" ca="1" si="6"/>
        <v>2</v>
      </c>
      <c r="H39">
        <f t="shared" ca="1" si="7"/>
        <v>0</v>
      </c>
      <c r="I39">
        <f t="shared" ca="1" si="8"/>
        <v>8</v>
      </c>
      <c r="J39">
        <f t="shared" ca="1" si="9"/>
        <v>0</v>
      </c>
      <c r="K39">
        <f ca="1">IF(OR($C39="S",$C39=0),0,MATCH(OFFSET($D39,0,$C39)+IF($C39&lt;&gt;1,1,COUNTIF(QCI!$A$13:$A$24,ORÇAMENTO!E39)),OFFSET($D39,1,$C39,ROW($C$240)-ROW($C39)),0))</f>
        <v>0</v>
      </c>
      <c r="L39" s="114" t="str">
        <f t="shared" ca="1" si="10"/>
        <v>F</v>
      </c>
      <c r="M39" s="115" t="s">
        <v>705</v>
      </c>
      <c r="N39" s="116" t="str">
        <f t="shared" ca="1" si="11"/>
        <v>Serviço</v>
      </c>
      <c r="O39" s="117" t="str">
        <f t="shared" ca="1" si="12"/>
        <v>1.4.2.0.8.</v>
      </c>
      <c r="P39" s="118" t="s">
        <v>1097</v>
      </c>
      <c r="Q39" s="119" t="s">
        <v>1175</v>
      </c>
      <c r="R39" s="120" t="str" cm="1">
        <f t="array" aca="1" ref="R39" ca="1">IF($C39="S",REFERENCIA.Descricao,"(digite a descrição aqui)")</f>
        <v>CONCRETAGEM DE BLOCO DE COROAMENTO OU VIGA BALDRAME, FCK 30 MPA, COM USO DE BOMBA - LANÇAMENTO, ADENSAMENTO E ACABAMENTO. AF_01/2024</v>
      </c>
      <c r="S39" s="121" t="str" cm="1">
        <f t="array" aca="1" ref="S39" ca="1">REFERENCIA.Unidade</f>
        <v>M3</v>
      </c>
      <c r="T39" s="122">
        <f ca="1">OFFSET(CÁLCULO!H$15,ROW($T39)-ROW(T$15),0)</f>
        <v>52</v>
      </c>
      <c r="U39" s="123">
        <f t="shared" ca="1" si="18"/>
        <v>759.01</v>
      </c>
      <c r="V39" s="124" t="s">
        <v>663</v>
      </c>
      <c r="W39" s="122" cm="1">
        <f t="array" aca="1" ref="W39" ca="1">IF($C39="S",ROUND(IF(TIPOORCAMENTO="Proposto",ORÇAMENTO.CustoUnitario*(1+$AH39),ORÇAMENTO.PrecoUnitarioLicitado),15-13*$AF$10),0)</f>
        <v>929.56</v>
      </c>
      <c r="X39" s="125" cm="1">
        <f t="array" aca="1" ref="X39" ca="1">IF($C39="S",IF(OR(Import.TipoArredondamento&lt;&gt;"TransfereGOV",ACOMPANHAMENTO="BM"),VTOTAL1,SUM(OFFSET(CÁLCULO!$AA$15,ROW($X39)-ROW($X$15),1):OFFSET(CÁLCULO!$AL$15,ROW($X39)-ROW($X$15),-1))),IF($C39=0,0,ROUND(SomaAgrup,15-13*$AF$11)))</f>
        <v>48337.120000000003</v>
      </c>
      <c r="Y39" s="126" t="s">
        <v>751</v>
      </c>
      <c r="Z39" t="str">
        <f t="shared" ca="1" si="13"/>
        <v>RA</v>
      </c>
      <c r="AA39" s="127" cm="1">
        <f t="array" aca="1" ref="AA39" ca="1">IF($C39="S",IF($Z39="CP",$X39,IF($Z39="RA",(($X39)*QCI!$AA$3),0)),SomaAgrup)</f>
        <v>22594.111942275282</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COMPOSIÇÃO 007</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9</v>
      </c>
      <c r="AG39" s="428" cm="1">
        <f t="array" aca="1" ref="AG39" ca="1">ROUND(IF(DESONERACAO="sim",REFERENCIA.Desonerado,REFERENCIA.NaoDesonerado),2)</f>
        <v>759.01</v>
      </c>
      <c r="AH39" s="429">
        <f t="shared" ca="1" si="14"/>
        <v>0.22470000000000001</v>
      </c>
      <c r="AJ39" s="431">
        <v>52</v>
      </c>
      <c r="AL39" s="439"/>
      <c r="AM39" s="336">
        <f t="shared" ca="1" si="19"/>
        <v>48337.120000000003</v>
      </c>
      <c r="AN39" s="470" cm="1">
        <f t="array" aca="1" ref="AN39" ca="1">ROUND(ORÇAMENTO.CustoUnitario*(1+$AH39),2)</f>
        <v>929.56</v>
      </c>
    </row>
    <row r="40" spans="1:40" x14ac:dyDescent="0.2">
      <c r="A40">
        <f t="shared" si="1"/>
        <v>3</v>
      </c>
      <c r="B40">
        <f t="shared" ca="1" si="2"/>
        <v>3</v>
      </c>
      <c r="C40">
        <f t="shared" ca="1" si="3"/>
        <v>3</v>
      </c>
      <c r="D40">
        <f t="shared" ca="1" si="4"/>
        <v>5</v>
      </c>
      <c r="E40">
        <f ca="1">IF($C40=1,OFFSET(E40,-1,0)+MAX(1,COUNTIF(QCI!$A$13:$A$24,OFFSET(ORÇAMENTO!E40,-1,0))),OFFSET(E40,-1,0))</f>
        <v>1</v>
      </c>
      <c r="F40">
        <f t="shared" ca="1" si="5"/>
        <v>4</v>
      </c>
      <c r="G40">
        <f t="shared" ca="1" si="6"/>
        <v>3</v>
      </c>
      <c r="H40">
        <f t="shared" ca="1" si="7"/>
        <v>0</v>
      </c>
      <c r="I40">
        <f t="shared" ca="1" si="8"/>
        <v>0</v>
      </c>
      <c r="J40">
        <f t="shared" ca="1" si="9"/>
        <v>63</v>
      </c>
      <c r="K40">
        <f ca="1">IF(OR($C40="S",$C40=0),0,MATCH(OFFSET($D40,0,$C40)+IF($C40&lt;&gt;1,1,COUNTIF(QCI!$A$13:$A$24,ORÇAMENTO!E40)),OFFSET($D40,1,$C40,ROW($C$240)-ROW($C40)),0))</f>
        <v>5</v>
      </c>
      <c r="L40" s="114" t="str">
        <f t="shared" ca="1" si="10"/>
        <v>F</v>
      </c>
      <c r="M40" s="115" t="s">
        <v>703</v>
      </c>
      <c r="N40" s="116" t="str">
        <f t="shared" ca="1" si="11"/>
        <v>Nível 3</v>
      </c>
      <c r="O40" s="117" t="str">
        <f t="shared" ca="1" si="12"/>
        <v>1.4.3.</v>
      </c>
      <c r="P40" s="118" t="s">
        <v>750</v>
      </c>
      <c r="Q40" s="119"/>
      <c r="R40" s="120" t="s">
        <v>1031</v>
      </c>
      <c r="S40" s="121" t="str" cm="1">
        <f t="array" aca="1" ref="S40" ca="1">REFERENCIA.Unidade</f>
        <v>-</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35261.519999999997</v>
      </c>
      <c r="Y40" s="126" t="s">
        <v>751</v>
      </c>
      <c r="Z40" t="str">
        <f t="shared" ca="1" si="13"/>
        <v/>
      </c>
      <c r="AA40" s="127" cm="1">
        <f t="array" aca="1" ref="AA40" ca="1">IF($C40="S",IF($Z40="CP",$X40,IF($Z40="RA",(($X40)*QCI!$AA$3),0)),SomaAgrup)</f>
        <v>16482.213465237037</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4"/>
        <v>0.22470000000000001</v>
      </c>
      <c r="AJ40" s="431"/>
      <c r="AL40" s="439"/>
      <c r="AM40" s="336">
        <f t="shared" ref="AM40:AM44" ca="1" si="20">$X40</f>
        <v>35261.519999999997</v>
      </c>
      <c r="AN40" s="470" cm="1">
        <f t="array" aca="1" ref="AN40" ca="1">ROUND(ORÇAMENTO.CustoUnitario*(1+$AH40),2)</f>
        <v>0</v>
      </c>
    </row>
    <row r="41" spans="1:40" ht="51" x14ac:dyDescent="0.2">
      <c r="A41" t="str">
        <f t="shared" si="1"/>
        <v>S</v>
      </c>
      <c r="B41">
        <f t="shared" ca="1" si="2"/>
        <v>3</v>
      </c>
      <c r="C41" t="str">
        <f t="shared" ca="1" si="3"/>
        <v>S</v>
      </c>
      <c r="D41">
        <f t="shared" ca="1" si="4"/>
        <v>0</v>
      </c>
      <c r="E41">
        <f ca="1">IF($C41=1,OFFSET(E41,-1,0)+MAX(1,COUNTIF(QCI!$A$13:$A$24,OFFSET(ORÇAMENTO!E41,-1,0))),OFFSET(E41,-1,0))</f>
        <v>1</v>
      </c>
      <c r="F41">
        <f t="shared" ca="1" si="5"/>
        <v>4</v>
      </c>
      <c r="G41">
        <f t="shared" ca="1" si="6"/>
        <v>3</v>
      </c>
      <c r="H41">
        <f t="shared" ca="1" si="7"/>
        <v>0</v>
      </c>
      <c r="I41">
        <f t="shared" ca="1" si="8"/>
        <v>1</v>
      </c>
      <c r="J41">
        <f t="shared" ca="1" si="9"/>
        <v>0</v>
      </c>
      <c r="K41">
        <f ca="1">IF(OR($C41="S",$C41=0),0,MATCH(OFFSET($D41,0,$C41)+IF($C41&lt;&gt;1,1,COUNTIF(QCI!$A$13:$A$24,ORÇAMENTO!E41)),OFFSET($D41,1,$C41,ROW($C$240)-ROW($C41)),0))</f>
        <v>0</v>
      </c>
      <c r="L41" s="114" t="str">
        <f t="shared" ca="1" si="10"/>
        <v>F</v>
      </c>
      <c r="M41" s="115" t="s">
        <v>705</v>
      </c>
      <c r="N41" s="116" t="str">
        <f t="shared" ca="1" si="11"/>
        <v>Serviço</v>
      </c>
      <c r="O41" s="117" t="str">
        <f t="shared" ca="1" si="12"/>
        <v>1.4.3.0.1.</v>
      </c>
      <c r="P41" s="118" t="s">
        <v>750</v>
      </c>
      <c r="Q41" s="119" t="s">
        <v>1179</v>
      </c>
      <c r="R41" s="120" t="str" cm="1">
        <f t="array" aca="1" ref="R41" ca="1">IF($C41="S",REFERENCIA.Descricao,"(digite a descrição aqui)")</f>
        <v>MONTAGEM E DESMONTAGEM DE FÔRMA DE PILARES RETANGULARES E ESTRUTURAS SIMILARES, PÉ-DIREITO SIMPLES, EM CHAPA DE MADEIRA COMPENSADA PLASTIFICADA, 14 UTILIZAÇÕES. AF_09/2020</v>
      </c>
      <c r="S41" s="121" t="str" cm="1">
        <f t="array" aca="1" ref="S41" ca="1">REFERENCIA.Unidade</f>
        <v>M2</v>
      </c>
      <c r="T41" s="122">
        <f ca="1">OFFSET(CÁLCULO!H$15,ROW($T41)-ROW(T$15),0)</f>
        <v>21.9</v>
      </c>
      <c r="U41" s="123">
        <f t="shared" ref="U41:U44" ca="1" si="21">AG41</f>
        <v>62.85</v>
      </c>
      <c r="V41" s="124" t="s">
        <v>663</v>
      </c>
      <c r="W41" s="122" cm="1">
        <f t="array" aca="1" ref="W41" ca="1">IF($C41="S",ROUND(IF(TIPOORCAMENTO="Proposto",ORÇAMENTO.CustoUnitario*(1+$AH41),ORÇAMENTO.PrecoUnitarioLicitado),15-13*$AF$10),0)</f>
        <v>76.97</v>
      </c>
      <c r="X41" s="125" cm="1">
        <f t="array" aca="1" ref="X41" ca="1">IF($C41="S",IF(OR(Import.TipoArredondamento&lt;&gt;"TransfereGOV",ACOMPANHAMENTO="BM"),VTOTAL1,SUM(OFFSET(CÁLCULO!$AA$15,ROW($X41)-ROW($X$15),1):OFFSET(CÁLCULO!$AL$15,ROW($X41)-ROW($X$15),-1))),IF($C41=0,0,ROUND(SomaAgrup,15-13*$AF$11)))</f>
        <v>1685.64</v>
      </c>
      <c r="Y41" s="126" t="s">
        <v>751</v>
      </c>
      <c r="Z41" t="str">
        <f t="shared" ca="1" si="13"/>
        <v>RA</v>
      </c>
      <c r="AA41" s="127" cm="1">
        <f t="array" aca="1" ref="AA41" ca="1">IF($C41="S",IF($Z41="CP",$X41,IF($Z41="RA",(($X41)*QCI!$AA$3),0)),SomaAgrup)</f>
        <v>787.91493689274216</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92439</v>
      </c>
      <c r="AF41" s="12"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10233</v>
      </c>
      <c r="AG41" s="428" cm="1">
        <f t="array" aca="1" ref="AG41" ca="1">ROUND(IF(DESONERACAO="sim",REFERENCIA.Desonerado,REFERENCIA.NaoDesonerado),2)</f>
        <v>62.85</v>
      </c>
      <c r="AH41" s="429">
        <f t="shared" ca="1" si="14"/>
        <v>0.22470000000000001</v>
      </c>
      <c r="AJ41" s="431">
        <v>21.9</v>
      </c>
      <c r="AL41" s="439"/>
      <c r="AM41" s="336">
        <f t="shared" ca="1" si="20"/>
        <v>1685.64</v>
      </c>
      <c r="AN41" s="470" cm="1">
        <f t="array" aca="1" ref="AN41" ca="1">ROUND(ORÇAMENTO.CustoUnitario*(1+$AH41),2)</f>
        <v>76.97</v>
      </c>
    </row>
    <row r="42" spans="1:40" ht="38.25" x14ac:dyDescent="0.2">
      <c r="A42" t="str">
        <f t="shared" si="1"/>
        <v>S</v>
      </c>
      <c r="B42">
        <f t="shared" ca="1" si="2"/>
        <v>3</v>
      </c>
      <c r="C42" t="str">
        <f t="shared" ca="1" si="3"/>
        <v>S</v>
      </c>
      <c r="D42">
        <f t="shared" ca="1" si="4"/>
        <v>0</v>
      </c>
      <c r="E42">
        <f ca="1">IF($C42=1,OFFSET(E42,-1,0)+MAX(1,COUNTIF(QCI!$A$13:$A$24,OFFSET(ORÇAMENTO!E42,-1,0))),OFFSET(E42,-1,0))</f>
        <v>1</v>
      </c>
      <c r="F42">
        <f t="shared" ca="1" si="5"/>
        <v>4</v>
      </c>
      <c r="G42">
        <f t="shared" ca="1" si="6"/>
        <v>3</v>
      </c>
      <c r="H42">
        <f t="shared" ca="1" si="7"/>
        <v>0</v>
      </c>
      <c r="I42">
        <f t="shared" ca="1" si="8"/>
        <v>2</v>
      </c>
      <c r="J42">
        <f t="shared" ca="1" si="9"/>
        <v>0</v>
      </c>
      <c r="K42">
        <f ca="1">IF(OR($C42="S",$C42=0),0,MATCH(OFFSET($D42,0,$C42)+IF($C42&lt;&gt;1,1,COUNTIF(QCI!$A$13:$A$24,ORÇAMENTO!E42)),OFFSET($D42,1,$C42,ROW($C$240)-ROW($C42)),0))</f>
        <v>0</v>
      </c>
      <c r="L42" s="114" t="str">
        <f t="shared" ca="1" si="10"/>
        <v>F</v>
      </c>
      <c r="M42" s="115" t="s">
        <v>705</v>
      </c>
      <c r="N42" s="116" t="str">
        <f t="shared" ca="1" si="11"/>
        <v>Serviço</v>
      </c>
      <c r="O42" s="117" t="str">
        <f t="shared" ca="1" si="12"/>
        <v>1.4.3.0.2.</v>
      </c>
      <c r="P42" s="118" t="s">
        <v>750</v>
      </c>
      <c r="Q42" s="119" t="s">
        <v>1176</v>
      </c>
      <c r="R42" s="120" t="str" cm="1">
        <f t="array" aca="1" ref="R42" ca="1">IF($C42="S",REFERENCIA.Descricao,"(digite a descrição aqui)")</f>
        <v>ARMAÇÃO DE PILAR OU VIGA DE ESTRUTURA DE CONCRETO ARMADO EMBUTIDA EM ALVENARIA DE VEDAÇÃO UTILIZANDO AÇO CA-60 DE 5,0 MM - MONTAGEM. AF_06/2022</v>
      </c>
      <c r="S42" s="121" t="str" cm="1">
        <f t="array" aca="1" ref="S42" ca="1">REFERENCIA.Unidade</f>
        <v>KG</v>
      </c>
      <c r="T42" s="122">
        <f ca="1">OFFSET(CÁLCULO!H$15,ROW($T42)-ROW(T$15),0)</f>
        <v>249.45</v>
      </c>
      <c r="U42" s="123">
        <f t="shared" ca="1" si="21"/>
        <v>21.4</v>
      </c>
      <c r="V42" s="124" t="s">
        <v>663</v>
      </c>
      <c r="W42" s="122" cm="1">
        <f t="array" aca="1" ref="W42" ca="1">IF($C42="S",ROUND(IF(TIPOORCAMENTO="Proposto",ORÇAMENTO.CustoUnitario*(1+$AH42),ORÇAMENTO.PrecoUnitarioLicitado),15-13*$AF$10),0)</f>
        <v>26.21</v>
      </c>
      <c r="X42" s="125" cm="1">
        <f t="array" aca="1" ref="X42" ca="1">IF($C42="S",IF(OR(Import.TipoArredondamento&lt;&gt;"TransfereGOV",ACOMPANHAMENTO="BM"),VTOTAL1,SUM(OFFSET(CÁLCULO!$AA$15,ROW($X42)-ROW($X$15),1):OFFSET(CÁLCULO!$AL$15,ROW($X42)-ROW($X$15),-1))),IF($C42=0,0,ROUND(SomaAgrup,15-13*$AF$11)))</f>
        <v>6538.08</v>
      </c>
      <c r="Y42" s="126" t="s">
        <v>751</v>
      </c>
      <c r="Z42" t="str">
        <f t="shared" ca="1" si="13"/>
        <v>RA</v>
      </c>
      <c r="AA42" s="127" cm="1">
        <f t="array" aca="1" ref="AA42" ca="1">IF($C42="S",IF($Z42="CP",$X42,IF($Z42="RA",(($X42)*QCI!$AA$3),0)),SomaAgrup)</f>
        <v>3056.08011829317</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104111</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6335</v>
      </c>
      <c r="AG42" s="428" cm="1">
        <f t="array" aca="1" ref="AG42" ca="1">ROUND(IF(DESONERACAO="sim",REFERENCIA.Desonerado,REFERENCIA.NaoDesonerado),2)</f>
        <v>21.4</v>
      </c>
      <c r="AH42" s="429">
        <f t="shared" ca="1" si="14"/>
        <v>0.22470000000000001</v>
      </c>
      <c r="AJ42" s="431">
        <v>249.45</v>
      </c>
      <c r="AL42" s="439"/>
      <c r="AM42" s="336">
        <f t="shared" ca="1" si="20"/>
        <v>6538.08</v>
      </c>
      <c r="AN42" s="470" cm="1">
        <f t="array" aca="1" ref="AN42" ca="1">ROUND(ORÇAMENTO.CustoUnitario*(1+$AH42),2)</f>
        <v>26.21</v>
      </c>
    </row>
    <row r="43" spans="1:40" ht="38.25" x14ac:dyDescent="0.2">
      <c r="A43" t="str">
        <f t="shared" si="1"/>
        <v>S</v>
      </c>
      <c r="B43">
        <f t="shared" ca="1" si="2"/>
        <v>3</v>
      </c>
      <c r="C43" t="str">
        <f t="shared" ca="1" si="3"/>
        <v>S</v>
      </c>
      <c r="D43">
        <f t="shared" ca="1" si="4"/>
        <v>0</v>
      </c>
      <c r="E43">
        <f ca="1">IF($C43=1,OFFSET(E43,-1,0)+MAX(1,COUNTIF(QCI!$A$13:$A$24,OFFSET(ORÇAMENTO!E43,-1,0))),OFFSET(E43,-1,0))</f>
        <v>1</v>
      </c>
      <c r="F43">
        <f t="shared" ca="1" si="5"/>
        <v>4</v>
      </c>
      <c r="G43">
        <f t="shared" ca="1" si="6"/>
        <v>3</v>
      </c>
      <c r="H43">
        <f t="shared" ca="1" si="7"/>
        <v>0</v>
      </c>
      <c r="I43">
        <f t="shared" ca="1" si="8"/>
        <v>3</v>
      </c>
      <c r="J43">
        <f t="shared" ca="1" si="9"/>
        <v>0</v>
      </c>
      <c r="K43">
        <f ca="1">IF(OR($C43="S",$C43=0),0,MATCH(OFFSET($D43,0,$C43)+IF($C43&lt;&gt;1,1,COUNTIF(QCI!$A$13:$A$24,ORÇAMENTO!E43)),OFFSET($D43,1,$C43,ROW($C$240)-ROW($C43)),0))</f>
        <v>0</v>
      </c>
      <c r="L43" s="114" t="str">
        <f t="shared" ca="1" si="10"/>
        <v>F</v>
      </c>
      <c r="M43" s="115" t="s">
        <v>705</v>
      </c>
      <c r="N43" s="116" t="str">
        <f t="shared" ca="1" si="11"/>
        <v>Serviço</v>
      </c>
      <c r="O43" s="117" t="str">
        <f t="shared" ca="1" si="12"/>
        <v>1.4.3.0.3.</v>
      </c>
      <c r="P43" s="118" t="s">
        <v>750</v>
      </c>
      <c r="Q43" s="119" t="s">
        <v>1177</v>
      </c>
      <c r="R43" s="120" t="str" cm="1">
        <f t="array" aca="1" ref="R43" ca="1">IF($C43="S",REFERENCIA.Descricao,"(digite a descrição aqui)")</f>
        <v>ARMAÇÃO DE PILAR OU VIGA DE ESTRUTURA DE CONCRETO ARMADO EMBUTIDA EM ALVENARIA DE VEDAÇÃO UTILIZANDO AÇO CA-50 DE 10,0 MM - MONTAGEM. AF_06/2022</v>
      </c>
      <c r="S43" s="121" t="str" cm="1">
        <f t="array" aca="1" ref="S43" ca="1">REFERENCIA.Unidade</f>
        <v>KG</v>
      </c>
      <c r="T43" s="122">
        <f ca="1">OFFSET(CÁLCULO!H$15,ROW($T43)-ROW(T$15),0)</f>
        <v>819.3</v>
      </c>
      <c r="U43" s="123">
        <f t="shared" ca="1" si="21"/>
        <v>13.18</v>
      </c>
      <c r="V43" s="124" t="s">
        <v>663</v>
      </c>
      <c r="W43" s="122" cm="1">
        <f t="array" aca="1" ref="W43" ca="1">IF($C43="S",ROUND(IF(TIPOORCAMENTO="Proposto",ORÇAMENTO.CustoUnitario*(1+$AH43),ORÇAMENTO.PrecoUnitarioLicitado),15-13*$AF$10),0)</f>
        <v>16.14</v>
      </c>
      <c r="X43" s="125" cm="1">
        <f t="array" aca="1" ref="X43" ca="1">IF($C43="S",IF(OR(Import.TipoArredondamento&lt;&gt;"TransfereGOV",ACOMPANHAMENTO="BM"),VTOTAL1,SUM(OFFSET(CÁLCULO!$AA$15,ROW($X43)-ROW($X$15),1):OFFSET(CÁLCULO!$AL$15,ROW($X43)-ROW($X$15),-1))),IF($C43=0,0,ROUND(SomaAgrup,15-13*$AF$11)))</f>
        <v>13223.5</v>
      </c>
      <c r="Y43" s="126" t="s">
        <v>751</v>
      </c>
      <c r="Z43" t="str">
        <f t="shared" ca="1" si="13"/>
        <v>RA</v>
      </c>
      <c r="AA43" s="127" cm="1">
        <f t="array" aca="1" ref="AA43" ca="1">IF($C43="S",IF($Z43="CP",$X43,IF($Z43="RA",(($X43)*QCI!$AA$3),0)),SomaAgrup)</f>
        <v>6181.0310434026096</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104108</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6330</v>
      </c>
      <c r="AG43" s="428" cm="1">
        <f t="array" aca="1" ref="AG43" ca="1">ROUND(IF(DESONERACAO="sim",REFERENCIA.Desonerado,REFERENCIA.NaoDesonerado),2)</f>
        <v>13.18</v>
      </c>
      <c r="AH43" s="429">
        <f t="shared" ca="1" si="14"/>
        <v>0.22470000000000001</v>
      </c>
      <c r="AJ43" s="431">
        <v>819.3</v>
      </c>
      <c r="AL43" s="439"/>
      <c r="AM43" s="336">
        <f t="shared" ca="1" si="20"/>
        <v>13223.5</v>
      </c>
      <c r="AN43" s="470" cm="1">
        <f t="array" aca="1" ref="AN43" ca="1">ROUND(ORÇAMENTO.CustoUnitario*(1+$AH43),2)</f>
        <v>16.14</v>
      </c>
    </row>
    <row r="44" spans="1:40" ht="25.5" x14ac:dyDescent="0.2">
      <c r="A44" t="str">
        <f t="shared" si="1"/>
        <v>S</v>
      </c>
      <c r="B44">
        <f t="shared" ca="1" si="2"/>
        <v>3</v>
      </c>
      <c r="C44" t="str">
        <f t="shared" ca="1" si="3"/>
        <v>S</v>
      </c>
      <c r="D44">
        <f t="shared" ca="1" si="4"/>
        <v>0</v>
      </c>
      <c r="E44">
        <f ca="1">IF($C44=1,OFFSET(E44,-1,0)+MAX(1,COUNTIF(QCI!$A$13:$A$24,OFFSET(ORÇAMENTO!E44,-1,0))),OFFSET(E44,-1,0))</f>
        <v>1</v>
      </c>
      <c r="F44">
        <f t="shared" ca="1" si="5"/>
        <v>4</v>
      </c>
      <c r="G44">
        <f t="shared" ca="1" si="6"/>
        <v>3</v>
      </c>
      <c r="H44">
        <f t="shared" ca="1" si="7"/>
        <v>0</v>
      </c>
      <c r="I44">
        <f t="shared" ca="1" si="8"/>
        <v>4</v>
      </c>
      <c r="J44">
        <f t="shared" ca="1" si="9"/>
        <v>0</v>
      </c>
      <c r="K44">
        <f ca="1">IF(OR($C44="S",$C44=0),0,MATCH(OFFSET($D44,0,$C44)+IF($C44&lt;&gt;1,1,COUNTIF(QCI!$A$13:$A$24,ORÇAMENTO!E44)),OFFSET($D44,1,$C44,ROW($C$240)-ROW($C44)),0))</f>
        <v>0</v>
      </c>
      <c r="L44" s="114" t="str">
        <f t="shared" ca="1" si="10"/>
        <v>F</v>
      </c>
      <c r="M44" s="115" t="s">
        <v>705</v>
      </c>
      <c r="N44" s="116" t="str">
        <f t="shared" ca="1" si="11"/>
        <v>Serviço</v>
      </c>
      <c r="O44" s="117" t="str">
        <f t="shared" ca="1" si="12"/>
        <v>1.4.3.0.4.</v>
      </c>
      <c r="P44" s="118" t="s">
        <v>750</v>
      </c>
      <c r="Q44" s="119" t="s">
        <v>1178</v>
      </c>
      <c r="R44" s="120" t="str" cm="1">
        <f t="array" aca="1" ref="R44" ca="1">IF($C44="S",REFERENCIA.Descricao,"(digite a descrição aqui)")</f>
        <v>CONCRETAGEM DE PILARES, FCK = 25 MPA, COM USO DE BOMBA - LANÇAMENTO, ADENSAMENTO E ACABAMENTO. AF_02/2022_PS</v>
      </c>
      <c r="S44" s="121" t="str" cm="1">
        <f t="array" aca="1" ref="S44" ca="1">REFERENCIA.Unidade</f>
        <v>M3</v>
      </c>
      <c r="T44" s="122">
        <f ca="1">OFFSET(CÁLCULO!H$15,ROW($T44)-ROW(T$15),0)</f>
        <v>15.95</v>
      </c>
      <c r="U44" s="123">
        <f t="shared" ca="1" si="21"/>
        <v>707.19</v>
      </c>
      <c r="V44" s="124" t="s">
        <v>663</v>
      </c>
      <c r="W44" s="122" cm="1">
        <f t="array" aca="1" ref="W44" ca="1">IF($C44="S",ROUND(IF(TIPOORCAMENTO="Proposto",ORÇAMENTO.CustoUnitario*(1+$AH44),ORÇAMENTO.PrecoUnitarioLicitado),15-13*$AF$10),0)</f>
        <v>866.1</v>
      </c>
      <c r="X44" s="125" cm="1">
        <f t="array" aca="1" ref="X44" ca="1">IF($C44="S",IF(OR(Import.TipoArredondamento&lt;&gt;"TransfereGOV",ACOMPANHAMENTO="BM"),VTOTAL1,SUM(OFFSET(CÁLCULO!$AA$15,ROW($X44)-ROW($X$15),1):OFFSET(CÁLCULO!$AL$15,ROW($X44)-ROW($X$15),-1))),IF($C44=0,0,ROUND(SomaAgrup,15-13*$AF$11)))</f>
        <v>13814.3</v>
      </c>
      <c r="Y44" s="126" t="s">
        <v>751</v>
      </c>
      <c r="Z44" t="str">
        <f t="shared" ca="1" si="13"/>
        <v>RA</v>
      </c>
      <c r="AA44" s="127" cm="1">
        <f t="array" aca="1" ref="AA44" ca="1">IF($C44="S",IF($Z44="CP",$X44,IF($Z44="RA",(($X44)*QCI!$AA$3),0)),SomaAgrup)</f>
        <v>6457.1873666485171</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103672</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7346</v>
      </c>
      <c r="AG44" s="428" cm="1">
        <f t="array" aca="1" ref="AG44" ca="1">ROUND(IF(DESONERACAO="sim",REFERENCIA.Desonerado,REFERENCIA.NaoDesonerado),2)</f>
        <v>707.19</v>
      </c>
      <c r="AH44" s="429">
        <f t="shared" ca="1" si="14"/>
        <v>0.22470000000000001</v>
      </c>
      <c r="AJ44" s="431">
        <v>15.95</v>
      </c>
      <c r="AL44" s="439"/>
      <c r="AM44" s="336">
        <f t="shared" ca="1" si="20"/>
        <v>13814.3</v>
      </c>
      <c r="AN44" s="470" cm="1">
        <f t="array" aca="1" ref="AN44" ca="1">ROUND(ORÇAMENTO.CustoUnitario*(1+$AH44),2)</f>
        <v>866.1</v>
      </c>
    </row>
    <row r="45" spans="1:40" x14ac:dyDescent="0.2">
      <c r="A45">
        <f t="shared" si="1"/>
        <v>3</v>
      </c>
      <c r="B45">
        <f t="shared" ca="1" si="2"/>
        <v>3</v>
      </c>
      <c r="C45">
        <f t="shared" ca="1" si="3"/>
        <v>3</v>
      </c>
      <c r="D45">
        <f t="shared" ca="1" si="4"/>
        <v>5</v>
      </c>
      <c r="E45">
        <f ca="1">IF($C45=1,OFFSET(E45,-1,0)+MAX(1,COUNTIF(QCI!$A$13:$A$24,OFFSET(ORÇAMENTO!E45,-1,0))),OFFSET(E45,-1,0))</f>
        <v>1</v>
      </c>
      <c r="F45">
        <f t="shared" ca="1" si="5"/>
        <v>4</v>
      </c>
      <c r="G45">
        <f t="shared" ca="1" si="6"/>
        <v>4</v>
      </c>
      <c r="H45">
        <f t="shared" ca="1" si="7"/>
        <v>0</v>
      </c>
      <c r="I45">
        <f t="shared" ca="1" si="8"/>
        <v>0</v>
      </c>
      <c r="J45">
        <f t="shared" ca="1" si="9"/>
        <v>58</v>
      </c>
      <c r="K45">
        <f ca="1">IF(OR($C45="S",$C45=0),0,MATCH(OFFSET($D45,0,$C45)+IF($C45&lt;&gt;1,1,COUNTIF(QCI!$A$13:$A$24,ORÇAMENTO!E45)),OFFSET($D45,1,$C45,ROW($C$240)-ROW($C45)),0))</f>
        <v>5</v>
      </c>
      <c r="L45" s="114" t="str">
        <f t="shared" ca="1" si="10"/>
        <v>F</v>
      </c>
      <c r="M45" s="115" t="s">
        <v>703</v>
      </c>
      <c r="N45" s="116" t="str">
        <f t="shared" ca="1" si="11"/>
        <v>Nível 3</v>
      </c>
      <c r="O45" s="117" t="str">
        <f t="shared" ca="1" si="12"/>
        <v>1.4.4.</v>
      </c>
      <c r="P45" s="118" t="s">
        <v>750</v>
      </c>
      <c r="Q45" s="119"/>
      <c r="R45" s="120" t="s">
        <v>1028</v>
      </c>
      <c r="S45" s="121" t="str" cm="1">
        <f t="array" aca="1" ref="S45" ca="1">REFERENCIA.Unidade</f>
        <v>-</v>
      </c>
      <c r="T45" s="122">
        <f ca="1">OFFSET(CÁLCULO!H$15,ROW($T45)-ROW(T$15),0)</f>
        <v>0</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51587.57</v>
      </c>
      <c r="Y45" s="126" t="s">
        <v>751</v>
      </c>
      <c r="Z45" t="str">
        <f t="shared" ca="1" si="13"/>
        <v/>
      </c>
      <c r="AA45" s="127" cm="1">
        <f t="array" aca="1" ref="AA45" ca="1">IF($C45="S",IF($Z45="CP",$X45,IF($Z45="RA",(($X45)*QCI!$AA$3),0)),SomaAgrup)</f>
        <v>24113.46251928046</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4"/>
        <v>0.22470000000000001</v>
      </c>
      <c r="AJ45" s="431"/>
      <c r="AL45" s="439"/>
      <c r="AM45" s="336">
        <f t="shared" ca="1" si="0"/>
        <v>51587.57</v>
      </c>
      <c r="AN45" s="470" cm="1">
        <f t="array" aca="1" ref="AN45" ca="1">ROUND(ORÇAMENTO.CustoUnitario*(1+$AH45),2)</f>
        <v>0</v>
      </c>
    </row>
    <row r="46" spans="1:40" ht="38.25" x14ac:dyDescent="0.2">
      <c r="A46" t="str">
        <f t="shared" si="1"/>
        <v>S</v>
      </c>
      <c r="B46">
        <f t="shared" ca="1" si="2"/>
        <v>3</v>
      </c>
      <c r="C46" t="str">
        <f t="shared" ca="1" si="3"/>
        <v>S</v>
      </c>
      <c r="D46">
        <f t="shared" ca="1" si="4"/>
        <v>0</v>
      </c>
      <c r="E46">
        <f ca="1">IF($C46=1,OFFSET(E46,-1,0)+MAX(1,COUNTIF(QCI!$A$13:$A$24,OFFSET(ORÇAMENTO!E46,-1,0))),OFFSET(E46,-1,0))</f>
        <v>1</v>
      </c>
      <c r="F46">
        <f t="shared" ca="1" si="5"/>
        <v>4</v>
      </c>
      <c r="G46">
        <f t="shared" ca="1" si="6"/>
        <v>4</v>
      </c>
      <c r="H46">
        <f t="shared" ca="1" si="7"/>
        <v>0</v>
      </c>
      <c r="I46">
        <f t="shared" ca="1" si="8"/>
        <v>1</v>
      </c>
      <c r="J46">
        <f t="shared" ca="1" si="9"/>
        <v>0</v>
      </c>
      <c r="K46">
        <f ca="1">IF(OR($C46="S",$C46=0),0,MATCH(OFFSET($D46,0,$C46)+IF($C46&lt;&gt;1,1,COUNTIF(QCI!$A$13:$A$24,ORÇAMENTO!E46)),OFFSET($D46,1,$C46,ROW($C$240)-ROW($C46)),0))</f>
        <v>0</v>
      </c>
      <c r="L46" s="114" t="str">
        <f t="shared" ca="1" si="10"/>
        <v>F</v>
      </c>
      <c r="M46" s="115" t="s">
        <v>705</v>
      </c>
      <c r="N46" s="116" t="str">
        <f t="shared" ca="1" si="11"/>
        <v>Serviço</v>
      </c>
      <c r="O46" s="117" t="str">
        <f t="shared" ca="1" si="12"/>
        <v>1.4.4.0.1.</v>
      </c>
      <c r="P46" s="118" t="s">
        <v>750</v>
      </c>
      <c r="Q46" s="119" t="s">
        <v>1180</v>
      </c>
      <c r="R46" s="120" t="str" cm="1">
        <f t="array" aca="1" ref="R46" ca="1">IF($C46="S",REFERENCIA.Descricao,"(digite a descrição aqui)")</f>
        <v>MONTAGEM E DESMONTAGEM DE FÔRMA DE VIGA, ESCORAMENTO COM GARFO DE MADEIRA, PÉ-DIREITO SIMPLES, EM CHAPA DE MADEIRA PLASTIFICADA, 18 UTILIZAÇÕES. AF_09/2020</v>
      </c>
      <c r="S46" s="121" t="str" cm="1">
        <f t="array" aca="1" ref="S46" ca="1">REFERENCIA.Unidade</f>
        <v>M2</v>
      </c>
      <c r="T46" s="122">
        <f ca="1">OFFSET(CÁLCULO!H$15,ROW($T46)-ROW(T$15),0)</f>
        <v>26.13</v>
      </c>
      <c r="U46" s="123">
        <f t="shared" ref="U46:U54" ca="1" si="22">AG46</f>
        <v>72.22</v>
      </c>
      <c r="V46" s="124" t="s">
        <v>663</v>
      </c>
      <c r="W46" s="122" cm="1">
        <f t="array" aca="1" ref="W46" ca="1">IF($C46="S",ROUND(IF(TIPOORCAMENTO="Proposto",ORÇAMENTO.CustoUnitario*(1+$AH46),ORÇAMENTO.PrecoUnitarioLicitado),15-13*$AF$10),0)</f>
        <v>88.45</v>
      </c>
      <c r="X46" s="125" cm="1">
        <f t="array" aca="1" ref="X46" ca="1">IF($C46="S",IF(OR(Import.TipoArredondamento&lt;&gt;"TransfereGOV",ACOMPANHAMENTO="BM"),VTOTAL1,SUM(OFFSET(CÁLCULO!$AA$15,ROW($X46)-ROW($X$15),1):OFFSET(CÁLCULO!$AL$15,ROW($X46)-ROW($X$15),-1))),IF($C46=0,0,ROUND(SomaAgrup,15-13*$AF$11)))</f>
        <v>2311.1999999999998</v>
      </c>
      <c r="Y46" s="126" t="s">
        <v>751</v>
      </c>
      <c r="Z46" t="str">
        <f t="shared" ca="1" si="13"/>
        <v>RA</v>
      </c>
      <c r="AA46" s="127" cm="1">
        <f t="array" aca="1" ref="AA46" ca="1">IF($C46="S",IF($Z46="CP",$X46,IF($Z46="RA",(($X46)*QCI!$AA$3),0)),SomaAgrup)</f>
        <v>1080.3190492314525</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92479</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10253</v>
      </c>
      <c r="AG46" s="428" cm="1">
        <f t="array" aca="1" ref="AG46" ca="1">ROUND(IF(DESONERACAO="sim",REFERENCIA.Desonerado,REFERENCIA.NaoDesonerado),2)</f>
        <v>72.22</v>
      </c>
      <c r="AH46" s="429">
        <f t="shared" ca="1" si="14"/>
        <v>0.22470000000000001</v>
      </c>
      <c r="AJ46" s="431">
        <v>26.13</v>
      </c>
      <c r="AL46" s="439"/>
      <c r="AM46" s="336">
        <f t="shared" ref="AM46:AM101" ca="1" si="23">$X46</f>
        <v>2311.1999999999998</v>
      </c>
      <c r="AN46" s="470" cm="1">
        <f t="array" aca="1" ref="AN46" ca="1">ROUND(ORÇAMENTO.CustoUnitario*(1+$AH46),2)</f>
        <v>88.45</v>
      </c>
    </row>
    <row r="47" spans="1:40" ht="38.25" x14ac:dyDescent="0.2">
      <c r="A47" t="str">
        <f t="shared" si="1"/>
        <v>S</v>
      </c>
      <c r="B47">
        <f t="shared" ca="1" si="2"/>
        <v>3</v>
      </c>
      <c r="C47" t="str">
        <f t="shared" ca="1" si="3"/>
        <v>S</v>
      </c>
      <c r="D47">
        <f t="shared" ca="1" si="4"/>
        <v>0</v>
      </c>
      <c r="E47">
        <f ca="1">IF($C47=1,OFFSET(E47,-1,0)+MAX(1,COUNTIF(QCI!$A$13:$A$24,OFFSET(ORÇAMENTO!E47,-1,0))),OFFSET(E47,-1,0))</f>
        <v>1</v>
      </c>
      <c r="F47">
        <f t="shared" ca="1" si="5"/>
        <v>4</v>
      </c>
      <c r="G47">
        <f t="shared" ca="1" si="6"/>
        <v>4</v>
      </c>
      <c r="H47">
        <f t="shared" ca="1" si="7"/>
        <v>0</v>
      </c>
      <c r="I47">
        <f t="shared" ca="1" si="8"/>
        <v>2</v>
      </c>
      <c r="J47">
        <f t="shared" ref="J47:J78" ca="1" si="24">IF(OR($C47="S",$C47=0),0,MATCH(0,OFFSET($D47,1,$C47,ROW($C$240)-ROW($C47)),0))</f>
        <v>0</v>
      </c>
      <c r="K47">
        <f ca="1">IF(OR($C47="S",$C47=0),0,MATCH(OFFSET($D47,0,$C47)+IF($C47&lt;&gt;1,1,COUNTIF(QCI!$A$13:$A$24,ORÇAMENTO!E47)),OFFSET($D47,1,$C47,ROW($C$240)-ROW($C47)),0))</f>
        <v>0</v>
      </c>
      <c r="L47" s="114" t="str">
        <f t="shared" ca="1" si="10"/>
        <v>F</v>
      </c>
      <c r="M47" s="115" t="s">
        <v>705</v>
      </c>
      <c r="N47" s="116" t="str">
        <f t="shared" ca="1" si="11"/>
        <v>Serviço</v>
      </c>
      <c r="O47" s="117" t="str">
        <f t="shared" ca="1" si="12"/>
        <v>1.4.4.0.2.</v>
      </c>
      <c r="P47" s="118" t="s">
        <v>750</v>
      </c>
      <c r="Q47" s="119" t="s">
        <v>1182</v>
      </c>
      <c r="R47" s="120" t="str" cm="1">
        <f t="array" aca="1" ref="R47" ca="1">IF($C47="S",REFERENCIA.Descricao,"(digite a descrição aqui)")</f>
        <v>ARMAÇÃO DE PILAR OU VIGA DE ESTRUTURA CONVENCIONAL DE CONCRETO ARMADO UTILIZANDO AÇO CA-60 DE 5,0 MM - MONTAGEM. AF_06/2022</v>
      </c>
      <c r="S47" s="121" t="str" cm="1">
        <f t="array" aca="1" ref="S47" ca="1">REFERENCIA.Unidade</f>
        <v>KG</v>
      </c>
      <c r="T47" s="122">
        <f ca="1">OFFSET(CÁLCULO!H$15,ROW($T47)-ROW(T$15),0)</f>
        <v>352</v>
      </c>
      <c r="U47" s="123">
        <f t="shared" ca="1" si="22"/>
        <v>14.54</v>
      </c>
      <c r="V47" s="124" t="s">
        <v>663</v>
      </c>
      <c r="W47" s="122" cm="1">
        <f t="array" aca="1" ref="W47" ca="1">IF($C47="S",ROUND(IF(TIPOORCAMENTO="Proposto",ORÇAMENTO.CustoUnitario*(1+$AH47),ORÇAMENTO.PrecoUnitarioLicitado),15-13*$AF$10),0)</f>
        <v>17.809999999999999</v>
      </c>
      <c r="X47" s="125" cm="1">
        <f t="array" aca="1" ref="X47" ca="1">IF($C47="S",IF(OR(Import.TipoArredondamento&lt;&gt;"TransfereGOV",ACOMPANHAMENTO="BM"),VTOTAL1,SUM(OFFSET(CÁLCULO!$AA$15,ROW($X47)-ROW($X$15),1):OFFSET(CÁLCULO!$AL$15,ROW($X47)-ROW($X$15),-1))),IF($C47=0,0,ROUND(SomaAgrup,15-13*$AF$11)))</f>
        <v>6269.12</v>
      </c>
      <c r="Y47" s="126" t="s">
        <v>751</v>
      </c>
      <c r="Z47" t="str">
        <f t="shared" ca="1" si="13"/>
        <v>RA</v>
      </c>
      <c r="AA47" s="127" cm="1">
        <f t="array" aca="1" ref="AA47" ca="1">IF($C47="S",IF($Z47="CP",$X47,IF($Z47="RA",(($X47)*QCI!$AA$3),0)),SomaAgrup)</f>
        <v>2930.3607467626703</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92759</v>
      </c>
      <c r="AF47" s="12"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6329</v>
      </c>
      <c r="AG47" s="428" cm="1">
        <f t="array" aca="1" ref="AG47" ca="1">ROUND(IF(DESONERACAO="sim",REFERENCIA.Desonerado,REFERENCIA.NaoDesonerado),2)</f>
        <v>14.54</v>
      </c>
      <c r="AH47" s="429">
        <f t="shared" ca="1" si="14"/>
        <v>0.22470000000000001</v>
      </c>
      <c r="AJ47" s="431">
        <v>352</v>
      </c>
      <c r="AL47" s="439"/>
      <c r="AM47" s="336">
        <f t="shared" ca="1" si="23"/>
        <v>6269.12</v>
      </c>
      <c r="AN47" s="470" cm="1">
        <f t="array" aca="1" ref="AN47" ca="1">ROUND(ORÇAMENTO.CustoUnitario*(1+$AH47),2)</f>
        <v>17.809999999999999</v>
      </c>
    </row>
    <row r="48" spans="1:40" ht="38.25" x14ac:dyDescent="0.2">
      <c r="A48" t="str">
        <f t="shared" si="1"/>
        <v>S</v>
      </c>
      <c r="B48">
        <f t="shared" ca="1" si="2"/>
        <v>3</v>
      </c>
      <c r="C48" t="str">
        <f t="shared" ca="1" si="3"/>
        <v>S</v>
      </c>
      <c r="D48">
        <f t="shared" ca="1" si="4"/>
        <v>0</v>
      </c>
      <c r="E48">
        <f ca="1">IF($C48=1,OFFSET(E48,-1,0)+MAX(1,COUNTIF(QCI!$A$13:$A$24,OFFSET(ORÇAMENTO!E48,-1,0))),OFFSET(E48,-1,0))</f>
        <v>1</v>
      </c>
      <c r="F48">
        <f t="shared" ca="1" si="5"/>
        <v>4</v>
      </c>
      <c r="G48">
        <f t="shared" ca="1" si="6"/>
        <v>4</v>
      </c>
      <c r="H48">
        <f t="shared" ca="1" si="7"/>
        <v>0</v>
      </c>
      <c r="I48">
        <f t="shared" ca="1" si="8"/>
        <v>3</v>
      </c>
      <c r="J48">
        <f t="shared" ca="1" si="24"/>
        <v>0</v>
      </c>
      <c r="K48">
        <f ca="1">IF(OR($C48="S",$C48=0),0,MATCH(OFFSET($D48,0,$C48)+IF($C48&lt;&gt;1,1,COUNTIF(QCI!$A$13:$A$24,ORÇAMENTO!E48)),OFFSET($D48,1,$C48,ROW($C$240)-ROW($C48)),0))</f>
        <v>0</v>
      </c>
      <c r="L48" s="114" t="str">
        <f t="shared" ca="1" si="10"/>
        <v>F</v>
      </c>
      <c r="M48" s="115" t="s">
        <v>705</v>
      </c>
      <c r="N48" s="116" t="str">
        <f t="shared" ca="1" si="11"/>
        <v>Serviço</v>
      </c>
      <c r="O48" s="117" t="str">
        <f t="shared" ca="1" si="12"/>
        <v>1.4.4.0.3.</v>
      </c>
      <c r="P48" s="118" t="s">
        <v>750</v>
      </c>
      <c r="Q48" s="119" t="s">
        <v>1183</v>
      </c>
      <c r="R48" s="120" t="str" cm="1">
        <f t="array" aca="1" ref="R48" ca="1">IF($C48="S",REFERENCIA.Descricao,"(digite a descrição aqui)")</f>
        <v>ARMAÇÃO DE PILAR OU VIGA DE ESTRUTURA CONVENCIONAL DE CONCRETO ARMADO UTILIZANDO AÇO CA-50 DE 10,0 MM - MONTAGEM. AF_06/2022</v>
      </c>
      <c r="S48" s="121" t="str" cm="1">
        <f t="array" aca="1" ref="S48" ca="1">REFERENCIA.Unidade</f>
        <v>KG</v>
      </c>
      <c r="T48" s="122">
        <f ca="1">OFFSET(CÁLCULO!H$15,ROW($T48)-ROW(T$15),0)</f>
        <v>1354</v>
      </c>
      <c r="U48" s="123">
        <f t="shared" ca="1" si="22"/>
        <v>11.27</v>
      </c>
      <c r="V48" s="124" t="s">
        <v>663</v>
      </c>
      <c r="W48" s="122" cm="1">
        <f t="array" aca="1" ref="W48" ca="1">IF($C48="S",ROUND(IF(TIPOORCAMENTO="Proposto",ORÇAMENTO.CustoUnitario*(1+$AH48),ORÇAMENTO.PrecoUnitarioLicitado),15-13*$AF$10),0)</f>
        <v>13.8</v>
      </c>
      <c r="X48" s="125" cm="1">
        <f t="array" aca="1" ref="X48" ca="1">IF($C48="S",IF(OR(Import.TipoArredondamento&lt;&gt;"TransfereGOV",ACOMPANHAMENTO="BM"),VTOTAL1,SUM(OFFSET(CÁLCULO!$AA$15,ROW($X48)-ROW($X$15),1):OFFSET(CÁLCULO!$AL$15,ROW($X48)-ROW($X$15),-1))),IF($C48=0,0,ROUND(SomaAgrup,15-13*$AF$11)))</f>
        <v>18685.2</v>
      </c>
      <c r="Y48" s="126" t="s">
        <v>751</v>
      </c>
      <c r="Z48" t="str">
        <f t="shared" ca="1" si="13"/>
        <v>RA</v>
      </c>
      <c r="AA48" s="127" cm="1">
        <f t="array" aca="1" ref="AA48" ca="1">IF($C48="S",IF($Z48="CP",$X48,IF($Z48="RA",(($X48)*QCI!$AA$3),0)),SomaAgrup)</f>
        <v>8733.9812645809689</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str" cm="1">
        <f t="array" aca="1" ref="AE48" ca="1">IF(AND($C48="S",ORÇAMENTO.CodBarra&lt;&gt;""),IF(ORÇAMENTO.Fonte="",ORÇAMENTO.CodBarra,CONCATENATE(ORÇAMENTO.Fonte," ",ORÇAMENTO.CodBarra)))</f>
        <v>SINAPI 92762</v>
      </c>
      <c r="AF48" s="12"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6321</v>
      </c>
      <c r="AG48" s="428" cm="1">
        <f t="array" aca="1" ref="AG48" ca="1">ROUND(IF(DESONERACAO="sim",REFERENCIA.Desonerado,REFERENCIA.NaoDesonerado),2)</f>
        <v>11.27</v>
      </c>
      <c r="AH48" s="429">
        <f t="shared" ca="1" si="14"/>
        <v>0.22470000000000001</v>
      </c>
      <c r="AJ48" s="431">
        <v>1354</v>
      </c>
      <c r="AL48" s="439"/>
      <c r="AM48" s="336">
        <f t="shared" ca="1" si="23"/>
        <v>18685.2</v>
      </c>
      <c r="AN48" s="470" cm="1">
        <f t="array" aca="1" ref="AN48" ca="1">ROUND(ORÇAMENTO.CustoUnitario*(1+$AH48),2)</f>
        <v>13.8</v>
      </c>
    </row>
    <row r="49" spans="1:40" ht="38.25" x14ac:dyDescent="0.2">
      <c r="A49" t="str">
        <f t="shared" si="1"/>
        <v>S</v>
      </c>
      <c r="B49">
        <f t="shared" ca="1" si="2"/>
        <v>3</v>
      </c>
      <c r="C49" t="str">
        <f t="shared" ca="1" si="3"/>
        <v>S</v>
      </c>
      <c r="D49">
        <f t="shared" ca="1" si="4"/>
        <v>0</v>
      </c>
      <c r="E49">
        <f ca="1">IF($C49=1,OFFSET(E49,-1,0)+MAX(1,COUNTIF(QCI!$A$13:$A$24,OFFSET(ORÇAMENTO!E49,-1,0))),OFFSET(E49,-1,0))</f>
        <v>1</v>
      </c>
      <c r="F49">
        <f t="shared" ca="1" si="5"/>
        <v>4</v>
      </c>
      <c r="G49">
        <f t="shared" ca="1" si="6"/>
        <v>4</v>
      </c>
      <c r="H49">
        <f t="shared" ca="1" si="7"/>
        <v>0</v>
      </c>
      <c r="I49">
        <f t="shared" ca="1" si="8"/>
        <v>4</v>
      </c>
      <c r="J49">
        <f t="shared" ca="1" si="24"/>
        <v>0</v>
      </c>
      <c r="K49">
        <f ca="1">IF(OR($C49="S",$C49=0),0,MATCH(OFFSET($D49,0,$C49)+IF($C49&lt;&gt;1,1,COUNTIF(QCI!$A$13:$A$24,ORÇAMENTO!E49)),OFFSET($D49,1,$C49,ROW($C$240)-ROW($C49)),0))</f>
        <v>0</v>
      </c>
      <c r="L49" s="114" t="str">
        <f t="shared" ca="1" si="10"/>
        <v>F</v>
      </c>
      <c r="M49" s="115" t="s">
        <v>705</v>
      </c>
      <c r="N49" s="116" t="str">
        <f t="shared" ca="1" si="11"/>
        <v>Serviço</v>
      </c>
      <c r="O49" s="117" t="str">
        <f t="shared" ca="1" si="12"/>
        <v>1.4.4.0.4.</v>
      </c>
      <c r="P49" s="118" t="s">
        <v>750</v>
      </c>
      <c r="Q49" s="119" t="s">
        <v>1185</v>
      </c>
      <c r="R49" s="120" t="str" cm="1">
        <f t="array" aca="1" ref="R49" ca="1">IF($C49="S",REFERENCIA.Descricao,"(digite a descrição aqui)")</f>
        <v>CONCRETAGEM DE VIGAS E LAJES, FCK=25 MPA, PARA LAJES MACIÇAS OU NERVURADAS COM USO DE BOMBA - LANÇAMENTO, ADENSAMENTO E ACABAMENTO. AF_02/2022_PS</v>
      </c>
      <c r="S49" s="121" t="str" cm="1">
        <f t="array" aca="1" ref="S49" ca="1">REFERENCIA.Unidade</f>
        <v>M3</v>
      </c>
      <c r="T49" s="122">
        <f ca="1">OFFSET(CÁLCULO!H$15,ROW($T49)-ROW(T$15),0)</f>
        <v>28.08</v>
      </c>
      <c r="U49" s="123">
        <f t="shared" ca="1" si="22"/>
        <v>707.25</v>
      </c>
      <c r="V49" s="124" t="s">
        <v>663</v>
      </c>
      <c r="W49" s="122" cm="1">
        <f t="array" aca="1" ref="W49" ca="1">IF($C49="S",ROUND(IF(TIPOORCAMENTO="Proposto",ORÇAMENTO.CustoUnitario*(1+$AH49),ORÇAMENTO.PrecoUnitarioLicitado),15-13*$AF$10),0)</f>
        <v>866.17</v>
      </c>
      <c r="X49" s="125" cm="1">
        <f t="array" aca="1" ref="X49" ca="1">IF($C49="S",IF(OR(Import.TipoArredondamento&lt;&gt;"TransfereGOV",ACOMPANHAMENTO="BM"),VTOTAL1,SUM(OFFSET(CÁLCULO!$AA$15,ROW($X49)-ROW($X$15),1):OFFSET(CÁLCULO!$AL$15,ROW($X49)-ROW($X$15),-1))),IF($C49=0,0,ROUND(SomaAgrup,15-13*$AF$11)))</f>
        <v>24322.05</v>
      </c>
      <c r="Y49" s="126" t="s">
        <v>751</v>
      </c>
      <c r="Z49" t="str">
        <f t="shared" ca="1" si="13"/>
        <v>RA</v>
      </c>
      <c r="AA49" s="127" cm="1">
        <f t="array" aca="1" ref="AA49" ca="1">IF($C49="S",IF($Z49="CP",$X49,IF($Z49="RA",(($X49)*QCI!$AA$3),0)),SomaAgrup)</f>
        <v>11368.801458705368</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103675</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7354</v>
      </c>
      <c r="AG49" s="428" cm="1">
        <f t="array" aca="1" ref="AG49" ca="1">ROUND(IF(DESONERACAO="sim",REFERENCIA.Desonerado,REFERENCIA.NaoDesonerado),2)</f>
        <v>707.25</v>
      </c>
      <c r="AH49" s="429">
        <f t="shared" ca="1" si="14"/>
        <v>0.22470000000000001</v>
      </c>
      <c r="AJ49" s="431">
        <v>28.08</v>
      </c>
      <c r="AL49" s="439"/>
      <c r="AM49" s="336">
        <f t="shared" ca="1" si="23"/>
        <v>24322.05</v>
      </c>
      <c r="AN49" s="470" cm="1">
        <f t="array" aca="1" ref="AN49" ca="1">ROUND(ORÇAMENTO.CustoUnitario*(1+$AH49),2)</f>
        <v>866.17</v>
      </c>
    </row>
    <row r="50" spans="1:40" x14ac:dyDescent="0.2">
      <c r="A50">
        <f t="shared" si="1"/>
        <v>3</v>
      </c>
      <c r="B50">
        <f t="shared" ca="1" si="2"/>
        <v>3</v>
      </c>
      <c r="C50">
        <f t="shared" ca="1" si="3"/>
        <v>3</v>
      </c>
      <c r="D50">
        <f t="shared" ca="1" si="4"/>
        <v>5</v>
      </c>
      <c r="E50">
        <f ca="1">IF($C50=1,OFFSET(E50,-1,0)+MAX(1,COUNTIF(QCI!$A$13:$A$24,OFFSET(ORÇAMENTO!E50,-1,0))),OFFSET(E50,-1,0))</f>
        <v>1</v>
      </c>
      <c r="F50">
        <f t="shared" ca="1" si="5"/>
        <v>4</v>
      </c>
      <c r="G50">
        <f t="shared" ca="1" si="6"/>
        <v>5</v>
      </c>
      <c r="H50">
        <f t="shared" ca="1" si="7"/>
        <v>0</v>
      </c>
      <c r="I50">
        <f t="shared" ca="1" si="8"/>
        <v>0</v>
      </c>
      <c r="J50">
        <f t="shared" ca="1" si="24"/>
        <v>53</v>
      </c>
      <c r="K50">
        <f ca="1">IF(OR($C50="S",$C50=0),0,MATCH(OFFSET($D50,0,$C50)+IF($C50&lt;&gt;1,1,COUNTIF(QCI!$A$13:$A$24,ORÇAMENTO!E50)),OFFSET($D50,1,$C50,ROW($C$240)-ROW($C50)),0))</f>
        <v>5</v>
      </c>
      <c r="L50" s="114" t="str">
        <f t="shared" ca="1" si="10"/>
        <v>F</v>
      </c>
      <c r="M50" s="115" t="s">
        <v>703</v>
      </c>
      <c r="N50" s="116" t="str">
        <f t="shared" ca="1" si="11"/>
        <v>Nível 3</v>
      </c>
      <c r="O50" s="117" t="str">
        <f t="shared" ca="1" si="12"/>
        <v>1.4.5.</v>
      </c>
      <c r="P50" s="118" t="s">
        <v>750</v>
      </c>
      <c r="Q50" s="119"/>
      <c r="R50" s="120" t="s">
        <v>1030</v>
      </c>
      <c r="S50" s="121" t="str" cm="1">
        <f t="array" aca="1" ref="S50" ca="1">REFERENCIA.Unidade</f>
        <v>-</v>
      </c>
      <c r="T50" s="122">
        <f ca="1">OFFSET(CÁLCULO!H$15,ROW($T50)-ROW(T$15),0)</f>
        <v>0</v>
      </c>
      <c r="U50" s="123">
        <f t="shared" ca="1" si="22"/>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24876.83</v>
      </c>
      <c r="Y50" s="126" t="s">
        <v>751</v>
      </c>
      <c r="Z50" t="str">
        <f t="shared" ca="1" si="13"/>
        <v/>
      </c>
      <c r="AA50" s="127" cm="1">
        <f t="array" aca="1" ref="AA50" ca="1">IF($C50="S",IF($Z50="CP",$X50,IF($Z50="RA",(($X50)*QCI!$AA$3),0)),SomaAgrup)</f>
        <v>11628.121033875248</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b" cm="1">
        <f t="array" aca="1" ref="AE50" ca="1">IF(AND($C50="S",ORÇAMENTO.CodBarra&lt;&gt;""),IF(ORÇAMENTO.Fonte="",ORÇAMENTO.CodBarra,CONCATENATE(ORÇAMENTO.Fonte," ",ORÇAMENTO.CodBarra)))</f>
        <v>0</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14"/>
        <v>0.22470000000000001</v>
      </c>
      <c r="AJ50" s="431"/>
      <c r="AL50" s="439"/>
      <c r="AM50" s="336">
        <f t="shared" ca="1" si="23"/>
        <v>24876.83</v>
      </c>
      <c r="AN50" s="470" cm="1">
        <f t="array" aca="1" ref="AN50" ca="1">ROUND(ORÇAMENTO.CustoUnitario*(1+$AH50),2)</f>
        <v>0</v>
      </c>
    </row>
    <row r="51" spans="1:40" ht="51" x14ac:dyDescent="0.2">
      <c r="A51" t="str">
        <f t="shared" si="1"/>
        <v>S</v>
      </c>
      <c r="B51">
        <f t="shared" ca="1" si="2"/>
        <v>3</v>
      </c>
      <c r="C51" t="str">
        <f t="shared" ca="1" si="3"/>
        <v>S</v>
      </c>
      <c r="D51">
        <f t="shared" ca="1" si="4"/>
        <v>0</v>
      </c>
      <c r="E51">
        <f ca="1">IF($C51=1,OFFSET(E51,-1,0)+MAX(1,COUNTIF(QCI!$A$13:$A$24,OFFSET(ORÇAMENTO!E51,-1,0))),OFFSET(E51,-1,0))</f>
        <v>1</v>
      </c>
      <c r="F51">
        <f t="shared" ca="1" si="5"/>
        <v>4</v>
      </c>
      <c r="G51">
        <f t="shared" ca="1" si="6"/>
        <v>5</v>
      </c>
      <c r="H51">
        <f t="shared" ca="1" si="7"/>
        <v>0</v>
      </c>
      <c r="I51">
        <f t="shared" ca="1" si="8"/>
        <v>1</v>
      </c>
      <c r="J51">
        <f t="shared" ca="1" si="24"/>
        <v>0</v>
      </c>
      <c r="K51">
        <f ca="1">IF(OR($C51="S",$C51=0),0,MATCH(OFFSET($D51,0,$C51)+IF($C51&lt;&gt;1,1,COUNTIF(QCI!$A$13:$A$24,ORÇAMENTO!E51)),OFFSET($D51,1,$C51,ROW($C$240)-ROW($C51)),0))</f>
        <v>0</v>
      </c>
      <c r="L51" s="114" t="str">
        <f t="shared" ca="1" si="10"/>
        <v>F</v>
      </c>
      <c r="M51" s="115" t="s">
        <v>705</v>
      </c>
      <c r="N51" s="116" t="str">
        <f t="shared" ca="1" si="11"/>
        <v>Serviço</v>
      </c>
      <c r="O51" s="117" t="str">
        <f t="shared" ca="1" si="12"/>
        <v>1.4.5.0.1.</v>
      </c>
      <c r="P51" s="118" t="s">
        <v>750</v>
      </c>
      <c r="Q51" s="119" t="s">
        <v>1179</v>
      </c>
      <c r="R51" s="120" t="str" cm="1">
        <f t="array" aca="1" ref="R51" ca="1">IF($C51="S",REFERENCIA.Descricao,"(digite a descrição aqui)")</f>
        <v>MONTAGEM E DESMONTAGEM DE FÔRMA DE PILARES RETANGULARES E ESTRUTURAS SIMILARES, PÉ-DIREITO SIMPLES, EM CHAPA DE MADEIRA COMPENSADA PLASTIFICADA, 14 UTILIZAÇÕES. AF_09/2020</v>
      </c>
      <c r="S51" s="121" t="str" cm="1">
        <f t="array" aca="1" ref="S51" ca="1">REFERENCIA.Unidade</f>
        <v>M2</v>
      </c>
      <c r="T51" s="122">
        <f ca="1">OFFSET(CÁLCULO!H$15,ROW($T51)-ROW(T$15),0)</f>
        <v>14.37</v>
      </c>
      <c r="U51" s="123">
        <f t="shared" ca="1" si="22"/>
        <v>62.85</v>
      </c>
      <c r="V51" s="124" t="s">
        <v>663</v>
      </c>
      <c r="W51" s="122" cm="1">
        <f t="array" aca="1" ref="W51" ca="1">IF($C51="S",ROUND(IF(TIPOORCAMENTO="Proposto",ORÇAMENTO.CustoUnitario*(1+$AH51),ORÇAMENTO.PrecoUnitarioLicitado),15-13*$AF$10),0)</f>
        <v>76.97</v>
      </c>
      <c r="X51" s="125" cm="1">
        <f t="array" aca="1" ref="X51" ca="1">IF($C51="S",IF(OR(Import.TipoArredondamento&lt;&gt;"TransfereGOV",ACOMPANHAMENTO="BM"),VTOTAL1,SUM(OFFSET(CÁLCULO!$AA$15,ROW($X51)-ROW($X$15),1):OFFSET(CÁLCULO!$AL$15,ROW($X51)-ROW($X$15),-1))),IF($C51=0,0,ROUND(SomaAgrup,15-13*$AF$11)))</f>
        <v>1106.06</v>
      </c>
      <c r="Y51" s="126" t="s">
        <v>751</v>
      </c>
      <c r="Z51" t="str">
        <f t="shared" ca="1" si="13"/>
        <v>RA</v>
      </c>
      <c r="AA51" s="127" cm="1">
        <f t="array" aca="1" ref="AA51" ca="1">IF($C51="S",IF($Z51="CP",$X51,IF($Z51="RA",(($X51)*QCI!$AA$3),0)),SomaAgrup)</f>
        <v>517.00315316413128</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92439</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10233</v>
      </c>
      <c r="AG51" s="428" cm="1">
        <f t="array" aca="1" ref="AG51" ca="1">ROUND(IF(DESONERACAO="sim",REFERENCIA.Desonerado,REFERENCIA.NaoDesonerado),2)</f>
        <v>62.85</v>
      </c>
      <c r="AH51" s="429">
        <f t="shared" ca="1" si="14"/>
        <v>0.22470000000000001</v>
      </c>
      <c r="AJ51" s="431">
        <v>14.37</v>
      </c>
      <c r="AL51" s="439"/>
      <c r="AM51" s="336">
        <f t="shared" ca="1" si="23"/>
        <v>1106.06</v>
      </c>
      <c r="AN51" s="470" cm="1">
        <f t="array" aca="1" ref="AN51" ca="1">ROUND(ORÇAMENTO.CustoUnitario*(1+$AH51),2)</f>
        <v>76.97</v>
      </c>
    </row>
    <row r="52" spans="1:40" ht="38.25" x14ac:dyDescent="0.2">
      <c r="A52" t="str">
        <f t="shared" si="1"/>
        <v>S</v>
      </c>
      <c r="B52">
        <f t="shared" ca="1" si="2"/>
        <v>3</v>
      </c>
      <c r="C52" t="str">
        <f t="shared" ca="1" si="3"/>
        <v>S</v>
      </c>
      <c r="D52">
        <f t="shared" ca="1" si="4"/>
        <v>0</v>
      </c>
      <c r="E52">
        <f ca="1">IF($C52=1,OFFSET(E52,-1,0)+MAX(1,COUNTIF(QCI!$A$13:$A$24,OFFSET(ORÇAMENTO!E52,-1,0))),OFFSET(E52,-1,0))</f>
        <v>1</v>
      </c>
      <c r="F52">
        <f t="shared" ca="1" si="5"/>
        <v>4</v>
      </c>
      <c r="G52">
        <f t="shared" ca="1" si="6"/>
        <v>5</v>
      </c>
      <c r="H52">
        <f t="shared" ca="1" si="7"/>
        <v>0</v>
      </c>
      <c r="I52">
        <f t="shared" ca="1" si="8"/>
        <v>2</v>
      </c>
      <c r="J52">
        <f t="shared" ca="1" si="24"/>
        <v>0</v>
      </c>
      <c r="K52">
        <f ca="1">IF(OR($C52="S",$C52=0),0,MATCH(OFFSET($D52,0,$C52)+IF($C52&lt;&gt;1,1,COUNTIF(QCI!$A$13:$A$24,ORÇAMENTO!E52)),OFFSET($D52,1,$C52,ROW($C$240)-ROW($C52)),0))</f>
        <v>0</v>
      </c>
      <c r="L52" s="114" t="str">
        <f t="shared" ca="1" si="10"/>
        <v>F</v>
      </c>
      <c r="M52" s="115" t="s">
        <v>705</v>
      </c>
      <c r="N52" s="116" t="str">
        <f t="shared" ca="1" si="11"/>
        <v>Serviço</v>
      </c>
      <c r="O52" s="117" t="str">
        <f t="shared" ca="1" si="12"/>
        <v>1.4.5.0.2.</v>
      </c>
      <c r="P52" s="118" t="s">
        <v>750</v>
      </c>
      <c r="Q52" s="119" t="s">
        <v>1176</v>
      </c>
      <c r="R52" s="120" t="str" cm="1">
        <f t="array" aca="1" ref="R52" ca="1">IF($C52="S",REFERENCIA.Descricao,"(digite a descrição aqui)")</f>
        <v>ARMAÇÃO DE PILAR OU VIGA DE ESTRUTURA DE CONCRETO ARMADO EMBUTIDA EM ALVENARIA DE VEDAÇÃO UTILIZANDO AÇO CA-60 DE 5,0 MM - MONTAGEM. AF_06/2022</v>
      </c>
      <c r="S52" s="121" t="str" cm="1">
        <f t="array" aca="1" ref="S52" ca="1">REFERENCIA.Unidade</f>
        <v>KG</v>
      </c>
      <c r="T52" s="122">
        <f ca="1">OFFSET(CÁLCULO!H$15,ROW($T52)-ROW(T$15),0)</f>
        <v>212.13</v>
      </c>
      <c r="U52" s="123">
        <f t="shared" ca="1" si="22"/>
        <v>21.4</v>
      </c>
      <c r="V52" s="124" t="s">
        <v>663</v>
      </c>
      <c r="W52" s="122" cm="1">
        <f t="array" aca="1" ref="W52" ca="1">IF($C52="S",ROUND(IF(TIPOORCAMENTO="Proposto",ORÇAMENTO.CustoUnitario*(1+$AH52),ORÇAMENTO.PrecoUnitarioLicitado),15-13*$AF$10),0)</f>
        <v>26.21</v>
      </c>
      <c r="X52" s="125" cm="1">
        <f t="array" aca="1" ref="X52" ca="1">IF($C52="S",IF(OR(Import.TipoArredondamento&lt;&gt;"TransfereGOV",ACOMPANHAMENTO="BM"),VTOTAL1,SUM(OFFSET(CÁLCULO!$AA$15,ROW($X52)-ROW($X$15),1):OFFSET(CÁLCULO!$AL$15,ROW($X52)-ROW($X$15),-1))),IF($C52=0,0,ROUND(SomaAgrup,15-13*$AF$11)))</f>
        <v>5559.93</v>
      </c>
      <c r="Y52" s="126" t="s">
        <v>751</v>
      </c>
      <c r="Z52" t="str">
        <f t="shared" ca="1" si="13"/>
        <v>RA</v>
      </c>
      <c r="AA52" s="127" cm="1">
        <f t="array" aca="1" ref="AA52" ca="1">IF($C52="S",IF($Z52="CP",$X52,IF($Z52="RA",(($X52)*QCI!$AA$3),0)),SomaAgrup)</f>
        <v>2598.8656504817541</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104111</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6335</v>
      </c>
      <c r="AG52" s="428" cm="1">
        <f t="array" aca="1" ref="AG52" ca="1">ROUND(IF(DESONERACAO="sim",REFERENCIA.Desonerado,REFERENCIA.NaoDesonerado),2)</f>
        <v>21.4</v>
      </c>
      <c r="AH52" s="429">
        <f t="shared" ca="1" si="14"/>
        <v>0.22470000000000001</v>
      </c>
      <c r="AJ52" s="431">
        <v>212.13</v>
      </c>
      <c r="AL52" s="439"/>
      <c r="AM52" s="336">
        <f t="shared" ca="1" si="23"/>
        <v>5559.93</v>
      </c>
      <c r="AN52" s="470" cm="1">
        <f t="array" aca="1" ref="AN52" ca="1">ROUND(ORÇAMENTO.CustoUnitario*(1+$AH52),2)</f>
        <v>26.21</v>
      </c>
    </row>
    <row r="53" spans="1:40" ht="38.25" x14ac:dyDescent="0.2">
      <c r="A53" t="str">
        <f t="shared" si="1"/>
        <v>S</v>
      </c>
      <c r="B53">
        <f t="shared" ca="1" si="2"/>
        <v>3</v>
      </c>
      <c r="C53" t="str">
        <f t="shared" ca="1" si="3"/>
        <v>S</v>
      </c>
      <c r="D53">
        <f t="shared" ca="1" si="4"/>
        <v>0</v>
      </c>
      <c r="E53">
        <f ca="1">IF($C53=1,OFFSET(E53,-1,0)+MAX(1,COUNTIF(QCI!$A$13:$A$24,OFFSET(ORÇAMENTO!E53,-1,0))),OFFSET(E53,-1,0))</f>
        <v>1</v>
      </c>
      <c r="F53">
        <f t="shared" ca="1" si="5"/>
        <v>4</v>
      </c>
      <c r="G53">
        <f t="shared" ca="1" si="6"/>
        <v>5</v>
      </c>
      <c r="H53">
        <f t="shared" ca="1" si="7"/>
        <v>0</v>
      </c>
      <c r="I53">
        <f t="shared" ca="1" si="8"/>
        <v>3</v>
      </c>
      <c r="J53">
        <f t="shared" ca="1" si="24"/>
        <v>0</v>
      </c>
      <c r="K53">
        <f ca="1">IF(OR($C53="S",$C53=0),0,MATCH(OFFSET($D53,0,$C53)+IF($C53&lt;&gt;1,1,COUNTIF(QCI!$A$13:$A$24,ORÇAMENTO!E53)),OFFSET($D53,1,$C53,ROW($C$240)-ROW($C53)),0))</f>
        <v>0</v>
      </c>
      <c r="L53" s="114" t="str">
        <f t="shared" ca="1" si="10"/>
        <v>F</v>
      </c>
      <c r="M53" s="115" t="s">
        <v>705</v>
      </c>
      <c r="N53" s="116" t="str">
        <f t="shared" ca="1" si="11"/>
        <v>Serviço</v>
      </c>
      <c r="O53" s="117" t="str">
        <f t="shared" ca="1" si="12"/>
        <v>1.4.5.0.3.</v>
      </c>
      <c r="P53" s="118" t="s">
        <v>750</v>
      </c>
      <c r="Q53" s="119" t="s">
        <v>1177</v>
      </c>
      <c r="R53" s="120" t="str" cm="1">
        <f t="array" aca="1" ref="R53" ca="1">IF($C53="S",REFERENCIA.Descricao,"(digite a descrição aqui)")</f>
        <v>ARMAÇÃO DE PILAR OU VIGA DE ESTRUTURA DE CONCRETO ARMADO EMBUTIDA EM ALVENARIA DE VEDAÇÃO UTILIZANDO AÇO CA-50 DE 10,0 MM - MONTAGEM. AF_06/2022</v>
      </c>
      <c r="S53" s="121" t="str" cm="1">
        <f t="array" aca="1" ref="S53" ca="1">REFERENCIA.Unidade</f>
        <v>KG</v>
      </c>
      <c r="T53" s="122">
        <f ca="1">OFFSET(CÁLCULO!H$15,ROW($T53)-ROW(T$15),0)</f>
        <v>496.17</v>
      </c>
      <c r="U53" s="123">
        <f t="shared" ca="1" si="22"/>
        <v>13.18</v>
      </c>
      <c r="V53" s="124" t="s">
        <v>663</v>
      </c>
      <c r="W53" s="122" cm="1">
        <f t="array" aca="1" ref="W53" ca="1">IF($C53="S",ROUND(IF(TIPOORCAMENTO="Proposto",ORÇAMENTO.CustoUnitario*(1+$AH53),ORÇAMENTO.PrecoUnitarioLicitado),15-13*$AF$10),0)</f>
        <v>16.14</v>
      </c>
      <c r="X53" s="125" cm="1">
        <f t="array" aca="1" ref="X53" ca="1">IF($C53="S",IF(OR(Import.TipoArredondamento&lt;&gt;"TransfereGOV",ACOMPANHAMENTO="BM"),VTOTAL1,SUM(OFFSET(CÁLCULO!$AA$15,ROW($X53)-ROW($X$15),1):OFFSET(CÁLCULO!$AL$15,ROW($X53)-ROW($X$15),-1))),IF($C53=0,0,ROUND(SomaAgrup,15-13*$AF$11)))</f>
        <v>8008.18</v>
      </c>
      <c r="Y53" s="126" t="s">
        <v>751</v>
      </c>
      <c r="Z53" t="str">
        <f t="shared" ca="1" si="13"/>
        <v>RA</v>
      </c>
      <c r="AA53" s="127" cm="1">
        <f t="array" aca="1" ref="AA53" ca="1">IF($C53="S",IF($Z53="CP",$X53,IF($Z53="RA",(($X53)*QCI!$AA$3),0)),SomaAgrup)</f>
        <v>3743.2456748331315</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104108</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6330</v>
      </c>
      <c r="AG53" s="428" cm="1">
        <f t="array" aca="1" ref="AG53" ca="1">ROUND(IF(DESONERACAO="sim",REFERENCIA.Desonerado,REFERENCIA.NaoDesonerado),2)</f>
        <v>13.18</v>
      </c>
      <c r="AH53" s="429">
        <f t="shared" ca="1" si="14"/>
        <v>0.22470000000000001</v>
      </c>
      <c r="AJ53" s="431">
        <v>496.17</v>
      </c>
      <c r="AL53" s="439"/>
      <c r="AM53" s="336">
        <f t="shared" ca="1" si="23"/>
        <v>8008.18</v>
      </c>
      <c r="AN53" s="470" cm="1">
        <f t="array" aca="1" ref="AN53" ca="1">ROUND(ORÇAMENTO.CustoUnitario*(1+$AH53),2)</f>
        <v>16.14</v>
      </c>
    </row>
    <row r="54" spans="1:40" ht="25.5" x14ac:dyDescent="0.2">
      <c r="A54" t="str">
        <f t="shared" si="1"/>
        <v>S</v>
      </c>
      <c r="B54">
        <f t="shared" ca="1" si="2"/>
        <v>3</v>
      </c>
      <c r="C54" t="str">
        <f t="shared" ca="1" si="3"/>
        <v>S</v>
      </c>
      <c r="D54">
        <f t="shared" ca="1" si="4"/>
        <v>0</v>
      </c>
      <c r="E54">
        <f ca="1">IF($C54=1,OFFSET(E54,-1,0)+MAX(1,COUNTIF(QCI!$A$13:$A$24,OFFSET(ORÇAMENTO!E54,-1,0))),OFFSET(E54,-1,0))</f>
        <v>1</v>
      </c>
      <c r="F54">
        <f t="shared" ca="1" si="5"/>
        <v>4</v>
      </c>
      <c r="G54">
        <f t="shared" ca="1" si="6"/>
        <v>5</v>
      </c>
      <c r="H54">
        <f t="shared" ca="1" si="7"/>
        <v>0</v>
      </c>
      <c r="I54">
        <f t="shared" ca="1" si="8"/>
        <v>4</v>
      </c>
      <c r="J54">
        <f t="shared" ca="1" si="24"/>
        <v>0</v>
      </c>
      <c r="K54">
        <f ca="1">IF(OR($C54="S",$C54=0),0,MATCH(OFFSET($D54,0,$C54)+IF($C54&lt;&gt;1,1,COUNTIF(QCI!$A$13:$A$24,ORÇAMENTO!E54)),OFFSET($D54,1,$C54,ROW($C$240)-ROW($C54)),0))</f>
        <v>0</v>
      </c>
      <c r="L54" s="114" t="str">
        <f t="shared" ca="1" si="10"/>
        <v>F</v>
      </c>
      <c r="M54" s="115" t="s">
        <v>705</v>
      </c>
      <c r="N54" s="116" t="str">
        <f t="shared" ca="1" si="11"/>
        <v>Serviço</v>
      </c>
      <c r="O54" s="117" t="str">
        <f t="shared" ca="1" si="12"/>
        <v>1.4.5.0.4.</v>
      </c>
      <c r="P54" s="118" t="s">
        <v>750</v>
      </c>
      <c r="Q54" s="119" t="s">
        <v>1178</v>
      </c>
      <c r="R54" s="120" t="str" cm="1">
        <f t="array" aca="1" ref="R54" ca="1">IF($C54="S",REFERENCIA.Descricao,"(digite a descrição aqui)")</f>
        <v>CONCRETAGEM DE PILARES, FCK = 25 MPA, COM USO DE BOMBA - LANÇAMENTO, ADENSAMENTO E ACABAMENTO. AF_02/2022_PS</v>
      </c>
      <c r="S54" s="121" t="str" cm="1">
        <f t="array" aca="1" ref="S54" ca="1">REFERENCIA.Unidade</f>
        <v>M3</v>
      </c>
      <c r="T54" s="122">
        <f ca="1">OFFSET(CÁLCULO!H$15,ROW($T54)-ROW(T$15),0)</f>
        <v>11.78</v>
      </c>
      <c r="U54" s="123">
        <f t="shared" ca="1" si="22"/>
        <v>707.19</v>
      </c>
      <c r="V54" s="124" t="s">
        <v>663</v>
      </c>
      <c r="W54" s="122" cm="1">
        <f t="array" aca="1" ref="W54" ca="1">IF($C54="S",ROUND(IF(TIPOORCAMENTO="Proposto",ORÇAMENTO.CustoUnitario*(1+$AH54),ORÇAMENTO.PrecoUnitarioLicitado),15-13*$AF$10),0)</f>
        <v>866.1</v>
      </c>
      <c r="X54" s="125" cm="1">
        <f t="array" aca="1" ref="X54" ca="1">IF($C54="S",IF(OR(Import.TipoArredondamento&lt;&gt;"TransfereGOV",ACOMPANHAMENTO="BM"),VTOTAL1,SUM(OFFSET(CÁLCULO!$AA$15,ROW($X54)-ROW($X$15),1):OFFSET(CÁLCULO!$AL$15,ROW($X54)-ROW($X$15),-1))),IF($C54=0,0,ROUND(SomaAgrup,15-13*$AF$11)))</f>
        <v>10202.66</v>
      </c>
      <c r="Y54" s="126" t="s">
        <v>751</v>
      </c>
      <c r="Z54" t="str">
        <f t="shared" ca="1" si="13"/>
        <v>RA</v>
      </c>
      <c r="AA54" s="127" cm="1">
        <f t="array" aca="1" ref="AA54" ca="1">IF($C54="S",IF($Z54="CP",$X54,IF($Z54="RA",(($X54)*QCI!$AA$3),0)),SomaAgrup)</f>
        <v>4769.0065553962313</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103672</v>
      </c>
      <c r="AF54" s="12"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7346</v>
      </c>
      <c r="AG54" s="428" cm="1">
        <f t="array" aca="1" ref="AG54" ca="1">ROUND(IF(DESONERACAO="sim",REFERENCIA.Desonerado,REFERENCIA.NaoDesonerado),2)</f>
        <v>707.19</v>
      </c>
      <c r="AH54" s="429">
        <f t="shared" ca="1" si="14"/>
        <v>0.22470000000000001</v>
      </c>
      <c r="AJ54" s="431">
        <v>11.78</v>
      </c>
      <c r="AL54" s="439"/>
      <c r="AM54" s="336">
        <f t="shared" ca="1" si="23"/>
        <v>10202.66</v>
      </c>
      <c r="AN54" s="470" cm="1">
        <f t="array" aca="1" ref="AN54" ca="1">ROUND(ORÇAMENTO.CustoUnitario*(1+$AH54),2)</f>
        <v>866.1</v>
      </c>
    </row>
    <row r="55" spans="1:40" x14ac:dyDescent="0.2">
      <c r="A55">
        <f t="shared" si="1"/>
        <v>3</v>
      </c>
      <c r="B55">
        <f t="shared" ca="1" si="2"/>
        <v>3</v>
      </c>
      <c r="C55">
        <f t="shared" ca="1" si="3"/>
        <v>3</v>
      </c>
      <c r="D55">
        <f t="shared" ca="1" si="4"/>
        <v>7</v>
      </c>
      <c r="E55">
        <f ca="1">IF($C55=1,OFFSET(E55,-1,0)+MAX(1,COUNTIF(QCI!$A$13:$A$24,OFFSET(ORÇAMENTO!E55,-1,0))),OFFSET(E55,-1,0))</f>
        <v>1</v>
      </c>
      <c r="F55">
        <f t="shared" ca="1" si="5"/>
        <v>4</v>
      </c>
      <c r="G55">
        <f t="shared" ca="1" si="6"/>
        <v>6</v>
      </c>
      <c r="H55">
        <f t="shared" ca="1" si="7"/>
        <v>0</v>
      </c>
      <c r="I55">
        <f t="shared" ca="1" si="8"/>
        <v>0</v>
      </c>
      <c r="J55">
        <f t="shared" ca="1" si="24"/>
        <v>48</v>
      </c>
      <c r="K55">
        <f ca="1">IF(OR($C55="S",$C55=0),0,MATCH(OFFSET($D55,0,$C55)+IF($C55&lt;&gt;1,1,COUNTIF(QCI!$A$13:$A$24,ORÇAMENTO!E55)),OFFSET($D55,1,$C55,ROW($C$240)-ROW($C55)),0))</f>
        <v>7</v>
      </c>
      <c r="L55" s="114" t="str">
        <f t="shared" ca="1" si="10"/>
        <v>F</v>
      </c>
      <c r="M55" s="115" t="s">
        <v>703</v>
      </c>
      <c r="N55" s="116" t="str">
        <f t="shared" ca="1" si="11"/>
        <v>Nível 3</v>
      </c>
      <c r="O55" s="117" t="str">
        <f t="shared" ca="1" si="12"/>
        <v>1.4.6.</v>
      </c>
      <c r="P55" s="118" t="s">
        <v>750</v>
      </c>
      <c r="Q55" s="119"/>
      <c r="R55" s="120" t="s">
        <v>1034</v>
      </c>
      <c r="S55" s="121" t="str" cm="1">
        <f t="array" aca="1" ref="S55" ca="1">REFERENCIA.Unidade</f>
        <v>-</v>
      </c>
      <c r="T55" s="122">
        <f ca="1">OFFSET(CÁLCULO!H$15,ROW($T55)-ROW(T$15),0)</f>
        <v>0</v>
      </c>
      <c r="U55" s="123"/>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84051.67</v>
      </c>
      <c r="Y55" s="126" t="s">
        <v>751</v>
      </c>
      <c r="Z55" t="str">
        <f t="shared" ca="1" si="13"/>
        <v/>
      </c>
      <c r="AA55" s="127" cm="1">
        <f t="array" aca="1" ref="AA55" ca="1">IF($C55="S",IF($Z55="CP",$X55,IF($Z55="RA",(($X55)*QCI!$AA$3),0)),SomaAgrup)</f>
        <v>39288.084207647888</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b" cm="1">
        <f t="array" aca="1" ref="AE55" ca="1">IF(AND($C55="S",ORÇAMENTO.CodBarra&lt;&gt;""),IF(ORÇAMENTO.Fonte="",ORÇAMENTO.CodBarra,CONCATENATE(ORÇAMENTO.Fonte," ",ORÇAMENTO.CodBarra)))</f>
        <v>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8" cm="1">
        <f t="array" aca="1" ref="AG55" ca="1">ROUND(IF(DESONERACAO="sim",REFERENCIA.Desonerado,REFERENCIA.NaoDesonerado),2)</f>
        <v>0</v>
      </c>
      <c r="AH55" s="429">
        <f t="shared" ca="1" si="14"/>
        <v>0.22470000000000001</v>
      </c>
      <c r="AJ55" s="431"/>
      <c r="AL55" s="439"/>
      <c r="AM55" s="336">
        <f t="shared" ca="1" si="23"/>
        <v>84051.67</v>
      </c>
      <c r="AN55" s="470" cm="1">
        <f t="array" aca="1" ref="AN55" ca="1">ROUND(ORÇAMENTO.CustoUnitario*(1+$AH55),2)</f>
        <v>0</v>
      </c>
    </row>
    <row r="56" spans="1:40" ht="38.25" x14ac:dyDescent="0.2">
      <c r="A56" t="str">
        <f t="shared" si="1"/>
        <v>S</v>
      </c>
      <c r="B56">
        <f t="shared" ca="1" si="2"/>
        <v>3</v>
      </c>
      <c r="C56" t="str">
        <f t="shared" ca="1" si="3"/>
        <v>S</v>
      </c>
      <c r="D56">
        <f t="shared" ca="1" si="4"/>
        <v>0</v>
      </c>
      <c r="E56">
        <f ca="1">IF($C56=1,OFFSET(E56,-1,0)+MAX(1,COUNTIF(QCI!$A$13:$A$24,OFFSET(ORÇAMENTO!E56,-1,0))),OFFSET(E56,-1,0))</f>
        <v>1</v>
      </c>
      <c r="F56">
        <f t="shared" ca="1" si="5"/>
        <v>4</v>
      </c>
      <c r="G56">
        <f t="shared" ca="1" si="6"/>
        <v>6</v>
      </c>
      <c r="H56">
        <f t="shared" ca="1" si="7"/>
        <v>0</v>
      </c>
      <c r="I56">
        <f t="shared" ca="1" si="8"/>
        <v>1</v>
      </c>
      <c r="J56">
        <f t="shared" ca="1" si="24"/>
        <v>0</v>
      </c>
      <c r="K56">
        <f ca="1">IF(OR($C56="S",$C56=0),0,MATCH(OFFSET($D56,0,$C56)+IF($C56&lt;&gt;1,1,COUNTIF(QCI!$A$13:$A$24,ORÇAMENTO!E56)),OFFSET($D56,1,$C56,ROW($C$240)-ROW($C56)),0))</f>
        <v>0</v>
      </c>
      <c r="L56" s="114" t="str">
        <f t="shared" ca="1" si="10"/>
        <v>F</v>
      </c>
      <c r="M56" s="115" t="s">
        <v>705</v>
      </c>
      <c r="N56" s="116" t="str">
        <f t="shared" ca="1" si="11"/>
        <v>Serviço</v>
      </c>
      <c r="O56" s="117" t="str">
        <f t="shared" ca="1" si="12"/>
        <v>1.4.6.0.1.</v>
      </c>
      <c r="P56" s="118" t="s">
        <v>750</v>
      </c>
      <c r="Q56" s="119" t="s">
        <v>1180</v>
      </c>
      <c r="R56" s="120" t="str" cm="1">
        <f t="array" aca="1" ref="R56" ca="1">IF($C56="S",REFERENCIA.Descricao,"(digite a descrição aqui)")</f>
        <v>MONTAGEM E DESMONTAGEM DE FÔRMA DE VIGA, ESCORAMENTO COM GARFO DE MADEIRA, PÉ-DIREITO SIMPLES, EM CHAPA DE MADEIRA PLASTIFICADA, 18 UTILIZAÇÕES. AF_09/2020</v>
      </c>
      <c r="S56" s="121" t="str" cm="1">
        <f t="array" aca="1" ref="S56" ca="1">REFERENCIA.Unidade</f>
        <v>M2</v>
      </c>
      <c r="T56" s="122">
        <f ca="1">OFFSET(CÁLCULO!H$15,ROW($T56)-ROW(T$15),0)</f>
        <v>43.05</v>
      </c>
      <c r="U56" s="123">
        <f t="shared" ref="U56:U61" ca="1" si="25">AG56</f>
        <v>72.22</v>
      </c>
      <c r="V56" s="124" t="s">
        <v>663</v>
      </c>
      <c r="W56" s="122" cm="1">
        <f t="array" aca="1" ref="W56" ca="1">IF($C56="S",ROUND(IF(TIPOORCAMENTO="Proposto",ORÇAMENTO.CustoUnitario*(1+$AH56),ORÇAMENTO.PrecoUnitarioLicitado),15-13*$AF$10),0)</f>
        <v>88.45</v>
      </c>
      <c r="X56" s="125" cm="1">
        <f t="array" aca="1" ref="X56" ca="1">IF($C56="S",IF(OR(Import.TipoArredondamento&lt;&gt;"TransfereGOV",ACOMPANHAMENTO="BM"),VTOTAL1,SUM(OFFSET(CÁLCULO!$AA$15,ROW($X56)-ROW($X$15),1):OFFSET(CÁLCULO!$AL$15,ROW($X56)-ROW($X$15),-1))),IF($C56=0,0,ROUND(SomaAgrup,15-13*$AF$11)))</f>
        <v>3807.77</v>
      </c>
      <c r="Y56" s="126" t="s">
        <v>751</v>
      </c>
      <c r="Z56" t="str">
        <f t="shared" ca="1" si="13"/>
        <v>RA</v>
      </c>
      <c r="AA56" s="127" cm="1">
        <f t="array" aca="1" ref="AA56" ca="1">IF($C56="S",IF($Z56="CP",$X56,IF($Z56="RA",(($X56)*QCI!$AA$3),0)),SomaAgrup)</f>
        <v>1779.8574186968015</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92479</v>
      </c>
      <c r="AF56" s="12"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10253</v>
      </c>
      <c r="AG56" s="428" cm="1">
        <f t="array" aca="1" ref="AG56" ca="1">ROUND(IF(DESONERACAO="sim",REFERENCIA.Desonerado,REFERENCIA.NaoDesonerado),2)</f>
        <v>72.22</v>
      </c>
      <c r="AH56" s="429">
        <f t="shared" ca="1" si="14"/>
        <v>0.22470000000000001</v>
      </c>
      <c r="AJ56" s="431">
        <v>43.05</v>
      </c>
      <c r="AL56" s="439"/>
      <c r="AM56" s="336">
        <f t="shared" ca="1" si="23"/>
        <v>3807.77</v>
      </c>
      <c r="AN56" s="470" cm="1">
        <f t="array" aca="1" ref="AN56" ca="1">ROUND(ORÇAMENTO.CustoUnitario*(1+$AH56),2)</f>
        <v>88.45</v>
      </c>
    </row>
    <row r="57" spans="1:40" ht="38.25" x14ac:dyDescent="0.2">
      <c r="A57" t="str">
        <f t="shared" si="1"/>
        <v>S</v>
      </c>
      <c r="B57">
        <f t="shared" ca="1" si="2"/>
        <v>3</v>
      </c>
      <c r="C57" t="str">
        <f t="shared" ca="1" si="3"/>
        <v>S</v>
      </c>
      <c r="D57">
        <f t="shared" ca="1" si="4"/>
        <v>0</v>
      </c>
      <c r="E57">
        <f ca="1">IF($C57=1,OFFSET(E57,-1,0)+MAX(1,COUNTIF(QCI!$A$13:$A$24,OFFSET(ORÇAMENTO!E57,-1,0))),OFFSET(E57,-1,0))</f>
        <v>1</v>
      </c>
      <c r="F57">
        <f t="shared" ca="1" si="5"/>
        <v>4</v>
      </c>
      <c r="G57">
        <f t="shared" ca="1" si="6"/>
        <v>6</v>
      </c>
      <c r="H57">
        <f t="shared" ca="1" si="7"/>
        <v>0</v>
      </c>
      <c r="I57">
        <f t="shared" ca="1" si="8"/>
        <v>2</v>
      </c>
      <c r="J57">
        <f t="shared" ca="1" si="24"/>
        <v>0</v>
      </c>
      <c r="K57">
        <f ca="1">IF(OR($C57="S",$C57=0),0,MATCH(OFFSET($D57,0,$C57)+IF($C57&lt;&gt;1,1,COUNTIF(QCI!$A$13:$A$24,ORÇAMENTO!E57)),OFFSET($D57,1,$C57,ROW($C$240)-ROW($C57)),0))</f>
        <v>0</v>
      </c>
      <c r="L57" s="114" t="str">
        <f t="shared" ca="1" si="10"/>
        <v>F</v>
      </c>
      <c r="M57" s="115" t="s">
        <v>705</v>
      </c>
      <c r="N57" s="116" t="str">
        <f t="shared" ca="1" si="11"/>
        <v>Serviço</v>
      </c>
      <c r="O57" s="117" t="str">
        <f t="shared" ca="1" si="12"/>
        <v>1.4.6.0.2.</v>
      </c>
      <c r="P57" s="118" t="s">
        <v>750</v>
      </c>
      <c r="Q57" s="119" t="s">
        <v>1182</v>
      </c>
      <c r="R57" s="120" t="str" cm="1">
        <f t="array" aca="1" ref="R57" ca="1">IF($C57="S",REFERENCIA.Descricao,"(digite a descrição aqui)")</f>
        <v>ARMAÇÃO DE PILAR OU VIGA DE ESTRUTURA CONVENCIONAL DE CONCRETO ARMADO UTILIZANDO AÇO CA-60 DE 5,0 MM - MONTAGEM. AF_06/2022</v>
      </c>
      <c r="S57" s="121" t="str" cm="1">
        <f t="array" aca="1" ref="S57" ca="1">REFERENCIA.Unidade</f>
        <v>KG</v>
      </c>
      <c r="T57" s="122">
        <f ca="1">OFFSET(CÁLCULO!H$15,ROW($T57)-ROW(T$15),0)</f>
        <v>576.54</v>
      </c>
      <c r="U57" s="123">
        <f t="shared" ca="1" si="25"/>
        <v>14.54</v>
      </c>
      <c r="V57" s="124" t="s">
        <v>663</v>
      </c>
      <c r="W57" s="122" cm="1">
        <f t="array" aca="1" ref="W57" ca="1">IF($C57="S",ROUND(IF(TIPOORCAMENTO="Proposto",ORÇAMENTO.CustoUnitario*(1+$AH57),ORÇAMENTO.PrecoUnitarioLicitado),15-13*$AF$10),0)</f>
        <v>17.809999999999999</v>
      </c>
      <c r="X57" s="125" cm="1">
        <f t="array" aca="1" ref="X57" ca="1">IF($C57="S",IF(OR(Import.TipoArredondamento&lt;&gt;"TransfereGOV",ACOMPANHAMENTO="BM"),VTOTAL1,SUM(OFFSET(CÁLCULO!$AA$15,ROW($X57)-ROW($X$15),1):OFFSET(CÁLCULO!$AL$15,ROW($X57)-ROW($X$15),-1))),IF($C57=0,0,ROUND(SomaAgrup,15-13*$AF$11)))</f>
        <v>10268.18</v>
      </c>
      <c r="Y57" s="126" t="s">
        <v>751</v>
      </c>
      <c r="Z57" t="str">
        <f t="shared" ca="1" si="13"/>
        <v>RA</v>
      </c>
      <c r="AA57" s="127" cm="1">
        <f t="array" aca="1" ref="AA57" ca="1">IF($C57="S",IF($Z57="CP",$X57,IF($Z57="RA",(($X57)*QCI!$AA$3),0)),SomaAgrup)</f>
        <v>4799.6324225239769</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92759</v>
      </c>
      <c r="AF57" s="12"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6329</v>
      </c>
      <c r="AG57" s="428" cm="1">
        <f t="array" aca="1" ref="AG57" ca="1">ROUND(IF(DESONERACAO="sim",REFERENCIA.Desonerado,REFERENCIA.NaoDesonerado),2)</f>
        <v>14.54</v>
      </c>
      <c r="AH57" s="429">
        <f t="shared" ca="1" si="14"/>
        <v>0.22470000000000001</v>
      </c>
      <c r="AJ57" s="431">
        <v>576.54</v>
      </c>
      <c r="AL57" s="439"/>
      <c r="AM57" s="336">
        <f t="shared" ca="1" si="23"/>
        <v>10268.18</v>
      </c>
      <c r="AN57" s="470" cm="1">
        <f t="array" aca="1" ref="AN57" ca="1">ROUND(ORÇAMENTO.CustoUnitario*(1+$AH57),2)</f>
        <v>17.809999999999999</v>
      </c>
    </row>
    <row r="58" spans="1:40" ht="38.25" x14ac:dyDescent="0.2">
      <c r="A58" t="str">
        <f t="shared" si="1"/>
        <v>S</v>
      </c>
      <c r="B58">
        <f t="shared" ca="1" si="2"/>
        <v>3</v>
      </c>
      <c r="C58" t="str">
        <f t="shared" ca="1" si="3"/>
        <v>S</v>
      </c>
      <c r="D58">
        <f t="shared" ca="1" si="4"/>
        <v>0</v>
      </c>
      <c r="E58">
        <f ca="1">IF($C58=1,OFFSET(E58,-1,0)+MAX(1,COUNTIF(QCI!$A$13:$A$24,OFFSET(ORÇAMENTO!E58,-1,0))),OFFSET(E58,-1,0))</f>
        <v>1</v>
      </c>
      <c r="F58">
        <f t="shared" ca="1" si="5"/>
        <v>4</v>
      </c>
      <c r="G58">
        <f t="shared" ca="1" si="6"/>
        <v>6</v>
      </c>
      <c r="H58">
        <f t="shared" ca="1" si="7"/>
        <v>0</v>
      </c>
      <c r="I58">
        <f t="shared" ca="1" si="8"/>
        <v>3</v>
      </c>
      <c r="J58">
        <f t="shared" ca="1" si="24"/>
        <v>0</v>
      </c>
      <c r="K58">
        <f ca="1">IF(OR($C58="S",$C58=0),0,MATCH(OFFSET($D58,0,$C58)+IF($C58&lt;&gt;1,1,COUNTIF(QCI!$A$13:$A$24,ORÇAMENTO!E58)),OFFSET($D58,1,$C58,ROW($C$240)-ROW($C58)),0))</f>
        <v>0</v>
      </c>
      <c r="L58" s="114" t="str">
        <f t="shared" ca="1" si="10"/>
        <v>F</v>
      </c>
      <c r="M58" s="115" t="s">
        <v>705</v>
      </c>
      <c r="N58" s="116" t="str">
        <f t="shared" ca="1" si="11"/>
        <v>Serviço</v>
      </c>
      <c r="O58" s="117" t="str">
        <f t="shared" ca="1" si="12"/>
        <v>1.4.6.0.3.</v>
      </c>
      <c r="P58" s="118" t="s">
        <v>750</v>
      </c>
      <c r="Q58" s="119" t="s">
        <v>1181</v>
      </c>
      <c r="R58" s="120" t="str" cm="1">
        <f t="array" aca="1" ref="R58" ca="1">IF($C58="S",REFERENCIA.Descricao,"(digite a descrição aqui)")</f>
        <v>ARMAÇÃO DE PILAR OU VIGA DE ESTRUTURA CONVENCIONAL DE CONCRETO ARMADO UTILIZANDO AÇO CA-50 DE 8,0 MM - MONTAGEM. AF_06/2022</v>
      </c>
      <c r="S58" s="121" t="str" cm="1">
        <f t="array" aca="1" ref="S58" ca="1">REFERENCIA.Unidade</f>
        <v>KG</v>
      </c>
      <c r="T58" s="122">
        <f ca="1">OFFSET(CÁLCULO!H$15,ROW($T58)-ROW(T$15),0)</f>
        <v>670.5</v>
      </c>
      <c r="U58" s="123">
        <f t="shared" ca="1" si="25"/>
        <v>12.69</v>
      </c>
      <c r="V58" s="124" t="s">
        <v>663</v>
      </c>
      <c r="W58" s="122" cm="1">
        <f t="array" aca="1" ref="W58" ca="1">IF($C58="S",ROUND(IF(TIPOORCAMENTO="Proposto",ORÇAMENTO.CustoUnitario*(1+$AH58),ORÇAMENTO.PrecoUnitarioLicitado),15-13*$AF$10),0)</f>
        <v>15.54</v>
      </c>
      <c r="X58" s="125" cm="1">
        <f t="array" aca="1" ref="X58" ca="1">IF($C58="S",IF(OR(Import.TipoArredondamento&lt;&gt;"TransfereGOV",ACOMPANHAMENTO="BM"),VTOTAL1,SUM(OFFSET(CÁLCULO!$AA$15,ROW($X58)-ROW($X$15),1):OFFSET(CÁLCULO!$AL$15,ROW($X58)-ROW($X$15),-1))),IF($C58=0,0,ROUND(SomaAgrup,15-13*$AF$11)))</f>
        <v>10419.57</v>
      </c>
      <c r="Y58" s="126" t="s">
        <v>751</v>
      </c>
      <c r="Z58" t="str">
        <f t="shared" ca="1" si="13"/>
        <v>RA</v>
      </c>
      <c r="AA58" s="127" cm="1">
        <f t="array" aca="1" ref="AA58" ca="1">IF($C58="S",IF($Z58="CP",$X58,IF($Z58="RA",(($X58)*QCI!$AA$3),0)),SomaAgrup)</f>
        <v>4870.3963117863295</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92761</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6328</v>
      </c>
      <c r="AG58" s="428" cm="1">
        <f t="array" aca="1" ref="AG58" ca="1">ROUND(IF(DESONERACAO="sim",REFERENCIA.Desonerado,REFERENCIA.NaoDesonerado),2)</f>
        <v>12.69</v>
      </c>
      <c r="AH58" s="429">
        <f t="shared" ca="1" si="14"/>
        <v>0.22470000000000001</v>
      </c>
      <c r="AJ58" s="431">
        <v>670.5</v>
      </c>
      <c r="AL58" s="439"/>
      <c r="AM58" s="336">
        <f t="shared" ca="1" si="23"/>
        <v>10419.57</v>
      </c>
      <c r="AN58" s="470" cm="1">
        <f t="array" aca="1" ref="AN58" ca="1">ROUND(ORÇAMENTO.CustoUnitario*(1+$AH58),2)</f>
        <v>15.54</v>
      </c>
    </row>
    <row r="59" spans="1:40" ht="38.25" x14ac:dyDescent="0.2">
      <c r="A59" t="str">
        <f t="shared" si="1"/>
        <v>S</v>
      </c>
      <c r="B59">
        <f t="shared" ca="1" si="2"/>
        <v>3</v>
      </c>
      <c r="C59" t="str">
        <f t="shared" ca="1" si="3"/>
        <v>S</v>
      </c>
      <c r="D59">
        <f t="shared" ca="1" si="4"/>
        <v>0</v>
      </c>
      <c r="E59">
        <f ca="1">IF($C59=1,OFFSET(E59,-1,0)+MAX(1,COUNTIF(QCI!$A$13:$A$24,OFFSET(ORÇAMENTO!E59,-1,0))),OFFSET(E59,-1,0))</f>
        <v>1</v>
      </c>
      <c r="F59">
        <f t="shared" ca="1" si="5"/>
        <v>4</v>
      </c>
      <c r="G59">
        <f t="shared" ca="1" si="6"/>
        <v>6</v>
      </c>
      <c r="H59">
        <f t="shared" ca="1" si="7"/>
        <v>0</v>
      </c>
      <c r="I59">
        <f t="shared" ca="1" si="8"/>
        <v>4</v>
      </c>
      <c r="J59">
        <f t="shared" ca="1" si="24"/>
        <v>0</v>
      </c>
      <c r="K59">
        <f ca="1">IF(OR($C59="S",$C59=0),0,MATCH(OFFSET($D59,0,$C59)+IF($C59&lt;&gt;1,1,COUNTIF(QCI!$A$13:$A$24,ORÇAMENTO!E59)),OFFSET($D59,1,$C59,ROW($C$240)-ROW($C59)),0))</f>
        <v>0</v>
      </c>
      <c r="L59" s="114" t="str">
        <f t="shared" ca="1" si="10"/>
        <v>F</v>
      </c>
      <c r="M59" s="115" t="s">
        <v>705</v>
      </c>
      <c r="N59" s="116" t="str">
        <f t="shared" ca="1" si="11"/>
        <v>Serviço</v>
      </c>
      <c r="O59" s="117" t="str">
        <f t="shared" ca="1" si="12"/>
        <v>1.4.6.0.4.</v>
      </c>
      <c r="P59" s="118" t="s">
        <v>750</v>
      </c>
      <c r="Q59" s="119" t="s">
        <v>1183</v>
      </c>
      <c r="R59" s="120" t="str" cm="1">
        <f t="array" aca="1" ref="R59" ca="1">IF($C59="S",REFERENCIA.Descricao,"(digite a descrição aqui)")</f>
        <v>ARMAÇÃO DE PILAR OU VIGA DE ESTRUTURA CONVENCIONAL DE CONCRETO ARMADO UTILIZANDO AÇO CA-50 DE 10,0 MM - MONTAGEM. AF_06/2022</v>
      </c>
      <c r="S59" s="121" t="str" cm="1">
        <f t="array" aca="1" ref="S59" ca="1">REFERENCIA.Unidade</f>
        <v>KG</v>
      </c>
      <c r="T59" s="122">
        <f ca="1">OFFSET(CÁLCULO!H$15,ROW($T59)-ROW(T$15),0)</f>
        <v>1234.8</v>
      </c>
      <c r="U59" s="123">
        <f t="shared" ca="1" si="25"/>
        <v>11.27</v>
      </c>
      <c r="V59" s="124" t="s">
        <v>663</v>
      </c>
      <c r="W59" s="122" cm="1">
        <f t="array" aca="1" ref="W59" ca="1">IF($C59="S",ROUND(IF(TIPOORCAMENTO="Proposto",ORÇAMENTO.CustoUnitario*(1+$AH59),ORÇAMENTO.PrecoUnitarioLicitado),15-13*$AF$10),0)</f>
        <v>13.8</v>
      </c>
      <c r="X59" s="125" cm="1">
        <f t="array" aca="1" ref="X59" ca="1">IF($C59="S",IF(OR(Import.TipoArredondamento&lt;&gt;"TransfereGOV",ACOMPANHAMENTO="BM"),VTOTAL1,SUM(OFFSET(CÁLCULO!$AA$15,ROW($X59)-ROW($X$15),1):OFFSET(CÁLCULO!$AL$15,ROW($X59)-ROW($X$15),-1))),IF($C59=0,0,ROUND(SomaAgrup,15-13*$AF$11)))</f>
        <v>17040.240000000002</v>
      </c>
      <c r="Y59" s="126" t="s">
        <v>751</v>
      </c>
      <c r="Z59" t="str">
        <f t="shared" ca="1" si="13"/>
        <v>RA</v>
      </c>
      <c r="AA59" s="127" cm="1">
        <f t="array" aca="1" ref="AA59" ca="1">IF($C59="S",IF($Z59="CP",$X59,IF($Z59="RA",(($X59)*QCI!$AA$3),0)),SomaAgrup)</f>
        <v>7965.081289146663</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92762</v>
      </c>
      <c r="AF59" s="12"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6321</v>
      </c>
      <c r="AG59" s="428" cm="1">
        <f t="array" aca="1" ref="AG59" ca="1">ROUND(IF(DESONERACAO="sim",REFERENCIA.Desonerado,REFERENCIA.NaoDesonerado),2)</f>
        <v>11.27</v>
      </c>
      <c r="AH59" s="429">
        <f t="shared" ca="1" si="14"/>
        <v>0.22470000000000001</v>
      </c>
      <c r="AJ59" s="431">
        <v>1234.8</v>
      </c>
      <c r="AL59" s="439"/>
      <c r="AM59" s="336">
        <f t="shared" ca="1" si="23"/>
        <v>17040.240000000002</v>
      </c>
      <c r="AN59" s="470" cm="1">
        <f t="array" aca="1" ref="AN59" ca="1">ROUND(ORÇAMENTO.CustoUnitario*(1+$AH59),2)</f>
        <v>13.8</v>
      </c>
    </row>
    <row r="60" spans="1:40" ht="38.25" x14ac:dyDescent="0.2">
      <c r="A60" t="str">
        <f t="shared" si="1"/>
        <v>S</v>
      </c>
      <c r="B60">
        <f t="shared" ca="1" si="2"/>
        <v>3</v>
      </c>
      <c r="C60" t="str">
        <f t="shared" ca="1" si="3"/>
        <v>S</v>
      </c>
      <c r="D60">
        <f t="shared" ca="1" si="4"/>
        <v>0</v>
      </c>
      <c r="E60">
        <f ca="1">IF($C60=1,OFFSET(E60,-1,0)+MAX(1,COUNTIF(QCI!$A$13:$A$24,OFFSET(ORÇAMENTO!E60,-1,0))),OFFSET(E60,-1,0))</f>
        <v>1</v>
      </c>
      <c r="F60">
        <f t="shared" ca="1" si="5"/>
        <v>4</v>
      </c>
      <c r="G60">
        <f t="shared" ca="1" si="6"/>
        <v>6</v>
      </c>
      <c r="H60">
        <f t="shared" ca="1" si="7"/>
        <v>0</v>
      </c>
      <c r="I60">
        <f t="shared" ca="1" si="8"/>
        <v>5</v>
      </c>
      <c r="J60">
        <f t="shared" ca="1" si="24"/>
        <v>0</v>
      </c>
      <c r="K60">
        <f ca="1">IF(OR($C60="S",$C60=0),0,MATCH(OFFSET($D60,0,$C60)+IF($C60&lt;&gt;1,1,COUNTIF(QCI!$A$13:$A$24,ORÇAMENTO!E60)),OFFSET($D60,1,$C60,ROW($C$240)-ROW($C60)),0))</f>
        <v>0</v>
      </c>
      <c r="L60" s="114" t="str">
        <f t="shared" ca="1" si="10"/>
        <v>F</v>
      </c>
      <c r="M60" s="115" t="s">
        <v>705</v>
      </c>
      <c r="N60" s="116" t="str">
        <f t="shared" ca="1" si="11"/>
        <v>Serviço</v>
      </c>
      <c r="O60" s="117" t="str">
        <f t="shared" ca="1" si="12"/>
        <v>1.4.6.0.5.</v>
      </c>
      <c r="P60" s="118" t="s">
        <v>750</v>
      </c>
      <c r="Q60" s="119" t="s">
        <v>1185</v>
      </c>
      <c r="R60" s="120" t="str" cm="1">
        <f t="array" aca="1" ref="R60" ca="1">IF($C60="S",REFERENCIA.Descricao,"(digite a descrição aqui)")</f>
        <v>CONCRETAGEM DE VIGAS E LAJES, FCK=25 MPA, PARA LAJES MACIÇAS OU NERVURADAS COM USO DE BOMBA - LANÇAMENTO, ADENSAMENTO E ACABAMENTO. AF_02/2022_PS</v>
      </c>
      <c r="S60" s="121" t="str" cm="1">
        <f t="array" aca="1" ref="S60" ca="1">REFERENCIA.Unidade</f>
        <v>M3</v>
      </c>
      <c r="T60" s="122">
        <f ca="1">OFFSET(CÁLCULO!H$15,ROW($T60)-ROW(T$15),0)</f>
        <v>46.08</v>
      </c>
      <c r="U60" s="123">
        <f t="shared" ca="1" si="25"/>
        <v>707.25</v>
      </c>
      <c r="V60" s="124" t="s">
        <v>663</v>
      </c>
      <c r="W60" s="122" cm="1">
        <f t="array" aca="1" ref="W60" ca="1">IF($C60="S",ROUND(IF(TIPOORCAMENTO="Proposto",ORÇAMENTO.CustoUnitario*(1+$AH60),ORÇAMENTO.PrecoUnitarioLicitado),15-13*$AF$10),0)</f>
        <v>866.17</v>
      </c>
      <c r="X60" s="125" cm="1">
        <f t="array" aca="1" ref="X60" ca="1">IF($C60="S",IF(OR(Import.TipoArredondamento&lt;&gt;"TransfereGOV",ACOMPANHAMENTO="BM"),VTOTAL1,SUM(OFFSET(CÁLCULO!$AA$15,ROW($X60)-ROW($X$15),1):OFFSET(CÁLCULO!$AL$15,ROW($X60)-ROW($X$15),-1))),IF($C60=0,0,ROUND(SomaAgrup,15-13*$AF$11)))</f>
        <v>39913.11</v>
      </c>
      <c r="Y60" s="126" t="s">
        <v>751</v>
      </c>
      <c r="Z60" t="str">
        <f t="shared" ca="1" si="13"/>
        <v>RA</v>
      </c>
      <c r="AA60" s="127" cm="1">
        <f t="array" aca="1" ref="AA60" ca="1">IF($C60="S",IF($Z60="CP",$X60,IF($Z60="RA",(($X60)*QCI!$AA$3),0)),SomaAgrup)</f>
        <v>18656.495780144676</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103675</v>
      </c>
      <c r="AF60" s="12"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7354</v>
      </c>
      <c r="AG60" s="428" cm="1">
        <f t="array" aca="1" ref="AG60" ca="1">ROUND(IF(DESONERACAO="sim",REFERENCIA.Desonerado,REFERENCIA.NaoDesonerado),2)</f>
        <v>707.25</v>
      </c>
      <c r="AH60" s="429">
        <f t="shared" ca="1" si="14"/>
        <v>0.22470000000000001</v>
      </c>
      <c r="AJ60" s="431">
        <v>46.08</v>
      </c>
      <c r="AL60" s="439"/>
      <c r="AM60" s="336">
        <f t="shared" ca="1" si="23"/>
        <v>39913.11</v>
      </c>
      <c r="AN60" s="470" cm="1">
        <f t="array" aca="1" ref="AN60" ca="1">ROUND(ORÇAMENTO.CustoUnitario*(1+$AH60),2)</f>
        <v>866.17</v>
      </c>
    </row>
    <row r="61" spans="1:40" ht="25.5" x14ac:dyDescent="0.2">
      <c r="A61" t="str">
        <f t="shared" si="1"/>
        <v>S</v>
      </c>
      <c r="B61">
        <f t="shared" ca="1" si="2"/>
        <v>3</v>
      </c>
      <c r="C61" t="str">
        <f t="shared" ca="1" si="3"/>
        <v>S</v>
      </c>
      <c r="D61">
        <f t="shared" ca="1" si="4"/>
        <v>0</v>
      </c>
      <c r="E61">
        <f ca="1">IF($C61=1,OFFSET(E61,-1,0)+MAX(1,COUNTIF(QCI!$A$13:$A$24,OFFSET(ORÇAMENTO!E61,-1,0))),OFFSET(E61,-1,0))</f>
        <v>1</v>
      </c>
      <c r="F61">
        <f t="shared" ca="1" si="5"/>
        <v>4</v>
      </c>
      <c r="G61">
        <f t="shared" ca="1" si="6"/>
        <v>6</v>
      </c>
      <c r="H61">
        <f t="shared" ca="1" si="7"/>
        <v>0</v>
      </c>
      <c r="I61">
        <f t="shared" ca="1" si="8"/>
        <v>6</v>
      </c>
      <c r="J61">
        <f t="shared" ca="1" si="24"/>
        <v>0</v>
      </c>
      <c r="K61">
        <f ca="1">IF(OR($C61="S",$C61=0),0,MATCH(OFFSET($D61,0,$C61)+IF($C61&lt;&gt;1,1,COUNTIF(QCI!$A$13:$A$24,ORÇAMENTO!E61)),OFFSET($D61,1,$C61,ROW($C$240)-ROW($C61)),0))</f>
        <v>0</v>
      </c>
      <c r="L61" s="114" t="str">
        <f t="shared" ca="1" si="10"/>
        <v>F</v>
      </c>
      <c r="M61" s="115" t="s">
        <v>705</v>
      </c>
      <c r="N61" s="116" t="str">
        <f t="shared" ca="1" si="11"/>
        <v>Serviço</v>
      </c>
      <c r="O61" s="117" t="str">
        <f t="shared" ca="1" si="12"/>
        <v>1.4.6.0.6.</v>
      </c>
      <c r="P61" s="118" t="s">
        <v>750</v>
      </c>
      <c r="Q61" s="119" t="s">
        <v>1152</v>
      </c>
      <c r="R61" s="120" t="str" cm="1">
        <f t="array" aca="1" ref="R61" ca="1">IF($C61="S",REFERENCIA.Descricao,"(digite a descrição aqui)")</f>
        <v>IMPERMEABILIZAÇÃO DE SUPERFÍCIE COM EMULSÃO ASFÁLTICA, 2 DEMÃOS. AF_09/2023</v>
      </c>
      <c r="S61" s="121" t="str" cm="1">
        <f t="array" aca="1" ref="S61" ca="1">REFERENCIA.Unidade</f>
        <v>M2</v>
      </c>
      <c r="T61" s="122">
        <f ca="1">OFFSET(CÁLCULO!H$15,ROW($T61)-ROW(T$15),0)</f>
        <v>43.05</v>
      </c>
      <c r="U61" s="123">
        <f t="shared" ca="1" si="25"/>
        <v>49.37</v>
      </c>
      <c r="V61" s="124" t="s">
        <v>663</v>
      </c>
      <c r="W61" s="122" cm="1">
        <f t="array" aca="1" ref="W61" ca="1">IF($C61="S",ROUND(IF(TIPOORCAMENTO="Proposto",ORÇAMENTO.CustoUnitario*(1+$AH61),ORÇAMENTO.PrecoUnitarioLicitado),15-13*$AF$10),0)</f>
        <v>60.46</v>
      </c>
      <c r="X61" s="125" cm="1">
        <f t="array" aca="1" ref="X61" ca="1">IF($C61="S",IF(OR(Import.TipoArredondamento&lt;&gt;"TransfereGOV",ACOMPANHAMENTO="BM"),VTOTAL1,SUM(OFFSET(CÁLCULO!$AA$15,ROW($X61)-ROW($X$15),1):OFFSET(CÁLCULO!$AL$15,ROW($X61)-ROW($X$15),-1))),IF($C61=0,0,ROUND(SomaAgrup,15-13*$AF$11)))</f>
        <v>2602.8000000000002</v>
      </c>
      <c r="Y61" s="126" t="s">
        <v>751</v>
      </c>
      <c r="Z61" t="str">
        <f t="shared" ca="1" si="13"/>
        <v>RA</v>
      </c>
      <c r="AA61" s="127" cm="1">
        <f t="array" aca="1" ref="AA61" ca="1">IF($C61="S",IF($Z61="CP",$X61,IF($Z61="RA",(($X61)*QCI!$AA$3),0)),SomaAgrup)</f>
        <v>1216.6209853494395</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98557</v>
      </c>
      <c r="AF61" s="12"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10489</v>
      </c>
      <c r="AG61" s="428" cm="1">
        <f t="array" aca="1" ref="AG61" ca="1">ROUND(IF(DESONERACAO="sim",REFERENCIA.Desonerado,REFERENCIA.NaoDesonerado),2)</f>
        <v>49.37</v>
      </c>
      <c r="AH61" s="429">
        <f t="shared" ca="1" si="14"/>
        <v>0.22470000000000001</v>
      </c>
      <c r="AJ61" s="431">
        <v>43.05</v>
      </c>
      <c r="AL61" s="439"/>
      <c r="AM61" s="336">
        <f t="shared" ca="1" si="23"/>
        <v>2602.8000000000002</v>
      </c>
      <c r="AN61" s="470" cm="1">
        <f t="array" aca="1" ref="AN61" ca="1">ROUND(ORÇAMENTO.CustoUnitario*(1+$AH61),2)</f>
        <v>60.46</v>
      </c>
    </row>
    <row r="62" spans="1:40" x14ac:dyDescent="0.2">
      <c r="A62">
        <f t="shared" si="1"/>
        <v>3</v>
      </c>
      <c r="B62">
        <f t="shared" ca="1" si="2"/>
        <v>3</v>
      </c>
      <c r="C62">
        <f t="shared" ca="1" si="3"/>
        <v>3</v>
      </c>
      <c r="D62">
        <f t="shared" ca="1" si="4"/>
        <v>9</v>
      </c>
      <c r="E62">
        <f ca="1">IF($C62=1,OFFSET(E62,-1,0)+MAX(1,COUNTIF(QCI!$A$13:$A$24,OFFSET(ORÇAMENTO!E62,-1,0))),OFFSET(E62,-1,0))</f>
        <v>1</v>
      </c>
      <c r="F62">
        <f t="shared" ca="1" si="5"/>
        <v>4</v>
      </c>
      <c r="G62">
        <f t="shared" ca="1" si="6"/>
        <v>7</v>
      </c>
      <c r="H62">
        <f t="shared" ca="1" si="7"/>
        <v>0</v>
      </c>
      <c r="I62">
        <f t="shared" ca="1" si="8"/>
        <v>0</v>
      </c>
      <c r="J62">
        <f t="shared" ca="1" si="24"/>
        <v>41</v>
      </c>
      <c r="K62">
        <f ca="1">IF(OR($C62="S",$C62=0),0,MATCH(OFFSET($D62,0,$C62)+IF($C62&lt;&gt;1,1,COUNTIF(QCI!$A$13:$A$24,ORÇAMENTO!E62)),OFFSET($D62,1,$C62,ROW($C$240)-ROW($C62)),0))</f>
        <v>9</v>
      </c>
      <c r="L62" s="114" t="str">
        <f t="shared" ca="1" si="10"/>
        <v>F</v>
      </c>
      <c r="M62" s="115" t="s">
        <v>703</v>
      </c>
      <c r="N62" s="116" t="str">
        <f t="shared" ca="1" si="11"/>
        <v>Nível 3</v>
      </c>
      <c r="O62" s="117" t="str">
        <f t="shared" ca="1" si="12"/>
        <v>1.4.7.</v>
      </c>
      <c r="P62" s="118" t="s">
        <v>750</v>
      </c>
      <c r="Q62" s="119"/>
      <c r="R62" s="120" t="s">
        <v>1033</v>
      </c>
      <c r="S62" s="121" t="str" cm="1">
        <f t="array" aca="1" ref="S62" ca="1">REFERENCIA.Unidade</f>
        <v>-</v>
      </c>
      <c r="T62" s="122">
        <f ca="1">OFFSET(CÁLCULO!H$15,ROW($T62)-ROW(T$15),0)</f>
        <v>0</v>
      </c>
      <c r="U62" s="123"/>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72296.429999999993</v>
      </c>
      <c r="Y62" s="126" t="s">
        <v>751</v>
      </c>
      <c r="Z62" t="str">
        <f t="shared" ca="1" si="13"/>
        <v/>
      </c>
      <c r="AA62" s="127" cm="1">
        <f t="array" aca="1" ref="AA62" ca="1">IF($C62="S",IF($Z62="CP",$X62,IF($Z62="RA",(($X62)*QCI!$AA$3),0)),SomaAgrup)</f>
        <v>33793.358653698626</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b" cm="1">
        <f t="array" aca="1" ref="AE62" ca="1">IF(AND($C62="S",ORÇAMENTO.CodBarra&lt;&gt;""),IF(ORÇAMENTO.Fonte="",ORÇAMENTO.CodBarra,CONCATENATE(ORÇAMENTO.Fonte," ",ORÇAMENTO.CodBarra)))</f>
        <v>0</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t="shared" ca="1" si="14"/>
        <v>0.22470000000000001</v>
      </c>
      <c r="AJ62" s="431"/>
      <c r="AL62" s="439"/>
      <c r="AM62" s="336">
        <f t="shared" ca="1" si="23"/>
        <v>72296.429999999993</v>
      </c>
      <c r="AN62" s="470" cm="1">
        <f t="array" aca="1" ref="AN62" ca="1">ROUND(ORÇAMENTO.CustoUnitario*(1+$AH62),2)</f>
        <v>0</v>
      </c>
    </row>
    <row r="63" spans="1:40" ht="38.25" x14ac:dyDescent="0.2">
      <c r="A63" t="str">
        <f t="shared" si="1"/>
        <v>S</v>
      </c>
      <c r="B63">
        <f t="shared" ca="1" si="2"/>
        <v>3</v>
      </c>
      <c r="C63" t="str">
        <f t="shared" ca="1" si="3"/>
        <v>S</v>
      </c>
      <c r="D63">
        <f t="shared" ca="1" si="4"/>
        <v>0</v>
      </c>
      <c r="E63">
        <f ca="1">IF($C63=1,OFFSET(E63,-1,0)+MAX(1,COUNTIF(QCI!$A$13:$A$24,OFFSET(ORÇAMENTO!E63,-1,0))),OFFSET(E63,-1,0))</f>
        <v>1</v>
      </c>
      <c r="F63">
        <f t="shared" ca="1" si="5"/>
        <v>4</v>
      </c>
      <c r="G63">
        <f t="shared" ca="1" si="6"/>
        <v>7</v>
      </c>
      <c r="H63">
        <f t="shared" ca="1" si="7"/>
        <v>0</v>
      </c>
      <c r="I63">
        <f t="shared" ca="1" si="8"/>
        <v>1</v>
      </c>
      <c r="J63">
        <f t="shared" ca="1" si="24"/>
        <v>0</v>
      </c>
      <c r="K63">
        <f ca="1">IF(OR($C63="S",$C63=0),0,MATCH(OFFSET($D63,0,$C63)+IF($C63&lt;&gt;1,1,COUNTIF(QCI!$A$13:$A$24,ORÇAMENTO!E63)),OFFSET($D63,1,$C63,ROW($C$240)-ROW($C63)),0))</f>
        <v>0</v>
      </c>
      <c r="L63" s="114" t="str">
        <f t="shared" ca="1" si="10"/>
        <v>F</v>
      </c>
      <c r="M63" s="115" t="s">
        <v>705</v>
      </c>
      <c r="N63" s="116" t="str">
        <f t="shared" ca="1" si="11"/>
        <v>Serviço</v>
      </c>
      <c r="O63" s="117" t="str">
        <f t="shared" ca="1" si="12"/>
        <v>1.4.7.0.1.</v>
      </c>
      <c r="P63" s="118" t="s">
        <v>750</v>
      </c>
      <c r="Q63" s="119" t="s">
        <v>1180</v>
      </c>
      <c r="R63" s="120" t="str" cm="1">
        <f t="array" aca="1" ref="R63" ca="1">IF($C63="S",REFERENCIA.Descricao,"(digite a descrição aqui)")</f>
        <v>MONTAGEM E DESMONTAGEM DE FÔRMA DE VIGA, ESCORAMENTO COM GARFO DE MADEIRA, PÉ-DIREITO SIMPLES, EM CHAPA DE MADEIRA PLASTIFICADA, 18 UTILIZAÇÕES. AF_09/2020</v>
      </c>
      <c r="S63" s="121" t="str" cm="1">
        <f t="array" aca="1" ref="S63" ca="1">REFERENCIA.Unidade</f>
        <v>M2</v>
      </c>
      <c r="T63" s="122">
        <f ca="1">OFFSET(CÁLCULO!H$15,ROW($T63)-ROW(T$15),0)</f>
        <v>28.67</v>
      </c>
      <c r="U63" s="123">
        <f t="shared" ref="U63:U70" ca="1" si="26">AG63</f>
        <v>72.22</v>
      </c>
      <c r="V63" s="124" t="s">
        <v>663</v>
      </c>
      <c r="W63" s="122" cm="1">
        <f t="array" aca="1" ref="W63" ca="1">IF($C63="S",ROUND(IF(TIPOORCAMENTO="Proposto",ORÇAMENTO.CustoUnitario*(1+$AH63),ORÇAMENTO.PrecoUnitarioLicitado),15-13*$AF$10),0)</f>
        <v>88.45</v>
      </c>
      <c r="X63" s="125" cm="1">
        <f t="array" aca="1" ref="X63" ca="1">IF($C63="S",IF(OR(Import.TipoArredondamento&lt;&gt;"TransfereGOV",ACOMPANHAMENTO="BM"),VTOTAL1,SUM(OFFSET(CÁLCULO!$AA$15,ROW($X63)-ROW($X$15),1):OFFSET(CÁLCULO!$AL$15,ROW($X63)-ROW($X$15),-1))),IF($C63=0,0,ROUND(SomaAgrup,15-13*$AF$11)))</f>
        <v>2535.86</v>
      </c>
      <c r="Y63" s="126" t="s">
        <v>751</v>
      </c>
      <c r="Z63" t="str">
        <f t="shared" ca="1" si="13"/>
        <v>RA</v>
      </c>
      <c r="AA63" s="127" cm="1">
        <f t="array" aca="1" ref="AA63" ca="1">IF($C63="S",IF($Z63="CP",$X63,IF($Z63="RA",(($X63)*QCI!$AA$3),0)),SomaAgrup)</f>
        <v>1185.331370796154</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92479</v>
      </c>
      <c r="AF63" s="12"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10253</v>
      </c>
      <c r="AG63" s="428" cm="1">
        <f t="array" aca="1" ref="AG63" ca="1">ROUND(IF(DESONERACAO="sim",REFERENCIA.Desonerado,REFERENCIA.NaoDesonerado),2)</f>
        <v>72.22</v>
      </c>
      <c r="AH63" s="429">
        <f t="shared" ca="1" si="14"/>
        <v>0.22470000000000001</v>
      </c>
      <c r="AJ63" s="431">
        <v>28.67</v>
      </c>
      <c r="AL63" s="439"/>
      <c r="AM63" s="336">
        <f t="shared" ca="1" si="23"/>
        <v>2535.86</v>
      </c>
      <c r="AN63" s="470" cm="1">
        <f t="array" aca="1" ref="AN63" ca="1">ROUND(ORÇAMENTO.CustoUnitario*(1+$AH63),2)</f>
        <v>88.45</v>
      </c>
    </row>
    <row r="64" spans="1:40" ht="38.25" x14ac:dyDescent="0.2">
      <c r="A64" t="str">
        <f t="shared" si="1"/>
        <v>S</v>
      </c>
      <c r="B64">
        <f t="shared" ca="1" si="2"/>
        <v>3</v>
      </c>
      <c r="C64" t="str">
        <f t="shared" ca="1" si="3"/>
        <v>S</v>
      </c>
      <c r="D64">
        <f t="shared" ca="1" si="4"/>
        <v>0</v>
      </c>
      <c r="E64">
        <f ca="1">IF($C64=1,OFFSET(E64,-1,0)+MAX(1,COUNTIF(QCI!$A$13:$A$24,OFFSET(ORÇAMENTO!E64,-1,0))),OFFSET(E64,-1,0))</f>
        <v>1</v>
      </c>
      <c r="F64">
        <f t="shared" ca="1" si="5"/>
        <v>4</v>
      </c>
      <c r="G64">
        <f t="shared" ca="1" si="6"/>
        <v>7</v>
      </c>
      <c r="H64">
        <f t="shared" ca="1" si="7"/>
        <v>0</v>
      </c>
      <c r="I64">
        <f t="shared" ca="1" si="8"/>
        <v>2</v>
      </c>
      <c r="J64">
        <f t="shared" ca="1" si="24"/>
        <v>0</v>
      </c>
      <c r="K64">
        <f ca="1">IF(OR($C64="S",$C64=0),0,MATCH(OFFSET($D64,0,$C64)+IF($C64&lt;&gt;1,1,COUNTIF(QCI!$A$13:$A$24,ORÇAMENTO!E64)),OFFSET($D64,1,$C64,ROW($C$240)-ROW($C64)),0))</f>
        <v>0</v>
      </c>
      <c r="L64" s="114" t="str">
        <f t="shared" ca="1" si="10"/>
        <v>F</v>
      </c>
      <c r="M64" s="115" t="s">
        <v>705</v>
      </c>
      <c r="N64" s="116" t="str">
        <f t="shared" ca="1" si="11"/>
        <v>Serviço</v>
      </c>
      <c r="O64" s="117" t="str">
        <f t="shared" ca="1" si="12"/>
        <v>1.4.7.0.2.</v>
      </c>
      <c r="P64" s="118" t="s">
        <v>750</v>
      </c>
      <c r="Q64" s="119" t="s">
        <v>1182</v>
      </c>
      <c r="R64" s="120" t="str" cm="1">
        <f t="array" aca="1" ref="R64" ca="1">IF($C64="S",REFERENCIA.Descricao,"(digite a descrição aqui)")</f>
        <v>ARMAÇÃO DE PILAR OU VIGA DE ESTRUTURA CONVENCIONAL DE CONCRETO ARMADO UTILIZANDO AÇO CA-60 DE 5,0 MM - MONTAGEM. AF_06/2022</v>
      </c>
      <c r="S64" s="121" t="str" cm="1">
        <f t="array" aca="1" ref="S64" ca="1">REFERENCIA.Unidade</f>
        <v>KG</v>
      </c>
      <c r="T64" s="122">
        <f ca="1">OFFSET(CÁLCULO!H$15,ROW($T64)-ROW(T$15),0)</f>
        <v>643.55999999999995</v>
      </c>
      <c r="U64" s="123">
        <f t="shared" ca="1" si="26"/>
        <v>14.54</v>
      </c>
      <c r="V64" s="124" t="s">
        <v>663</v>
      </c>
      <c r="W64" s="122" cm="1">
        <f t="array" aca="1" ref="W64" ca="1">IF($C64="S",ROUND(IF(TIPOORCAMENTO="Proposto",ORÇAMENTO.CustoUnitario*(1+$AH64),ORÇAMENTO.PrecoUnitarioLicitado),15-13*$AF$10),0)</f>
        <v>17.809999999999999</v>
      </c>
      <c r="X64" s="125" cm="1">
        <f t="array" aca="1" ref="X64" ca="1">IF($C64="S",IF(OR(Import.TipoArredondamento&lt;&gt;"TransfereGOV",ACOMPANHAMENTO="BM"),VTOTAL1,SUM(OFFSET(CÁLCULO!$AA$15,ROW($X64)-ROW($X$15),1):OFFSET(CÁLCULO!$AL$15,ROW($X64)-ROW($X$15),-1))),IF($C64=0,0,ROUND(SomaAgrup,15-13*$AF$11)))</f>
        <v>11461.8</v>
      </c>
      <c r="Y64" s="126" t="s">
        <v>751</v>
      </c>
      <c r="Z64" t="str">
        <f t="shared" ca="1" si="13"/>
        <v>RA</v>
      </c>
      <c r="AA64" s="127" cm="1">
        <f t="array" aca="1" ref="AA64" ca="1">IF($C64="S",IF($Z64="CP",$X64,IF($Z64="RA",(($X64)*QCI!$AA$3),0)),SomaAgrup)</f>
        <v>5357.5635507446614</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92759</v>
      </c>
      <c r="AF64" s="12"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6329</v>
      </c>
      <c r="AG64" s="428" cm="1">
        <f t="array" aca="1" ref="AG64" ca="1">ROUND(IF(DESONERACAO="sim",REFERENCIA.Desonerado,REFERENCIA.NaoDesonerado),2)</f>
        <v>14.54</v>
      </c>
      <c r="AH64" s="429">
        <f t="shared" ca="1" si="14"/>
        <v>0.22470000000000001</v>
      </c>
      <c r="AJ64" s="431">
        <v>643.55999999999995</v>
      </c>
      <c r="AL64" s="439"/>
      <c r="AM64" s="336">
        <f t="shared" ca="1" si="23"/>
        <v>11461.8</v>
      </c>
      <c r="AN64" s="470" cm="1">
        <f t="array" aca="1" ref="AN64" ca="1">ROUND(ORÇAMENTO.CustoUnitario*(1+$AH64),2)</f>
        <v>17.809999999999999</v>
      </c>
    </row>
    <row r="65" spans="1:40" ht="38.25" x14ac:dyDescent="0.2">
      <c r="A65" t="str">
        <f t="shared" si="1"/>
        <v>S</v>
      </c>
      <c r="B65">
        <f t="shared" ca="1" si="2"/>
        <v>3</v>
      </c>
      <c r="C65" t="str">
        <f t="shared" ca="1" si="3"/>
        <v>S</v>
      </c>
      <c r="D65">
        <f t="shared" ca="1" si="4"/>
        <v>0</v>
      </c>
      <c r="E65">
        <f ca="1">IF($C65=1,OFFSET(E65,-1,0)+MAX(1,COUNTIF(QCI!$A$13:$A$24,OFFSET(ORÇAMENTO!E65,-1,0))),OFFSET(E65,-1,0))</f>
        <v>1</v>
      </c>
      <c r="F65">
        <f t="shared" ca="1" si="5"/>
        <v>4</v>
      </c>
      <c r="G65">
        <f t="shared" ca="1" si="6"/>
        <v>7</v>
      </c>
      <c r="H65">
        <f t="shared" ca="1" si="7"/>
        <v>0</v>
      </c>
      <c r="I65">
        <f t="shared" ca="1" si="8"/>
        <v>3</v>
      </c>
      <c r="J65">
        <f t="shared" ca="1" si="24"/>
        <v>0</v>
      </c>
      <c r="K65">
        <f ca="1">IF(OR($C65="S",$C65=0),0,MATCH(OFFSET($D65,0,$C65)+IF($C65&lt;&gt;1,1,COUNTIF(QCI!$A$13:$A$24,ORÇAMENTO!E65)),OFFSET($D65,1,$C65,ROW($C$240)-ROW($C65)),0))</f>
        <v>0</v>
      </c>
      <c r="L65" s="114" t="str">
        <f t="shared" ca="1" si="10"/>
        <v>F</v>
      </c>
      <c r="M65" s="115" t="s">
        <v>705</v>
      </c>
      <c r="N65" s="116" t="str">
        <f t="shared" ca="1" si="11"/>
        <v>Serviço</v>
      </c>
      <c r="O65" s="117" t="str">
        <f t="shared" ca="1" si="12"/>
        <v>1.4.7.0.3.</v>
      </c>
      <c r="P65" s="118" t="s">
        <v>750</v>
      </c>
      <c r="Q65" s="119" t="s">
        <v>1181</v>
      </c>
      <c r="R65" s="120" t="str" cm="1">
        <f t="array" aca="1" ref="R65" ca="1">IF($C65="S",REFERENCIA.Descricao,"(digite a descrição aqui)")</f>
        <v>ARMAÇÃO DE PILAR OU VIGA DE ESTRUTURA CONVENCIONAL DE CONCRETO ARMADO UTILIZANDO AÇO CA-50 DE 8,0 MM - MONTAGEM. AF_06/2022</v>
      </c>
      <c r="S65" s="121" t="str" cm="1">
        <f t="array" aca="1" ref="S65" ca="1">REFERENCIA.Unidade</f>
        <v>KG</v>
      </c>
      <c r="T65" s="122">
        <f ca="1">OFFSET(CÁLCULO!H$15,ROW($T65)-ROW(T$15),0)</f>
        <v>522.72</v>
      </c>
      <c r="U65" s="123">
        <f t="shared" ca="1" si="26"/>
        <v>12.69</v>
      </c>
      <c r="V65" s="124" t="s">
        <v>663</v>
      </c>
      <c r="W65" s="122" cm="1">
        <f t="array" aca="1" ref="W65" ca="1">IF($C65="S",ROUND(IF(TIPOORCAMENTO="Proposto",ORÇAMENTO.CustoUnitario*(1+$AH65),ORÇAMENTO.PrecoUnitarioLicitado),15-13*$AF$10),0)</f>
        <v>15.54</v>
      </c>
      <c r="X65" s="125" cm="1">
        <f t="array" aca="1" ref="X65" ca="1">IF($C65="S",IF(OR(Import.TipoArredondamento&lt;&gt;"TransfereGOV",ACOMPANHAMENTO="BM"),VTOTAL1,SUM(OFFSET(CÁLCULO!$AA$15,ROW($X65)-ROW($X$15),1):OFFSET(CÁLCULO!$AL$15,ROW($X65)-ROW($X$15),-1))),IF($C65=0,0,ROUND(SomaAgrup,15-13*$AF$11)))</f>
        <v>8123.07</v>
      </c>
      <c r="Y65" s="126" t="s">
        <v>751</v>
      </c>
      <c r="Z65" t="str">
        <f t="shared" ca="1" si="13"/>
        <v>RA</v>
      </c>
      <c r="AA65" s="127" cm="1">
        <f t="array" aca="1" ref="AA65" ca="1">IF($C65="S",IF($Z65="CP",$X65,IF($Z65="RA",(($X65)*QCI!$AA$3),0)),SomaAgrup)</f>
        <v>3796.9484506925123</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92761</v>
      </c>
      <c r="AF65" s="12"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6328</v>
      </c>
      <c r="AG65" s="428" cm="1">
        <f t="array" aca="1" ref="AG65" ca="1">ROUND(IF(DESONERACAO="sim",REFERENCIA.Desonerado,REFERENCIA.NaoDesonerado),2)</f>
        <v>12.69</v>
      </c>
      <c r="AH65" s="429">
        <f t="shared" ca="1" si="14"/>
        <v>0.22470000000000001</v>
      </c>
      <c r="AJ65" s="431">
        <v>522.72</v>
      </c>
      <c r="AL65" s="439"/>
      <c r="AM65" s="336">
        <f t="shared" ca="1" si="23"/>
        <v>8123.07</v>
      </c>
      <c r="AN65" s="470" cm="1">
        <f t="array" aca="1" ref="AN65" ca="1">ROUND(ORÇAMENTO.CustoUnitario*(1+$AH65),2)</f>
        <v>15.54</v>
      </c>
    </row>
    <row r="66" spans="1:40" ht="38.25" x14ac:dyDescent="0.2">
      <c r="A66" t="str">
        <f t="shared" si="1"/>
        <v>S</v>
      </c>
      <c r="B66">
        <f t="shared" ca="1" si="2"/>
        <v>3</v>
      </c>
      <c r="C66" t="str">
        <f t="shared" ca="1" si="3"/>
        <v>S</v>
      </c>
      <c r="D66">
        <f t="shared" ca="1" si="4"/>
        <v>0</v>
      </c>
      <c r="E66">
        <f ca="1">IF($C66=1,OFFSET(E66,-1,0)+MAX(1,COUNTIF(QCI!$A$13:$A$24,OFFSET(ORÇAMENTO!E66,-1,0))),OFFSET(E66,-1,0))</f>
        <v>1</v>
      </c>
      <c r="F66">
        <f t="shared" ca="1" si="5"/>
        <v>4</v>
      </c>
      <c r="G66">
        <f t="shared" ca="1" si="6"/>
        <v>7</v>
      </c>
      <c r="H66">
        <f t="shared" ca="1" si="7"/>
        <v>0</v>
      </c>
      <c r="I66">
        <f t="shared" ca="1" si="8"/>
        <v>4</v>
      </c>
      <c r="J66">
        <f t="shared" ca="1" si="24"/>
        <v>0</v>
      </c>
      <c r="K66">
        <f ca="1">IF(OR($C66="S",$C66=0),0,MATCH(OFFSET($D66,0,$C66)+IF($C66&lt;&gt;1,1,COUNTIF(QCI!$A$13:$A$24,ORÇAMENTO!E66)),OFFSET($D66,1,$C66,ROW($C$240)-ROW($C66)),0))</f>
        <v>0</v>
      </c>
      <c r="L66" s="114" t="str">
        <f t="shared" ca="1" si="10"/>
        <v>F</v>
      </c>
      <c r="M66" s="115" t="s">
        <v>705</v>
      </c>
      <c r="N66" s="116" t="str">
        <f t="shared" ca="1" si="11"/>
        <v>Serviço</v>
      </c>
      <c r="O66" s="117" t="str">
        <f t="shared" ca="1" si="12"/>
        <v>1.4.7.0.4.</v>
      </c>
      <c r="P66" s="118" t="s">
        <v>750</v>
      </c>
      <c r="Q66" s="119" t="s">
        <v>1183</v>
      </c>
      <c r="R66" s="120" t="str" cm="1">
        <f t="array" aca="1" ref="R66" ca="1">IF($C66="S",REFERENCIA.Descricao,"(digite a descrição aqui)")</f>
        <v>ARMAÇÃO DE PILAR OU VIGA DE ESTRUTURA CONVENCIONAL DE CONCRETO ARMADO UTILIZANDO AÇO CA-50 DE 10,0 MM - MONTAGEM. AF_06/2022</v>
      </c>
      <c r="S66" s="121" t="str" cm="1">
        <f t="array" aca="1" ref="S66" ca="1">REFERENCIA.Unidade</f>
        <v>KG</v>
      </c>
      <c r="T66" s="122">
        <f ca="1">OFFSET(CÁLCULO!H$15,ROW($T66)-ROW(T$15),0)</f>
        <v>519.24</v>
      </c>
      <c r="U66" s="123">
        <f t="shared" ca="1" si="26"/>
        <v>11.27</v>
      </c>
      <c r="V66" s="124" t="s">
        <v>663</v>
      </c>
      <c r="W66" s="122" cm="1">
        <f t="array" aca="1" ref="W66" ca="1">IF($C66="S",ROUND(IF(TIPOORCAMENTO="Proposto",ORÇAMENTO.CustoUnitario*(1+$AH66),ORÇAMENTO.PrecoUnitarioLicitado),15-13*$AF$10),0)</f>
        <v>13.8</v>
      </c>
      <c r="X66" s="125" cm="1">
        <f t="array" aca="1" ref="X66" ca="1">IF($C66="S",IF(OR(Import.TipoArredondamento&lt;&gt;"TransfereGOV",ACOMPANHAMENTO="BM"),VTOTAL1,SUM(OFFSET(CÁLCULO!$AA$15,ROW($X66)-ROW($X$15),1):OFFSET(CÁLCULO!$AL$15,ROW($X66)-ROW($X$15),-1))),IF($C66=0,0,ROUND(SomaAgrup,15-13*$AF$11)))</f>
        <v>7165.51</v>
      </c>
      <c r="Y66" s="126" t="s">
        <v>751</v>
      </c>
      <c r="Z66" t="str">
        <f t="shared" ca="1" si="13"/>
        <v>RA</v>
      </c>
      <c r="AA66" s="127" cm="1">
        <f t="array" aca="1" ref="AA66" ca="1">IF($C66="S",IF($Z66="CP",$X66,IF($Z66="RA",(($X66)*QCI!$AA$3),0)),SomaAgrup)</f>
        <v>3349.3583205514301</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cm="1">
        <f t="array" aca="1" ref="AE66" ca="1">IF(AND($C66="S",ORÇAMENTO.CodBarra&lt;&gt;""),IF(ORÇAMENTO.Fonte="",ORÇAMENTO.CodBarra,CONCATENATE(ORÇAMENTO.Fonte," ",ORÇAMENTO.CodBarra)))</f>
        <v>SINAPI 92762</v>
      </c>
      <c r="AF66" s="12"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6321</v>
      </c>
      <c r="AG66" s="428" cm="1">
        <f t="array" aca="1" ref="AG66" ca="1">ROUND(IF(DESONERACAO="sim",REFERENCIA.Desonerado,REFERENCIA.NaoDesonerado),2)</f>
        <v>11.27</v>
      </c>
      <c r="AH66" s="429">
        <f t="shared" ca="1" si="14"/>
        <v>0.22470000000000001</v>
      </c>
      <c r="AJ66" s="431">
        <v>519.24</v>
      </c>
      <c r="AL66" s="439"/>
      <c r="AM66" s="336">
        <f t="shared" ca="1" si="23"/>
        <v>7165.51</v>
      </c>
      <c r="AN66" s="470" cm="1">
        <f t="array" aca="1" ref="AN66" ca="1">ROUND(ORÇAMENTO.CustoUnitario*(1+$AH66),2)</f>
        <v>13.8</v>
      </c>
    </row>
    <row r="67" spans="1:40" ht="38.25" x14ac:dyDescent="0.2">
      <c r="A67" t="str">
        <f t="shared" si="1"/>
        <v>S</v>
      </c>
      <c r="B67">
        <f t="shared" ca="1" si="2"/>
        <v>3</v>
      </c>
      <c r="C67" t="str">
        <f t="shared" ca="1" si="3"/>
        <v>S</v>
      </c>
      <c r="D67">
        <f t="shared" ca="1" si="4"/>
        <v>0</v>
      </c>
      <c r="E67">
        <f ca="1">IF($C67=1,OFFSET(E67,-1,0)+MAX(1,COUNTIF(QCI!$A$13:$A$24,OFFSET(ORÇAMENTO!E67,-1,0))),OFFSET(E67,-1,0))</f>
        <v>1</v>
      </c>
      <c r="F67">
        <f t="shared" ca="1" si="5"/>
        <v>4</v>
      </c>
      <c r="G67">
        <f t="shared" ca="1" si="6"/>
        <v>7</v>
      </c>
      <c r="H67">
        <f t="shared" ca="1" si="7"/>
        <v>0</v>
      </c>
      <c r="I67">
        <f t="shared" ca="1" si="8"/>
        <v>5</v>
      </c>
      <c r="J67">
        <f t="shared" ca="1" si="24"/>
        <v>0</v>
      </c>
      <c r="K67">
        <f ca="1">IF(OR($C67="S",$C67=0),0,MATCH(OFFSET($D67,0,$C67)+IF($C67&lt;&gt;1,1,COUNTIF(QCI!$A$13:$A$24,ORÇAMENTO!E67)),OFFSET($D67,1,$C67,ROW($C$240)-ROW($C67)),0))</f>
        <v>0</v>
      </c>
      <c r="L67" s="114" t="str">
        <f t="shared" ca="1" si="10"/>
        <v>F</v>
      </c>
      <c r="M67" s="115" t="s">
        <v>705</v>
      </c>
      <c r="N67" s="116" t="str">
        <f t="shared" ca="1" si="11"/>
        <v>Serviço</v>
      </c>
      <c r="O67" s="117" t="str">
        <f t="shared" ca="1" si="12"/>
        <v>1.4.7.0.5.</v>
      </c>
      <c r="P67" s="118" t="s">
        <v>750</v>
      </c>
      <c r="Q67" s="119" t="s">
        <v>1184</v>
      </c>
      <c r="R67" s="120" t="str" cm="1">
        <f t="array" aca="1" ref="R67" ca="1">IF($C67="S",REFERENCIA.Descricao,"(digite a descrição aqui)")</f>
        <v>ARMAÇÃO DE PILAR OU VIGA DE ESTRUTURA CONVENCIONAL DE CONCRETO ARMADO UTILIZANDO AÇO CA-50 DE 12,5 MM - MONTAGEM. AF_06/2022</v>
      </c>
      <c r="S67" s="121" t="str" cm="1">
        <f t="array" aca="1" ref="S67" ca="1">REFERENCIA.Unidade</f>
        <v>KG</v>
      </c>
      <c r="T67" s="122">
        <f ca="1">OFFSET(CÁLCULO!H$15,ROW($T67)-ROW(T$15),0)</f>
        <v>908.04</v>
      </c>
      <c r="U67" s="123">
        <f t="shared" ca="1" si="26"/>
        <v>9.4499999999999993</v>
      </c>
      <c r="V67" s="124" t="s">
        <v>663</v>
      </c>
      <c r="W67" s="122" cm="1">
        <f t="array" aca="1" ref="W67" ca="1">IF($C67="S",ROUND(IF(TIPOORCAMENTO="Proposto",ORÇAMENTO.CustoUnitario*(1+$AH67),ORÇAMENTO.PrecoUnitarioLicitado),15-13*$AF$10),0)</f>
        <v>11.57</v>
      </c>
      <c r="X67" s="125" cm="1">
        <f t="array" aca="1" ref="X67" ca="1">IF($C67="S",IF(OR(Import.TipoArredondamento&lt;&gt;"TransfereGOV",ACOMPANHAMENTO="BM"),VTOTAL1,SUM(OFFSET(CÁLCULO!$AA$15,ROW($X67)-ROW($X$15),1):OFFSET(CÁLCULO!$AL$15,ROW($X67)-ROW($X$15),-1))),IF($C67=0,0,ROUND(SomaAgrup,15-13*$AF$11)))</f>
        <v>10506.02</v>
      </c>
      <c r="Y67" s="126" t="s">
        <v>751</v>
      </c>
      <c r="Z67" t="str">
        <f t="shared" ca="1" si="13"/>
        <v>RA</v>
      </c>
      <c r="AA67" s="127" cm="1">
        <f t="array" aca="1" ref="AA67" ca="1">IF($C67="S",IF($Z67="CP",$X67,IF($Z67="RA",(($X67)*QCI!$AA$3),0)),SomaAgrup)</f>
        <v>4910.805442024327</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92763</v>
      </c>
      <c r="AF67" s="12"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6322</v>
      </c>
      <c r="AG67" s="428" cm="1">
        <f t="array" aca="1" ref="AG67" ca="1">ROUND(IF(DESONERACAO="sim",REFERENCIA.Desonerado,REFERENCIA.NaoDesonerado),2)</f>
        <v>9.4499999999999993</v>
      </c>
      <c r="AH67" s="429">
        <f t="shared" ca="1" si="14"/>
        <v>0.22470000000000001</v>
      </c>
      <c r="AJ67" s="431">
        <v>908.04</v>
      </c>
      <c r="AL67" s="439"/>
      <c r="AM67" s="336">
        <f t="shared" ca="1" si="23"/>
        <v>10506.02</v>
      </c>
      <c r="AN67" s="470" cm="1">
        <f t="array" aca="1" ref="AN67" ca="1">ROUND(ORÇAMENTO.CustoUnitario*(1+$AH67),2)</f>
        <v>11.57</v>
      </c>
    </row>
    <row r="68" spans="1:40" ht="38.25" x14ac:dyDescent="0.2">
      <c r="A68" t="str">
        <f>CHOOSE(1+LOG(1+2*(ORÇAMENTO.Nivel="Meta")+4*(ORÇAMENTO.Nivel="Nível 2")+8*(ORÇAMENTO.Nivel="Nível 3")+16*(ORÇAMENTO.Nivel="Nível 4")+32*(ORÇAMENTO.Nivel="Serviço"),2),0,1,2,3,4,"S")</f>
        <v>S</v>
      </c>
      <c r="B68">
        <f ca="1">IF(OR(C68="s",C68=0),OFFSET(B68,-1,0),C68)</f>
        <v>3</v>
      </c>
      <c r="C68" t="str">
        <f ca="1">IF(OFFSET(C68,-1,0)="L",1,IF(OFFSET(C68,-1,0)=1,2,IF(OR(A68="s",A68=0),"S",IF(AND(OFFSET(C68,-1,0)=2,A68=4),3,IF(AND(OR(OFFSET(C68,-1,0)="s",OFFSET(C68,-1,0)=0),A68&lt;&gt;"s",A68&gt;OFFSET(B68,-1,0)),OFFSET(B68,-1,0),A68)))))</f>
        <v>S</v>
      </c>
      <c r="D68">
        <f ca="1">IF(OR(C68="S",C68=0),0,IF(ISERROR(K68),J68,SMALL(J68:K68,1)))</f>
        <v>0</v>
      </c>
      <c r="E68">
        <f ca="1">IF($C68=1,OFFSET(E68,-1,0)+MAX(1,COUNTIF(QCI!$A$13:$A$24,OFFSET(ORÇAMENTO!E68,-1,0))),OFFSET(E68,-1,0))</f>
        <v>1</v>
      </c>
      <c r="F68">
        <f ca="1">IF($C68=1,0,IF($C68=2,OFFSET(F68,-1,0)+1,OFFSET(F68,-1,0)))</f>
        <v>4</v>
      </c>
      <c r="G68">
        <f ca="1">IF(AND($C68&lt;=2,$C68&lt;&gt;0),0,IF($C68=3,OFFSET(G68,-1,0)+1,OFFSET(G68,-1,0)))</f>
        <v>7</v>
      </c>
      <c r="H68">
        <f ca="1">IF(AND($C68&lt;=3,$C68&lt;&gt;0),0,IF($C68=4,OFFSET(H68,-1,0)+1,OFFSET(H68,-1,0)))</f>
        <v>0</v>
      </c>
      <c r="I68">
        <f ca="1">IF(AND($C68&lt;=4,$C68&lt;&gt;0),0,IF(AND($C68="S",$X68&gt;0),OFFSET(I68,-1,0)+1,OFFSET(I68,-1,0)))</f>
        <v>6</v>
      </c>
      <c r="J68">
        <f t="shared" ca="1" si="24"/>
        <v>0</v>
      </c>
      <c r="K68">
        <f ca="1">IF(OR($C68="S",$C68=0),0,MATCH(OFFSET($D68,0,$C68)+IF($C68&lt;&gt;1,1,COUNTIF(QCI!$A$13:$A$24,ORÇAMENTO!E68)),OFFSET($D68,1,$C68,ROW($C$240)-ROW($C68)),0))</f>
        <v>0</v>
      </c>
      <c r="L68" s="114" t="str">
        <f ca="1">IF(OR($X68&gt;0,$C68=1,$C68=2,$C68=3,$C68=4),"F","")</f>
        <v>F</v>
      </c>
      <c r="M68" s="115" t="s">
        <v>705</v>
      </c>
      <c r="N68" s="116" t="str">
        <f ca="1">CHOOSE(1+LOG(1+2*(C68=1)+4*(C68=2)+8*(C68=3)+16*(C68=4)+32*(C68="S"),2),"","Meta","Nível 2","Nível 3","Nível 4","Serviço")</f>
        <v>Serviço</v>
      </c>
      <c r="O68" s="117" t="str">
        <f ca="1">IF(OR($C68=0,$L68=""),"-",CONCATENATE(E68&amp;".",IF(AND($A$5&gt;=2,$C68&gt;=2),F68&amp;".",""),IF(AND($A$5&gt;=3,$C68&gt;=3),G68&amp;".",""),IF(AND($A$5&gt;=4,$C68&gt;=4),H68&amp;".",""),IF($C68="S",I68&amp;".","")))</f>
        <v>1.4.7.0.6.</v>
      </c>
      <c r="P68" s="118" t="s">
        <v>750</v>
      </c>
      <c r="Q68" s="119" t="s">
        <v>1197</v>
      </c>
      <c r="R68" s="120" t="str" cm="1">
        <f t="array" aca="1" ref="R68" ca="1">IF($C68="S",REFERENCIA.Descricao,"(digite a descrição aqui)")</f>
        <v>ARMAÇÃO DE PILAR OU VIGA DE ESTRUTURA CONVENCIONAL DE CONCRETO ARMADO UTILIZANDO AÇO CA-50 DE 16,0 MM - MONTAGEM. AF_06/2022</v>
      </c>
      <c r="S68" s="121" t="str" cm="1">
        <f t="array" aca="1" ref="S68" ca="1">REFERENCIA.Unidade</f>
        <v>KG</v>
      </c>
      <c r="T68" s="122">
        <f ca="1">OFFSET(CÁLCULO!H$15,ROW($T68)-ROW(T$15),0)</f>
        <v>149.28</v>
      </c>
      <c r="U68" s="123">
        <v>9.1199999999999992</v>
      </c>
      <c r="V68" s="124" t="s">
        <v>663</v>
      </c>
      <c r="W68" s="122" cm="1">
        <f t="array" aca="1" ref="W68" ca="1">IF($C68="S",ROUND(IF(TIPOORCAMENTO="Proposto",ORÇAMENTO.CustoUnitario*(1+$AH68),ORÇAMENTO.PrecoUnitarioLicitado),15-13*$AF$10),0)</f>
        <v>11.17</v>
      </c>
      <c r="X68" s="125" cm="1">
        <f t="array" aca="1" ref="X68" ca="1">IF($C68="S",IF(OR(Import.TipoArredondamento&lt;&gt;"TransfereGOV",ACOMPANHAMENTO="BM"),VTOTAL1,SUM(OFFSET(CÁLCULO!$AA$15,ROW($X68)-ROW($X$15),1):OFFSET(CÁLCULO!$AL$15,ROW($X68)-ROW($X$15),-1))),IF($C68=0,0,ROUND(SomaAgrup,15-13*$AF$11)))</f>
        <v>1667.46</v>
      </c>
      <c r="Y68" s="126" t="s">
        <v>751</v>
      </c>
      <c r="Z68" t="str">
        <f ca="1">IF(AND($C68="S",$X68&gt;0),IF(ISBLANK($Y68),"RA",LEFT($Y68,2)),"")</f>
        <v>RA</v>
      </c>
      <c r="AA68" s="127" cm="1">
        <f t="array" aca="1" ref="AA68" ca="1">IF($C68="S",IF($Z68="CP",$X68,IF($Z68="RA",(($X68)*QCI!$AA$3),0)),SomaAgrup)</f>
        <v>779.41710013476882</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92764</v>
      </c>
      <c r="AF68" s="12"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6323</v>
      </c>
      <c r="AG68" s="428" cm="1">
        <f t="array" aca="1" ref="AG68" ca="1">ROUND(IF(DESONERACAO="sim",REFERENCIA.Desonerado,REFERENCIA.NaoDesonerado),2)</f>
        <v>9.1199999999999992</v>
      </c>
      <c r="AH68" s="429">
        <f ca="1">ROUND(IF(ISNUMBER(ORÇAMENTO.OpcaoBDI),ORÇAMENTO.OpcaoBDI,IF(LEFT(ORÇAMENTO.OpcaoBDI,3)="BDI",HLOOKUP(ORÇAMENTO.OpcaoBDI,$F$4:$H$5,2,FALSE),0)),15-11*$AF$9)</f>
        <v>0.22470000000000001</v>
      </c>
      <c r="AJ68" s="431">
        <v>149.28</v>
      </c>
      <c r="AL68" s="439"/>
      <c r="AM68" s="336">
        <f t="shared" ca="1" si="0"/>
        <v>1667.46</v>
      </c>
      <c r="AN68" s="470" cm="1">
        <f t="array" aca="1" ref="AN68" ca="1">ROUND(ORÇAMENTO.CustoUnitario*(1+$AH68),2)</f>
        <v>11.17</v>
      </c>
    </row>
    <row r="69" spans="1:40" ht="38.25" x14ac:dyDescent="0.2">
      <c r="A69" t="str">
        <f t="shared" si="1"/>
        <v>S</v>
      </c>
      <c r="B69">
        <f t="shared" ca="1" si="2"/>
        <v>3</v>
      </c>
      <c r="C69" t="str">
        <f t="shared" ca="1" si="3"/>
        <v>S</v>
      </c>
      <c r="D69">
        <f t="shared" ca="1" si="4"/>
        <v>0</v>
      </c>
      <c r="E69">
        <f ca="1">IF($C69=1,OFFSET(E69,-1,0)+MAX(1,COUNTIF(QCI!$A$13:$A$24,OFFSET(ORÇAMENTO!E69,-1,0))),OFFSET(E69,-1,0))</f>
        <v>1</v>
      </c>
      <c r="F69">
        <f t="shared" ca="1" si="5"/>
        <v>4</v>
      </c>
      <c r="G69">
        <f t="shared" ca="1" si="6"/>
        <v>7</v>
      </c>
      <c r="H69">
        <f t="shared" ca="1" si="7"/>
        <v>0</v>
      </c>
      <c r="I69">
        <f t="shared" ca="1" si="8"/>
        <v>7</v>
      </c>
      <c r="J69">
        <f t="shared" ca="1" si="24"/>
        <v>0</v>
      </c>
      <c r="K69">
        <f ca="1">IF(OR($C69="S",$C69=0),0,MATCH(OFFSET($D69,0,$C69)+IF($C69&lt;&gt;1,1,COUNTIF(QCI!$A$13:$A$24,ORÇAMENTO!E69)),OFFSET($D69,1,$C69,ROW($C$240)-ROW($C69)),0))</f>
        <v>0</v>
      </c>
      <c r="L69" s="114" t="str">
        <f t="shared" ca="1" si="10"/>
        <v>F</v>
      </c>
      <c r="M69" s="115" t="s">
        <v>705</v>
      </c>
      <c r="N69" s="116" t="str">
        <f t="shared" ca="1" si="11"/>
        <v>Serviço</v>
      </c>
      <c r="O69" s="117" t="str">
        <f t="shared" ca="1" si="12"/>
        <v>1.4.7.0.7.</v>
      </c>
      <c r="P69" s="118" t="s">
        <v>750</v>
      </c>
      <c r="Q69" s="119" t="s">
        <v>1185</v>
      </c>
      <c r="R69" s="120" t="str" cm="1">
        <f t="array" aca="1" ref="R69" ca="1">IF($C69="S",REFERENCIA.Descricao,"(digite a descrição aqui)")</f>
        <v>CONCRETAGEM DE VIGAS E LAJES, FCK=25 MPA, PARA LAJES MACIÇAS OU NERVURADAS COM USO DE BOMBA - LANÇAMENTO, ADENSAMENTO E ACABAMENTO. AF_02/2022_PS</v>
      </c>
      <c r="S69" s="121" t="str" cm="1">
        <f t="array" aca="1" ref="S69" ca="1">REFERENCIA.Unidade</f>
        <v>M3</v>
      </c>
      <c r="T69" s="122">
        <f ca="1">OFFSET(CÁLCULO!H$15,ROW($T69)-ROW(T$15),0)</f>
        <v>30.72</v>
      </c>
      <c r="U69" s="123">
        <f t="shared" ca="1" si="26"/>
        <v>707.25</v>
      </c>
      <c r="V69" s="124" t="s">
        <v>663</v>
      </c>
      <c r="W69" s="122" cm="1">
        <f t="array" aca="1" ref="W69" ca="1">IF($C69="S",ROUND(IF(TIPOORCAMENTO="Proposto",ORÇAMENTO.CustoUnitario*(1+$AH69),ORÇAMENTO.PrecoUnitarioLicitado),15-13*$AF$10),0)</f>
        <v>866.17</v>
      </c>
      <c r="X69" s="125" cm="1">
        <f t="array" aca="1" ref="X69" ca="1">IF($C69="S",IF(OR(Import.TipoArredondamento&lt;&gt;"TransfereGOV",ACOMPANHAMENTO="BM"),VTOTAL1,SUM(OFFSET(CÁLCULO!$AA$15,ROW($X69)-ROW($X$15),1):OFFSET(CÁLCULO!$AL$15,ROW($X69)-ROW($X$15),-1))),IF($C69=0,0,ROUND(SomaAgrup,15-13*$AF$11)))</f>
        <v>26608.74</v>
      </c>
      <c r="Y69" s="126" t="s">
        <v>751</v>
      </c>
      <c r="Z69" t="str">
        <f t="shared" ca="1" si="13"/>
        <v>RA</v>
      </c>
      <c r="AA69" s="127" cm="1">
        <f t="array" aca="1" ref="AA69" ca="1">IF($C69="S",IF($Z69="CP",$X69,IF($Z69="RA",(($X69)*QCI!$AA$3),0)),SomaAgrup)</f>
        <v>12437.663853429785</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103675</v>
      </c>
      <c r="AF69" s="12"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7354</v>
      </c>
      <c r="AG69" s="428" cm="1">
        <f t="array" aca="1" ref="AG69" ca="1">ROUND(IF(DESONERACAO="sim",REFERENCIA.Desonerado,REFERENCIA.NaoDesonerado),2)</f>
        <v>707.25</v>
      </c>
      <c r="AH69" s="429">
        <f t="shared" ca="1" si="14"/>
        <v>0.22470000000000001</v>
      </c>
      <c r="AJ69" s="431">
        <v>30.72</v>
      </c>
      <c r="AL69" s="439"/>
      <c r="AM69" s="336">
        <f t="shared" ca="1" si="23"/>
        <v>26608.74</v>
      </c>
      <c r="AN69" s="470" cm="1">
        <f t="array" aca="1" ref="AN69" ca="1">ROUND(ORÇAMENTO.CustoUnitario*(1+$AH69),2)</f>
        <v>866.17</v>
      </c>
    </row>
    <row r="70" spans="1:40" ht="25.5" x14ac:dyDescent="0.2">
      <c r="A70" t="str">
        <f>CHOOSE(1+LOG(1+2*(ORÇAMENTO.Nivel="Meta")+4*(ORÇAMENTO.Nivel="Nível 2")+8*(ORÇAMENTO.Nivel="Nível 3")+16*(ORÇAMENTO.Nivel="Nível 4")+32*(ORÇAMENTO.Nivel="Serviço"),2),0,1,2,3,4,"S")</f>
        <v>S</v>
      </c>
      <c r="B70">
        <f ca="1">IF(OR(C70="s",C70=0),OFFSET(B70,-1,0),C70)</f>
        <v>3</v>
      </c>
      <c r="C70" t="str">
        <f ca="1">IF(OFFSET(C70,-1,0)="L",1,IF(OFFSET(C70,-1,0)=1,2,IF(OR(A70="s",A70=0),"S",IF(AND(OFFSET(C70,-1,0)=2,A70=4),3,IF(AND(OR(OFFSET(C70,-1,0)="s",OFFSET(C70,-1,0)=0),A70&lt;&gt;"s",A70&gt;OFFSET(B70,-1,0)),OFFSET(B70,-1,0),A70)))))</f>
        <v>S</v>
      </c>
      <c r="D70">
        <f ca="1">IF(OR(C70="S",C70=0),0,IF(ISERROR(K70),J70,SMALL(J70:K70,1)))</f>
        <v>0</v>
      </c>
      <c r="E70">
        <f ca="1">IF($C70=1,OFFSET(E70,-1,0)+MAX(1,COUNTIF(QCI!$A$13:$A$24,OFFSET(ORÇAMENTO!E70,-1,0))),OFFSET(E70,-1,0))</f>
        <v>1</v>
      </c>
      <c r="F70">
        <f ca="1">IF($C70=1,0,IF($C70=2,OFFSET(F70,-1,0)+1,OFFSET(F70,-1,0)))</f>
        <v>4</v>
      </c>
      <c r="G70">
        <f ca="1">IF(AND($C70&lt;=2,$C70&lt;&gt;0),0,IF($C70=3,OFFSET(G70,-1,0)+1,OFFSET(G70,-1,0)))</f>
        <v>7</v>
      </c>
      <c r="H70">
        <f ca="1">IF(AND($C70&lt;=3,$C70&lt;&gt;0),0,IF($C70=4,OFFSET(H70,-1,0)+1,OFFSET(H70,-1,0)))</f>
        <v>0</v>
      </c>
      <c r="I70">
        <f ca="1">IF(AND($C70&lt;=4,$C70&lt;&gt;0),0,IF(AND($C70="S",$X70&gt;0),OFFSET(I70,-1,0)+1,OFFSET(I70,-1,0)))</f>
        <v>8</v>
      </c>
      <c r="J70">
        <f t="shared" ca="1" si="24"/>
        <v>0</v>
      </c>
      <c r="K70">
        <f ca="1">IF(OR($C70="S",$C70=0),0,MATCH(OFFSET($D70,0,$C70)+IF($C70&lt;&gt;1,1,COUNTIF(QCI!$A$13:$A$24,ORÇAMENTO!E70)),OFFSET($D70,1,$C70,ROW($C$240)-ROW($C70)),0))</f>
        <v>0</v>
      </c>
      <c r="L70" s="114" t="str">
        <f ca="1">IF(OR($X70&gt;0,$C70=1,$C70=2,$C70=3,$C70=4),"F","")</f>
        <v>F</v>
      </c>
      <c r="M70" s="115" t="s">
        <v>705</v>
      </c>
      <c r="N70" s="116" t="str">
        <f ca="1">CHOOSE(1+LOG(1+2*(C70=1)+4*(C70=2)+8*(C70=3)+16*(C70=4)+32*(C70="S"),2),"","Meta","Nível 2","Nível 3","Nível 4","Serviço")</f>
        <v>Serviço</v>
      </c>
      <c r="O70" s="117" t="str">
        <f ca="1">IF(OR($C70=0,$L70=""),"-",CONCATENATE(E70&amp;".",IF(AND($A$5&gt;=2,$C70&gt;=2),F70&amp;".",""),IF(AND($A$5&gt;=3,$C70&gt;=3),G70&amp;".",""),IF(AND($A$5&gt;=4,$C70&gt;=4),H70&amp;".",""),IF($C70="S",I70&amp;".","")))</f>
        <v>1.4.7.0.8.</v>
      </c>
      <c r="P70" s="118" t="s">
        <v>750</v>
      </c>
      <c r="Q70" s="119" t="s">
        <v>1152</v>
      </c>
      <c r="R70" s="120" t="str" cm="1">
        <f t="array" aca="1" ref="R70" ca="1">IF($C70="S",REFERENCIA.Descricao,"(digite a descrição aqui)")</f>
        <v>IMPERMEABILIZAÇÃO DE SUPERFÍCIE COM EMULSÃO ASFÁLTICA, 2 DEMÃOS. AF_09/2023</v>
      </c>
      <c r="S70" s="121" t="str" cm="1">
        <f t="array" aca="1" ref="S70" ca="1">REFERENCIA.Unidade</f>
        <v>M2</v>
      </c>
      <c r="T70" s="122">
        <f ca="1">OFFSET(CÁLCULO!H$15,ROW($T70)-ROW(T$15),0)</f>
        <v>69.930000000000007</v>
      </c>
      <c r="U70" s="123">
        <f t="shared" ca="1" si="26"/>
        <v>49.37</v>
      </c>
      <c r="V70" s="124" t="s">
        <v>663</v>
      </c>
      <c r="W70" s="122" cm="1">
        <f t="array" aca="1" ref="W70" ca="1">IF($C70="S",ROUND(IF(TIPOORCAMENTO="Proposto",ORÇAMENTO.CustoUnitario*(1+$AH70),ORÇAMENTO.PrecoUnitarioLicitado),15-13*$AF$10),0)</f>
        <v>60.46</v>
      </c>
      <c r="X70" s="125" cm="1">
        <f t="array" aca="1" ref="X70" ca="1">IF($C70="S",IF(OR(Import.TipoArredondamento&lt;&gt;"TransfereGOV",ACOMPANHAMENTO="BM"),VTOTAL1,SUM(OFFSET(CÁLCULO!$AA$15,ROW($X70)-ROW($X$15),1):OFFSET(CÁLCULO!$AL$15,ROW($X70)-ROW($X$15),-1))),IF($C70=0,0,ROUND(SomaAgrup,15-13*$AF$11)))</f>
        <v>4227.97</v>
      </c>
      <c r="Y70" s="126" t="s">
        <v>751</v>
      </c>
      <c r="Z70" t="str">
        <f ca="1">IF(AND($C70="S",$X70&gt;0),IF(ISBLANK($Y70),"RA",LEFT($Y70,2)),"")</f>
        <v>RA</v>
      </c>
      <c r="AA70" s="127" cm="1">
        <f t="array" aca="1" ref="AA70" ca="1">IF($C70="S",IF($Z70="CP",$X70,IF($Z70="RA",(($X70)*QCI!$AA$3),0)),SomaAgrup)</f>
        <v>1976.2705653249845</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98557</v>
      </c>
      <c r="AF70" s="12"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10489</v>
      </c>
      <c r="AG70" s="428" cm="1">
        <f t="array" aca="1" ref="AG70" ca="1">ROUND(IF(DESONERACAO="sim",REFERENCIA.Desonerado,REFERENCIA.NaoDesonerado),2)</f>
        <v>49.37</v>
      </c>
      <c r="AH70" s="429">
        <f ca="1">ROUND(IF(ISNUMBER(ORÇAMENTO.OpcaoBDI),ORÇAMENTO.OpcaoBDI,IF(LEFT(ORÇAMENTO.OpcaoBDI,3)="BDI",HLOOKUP(ORÇAMENTO.OpcaoBDI,$F$4:$H$5,2,FALSE),0)),15-11*$AF$9)</f>
        <v>0.22470000000000001</v>
      </c>
      <c r="AJ70" s="431">
        <v>69.930000000000007</v>
      </c>
      <c r="AL70" s="439"/>
      <c r="AM70" s="336">
        <f t="shared" ca="1" si="23"/>
        <v>4227.97</v>
      </c>
      <c r="AN70" s="470" cm="1">
        <f t="array" aca="1" ref="AN70" ca="1">ROUND(ORÇAMENTO.CustoUnitario*(1+$AH70),2)</f>
        <v>60.46</v>
      </c>
    </row>
    <row r="71" spans="1:40" x14ac:dyDescent="0.2">
      <c r="A71">
        <f t="shared" si="1"/>
        <v>3</v>
      </c>
      <c r="B71">
        <f t="shared" ca="1" si="2"/>
        <v>3</v>
      </c>
      <c r="C71">
        <f t="shared" ca="1" si="3"/>
        <v>3</v>
      </c>
      <c r="D71">
        <f t="shared" ca="1" si="4"/>
        <v>6</v>
      </c>
      <c r="E71">
        <f ca="1">IF($C71=1,OFFSET(E71,-1,0)+MAX(1,COUNTIF(QCI!$A$13:$A$24,OFFSET(ORÇAMENTO!E71,-1,0))),OFFSET(E71,-1,0))</f>
        <v>1</v>
      </c>
      <c r="F71">
        <f t="shared" ca="1" si="5"/>
        <v>4</v>
      </c>
      <c r="G71">
        <f t="shared" ca="1" si="6"/>
        <v>8</v>
      </c>
      <c r="H71">
        <f t="shared" ca="1" si="7"/>
        <v>0</v>
      </c>
      <c r="I71">
        <f t="shared" ca="1" si="8"/>
        <v>0</v>
      </c>
      <c r="J71">
        <f t="shared" ca="1" si="24"/>
        <v>32</v>
      </c>
      <c r="K71">
        <f ca="1">IF(OR($C71="S",$C71=0),0,MATCH(OFFSET($D71,0,$C71)+IF($C71&lt;&gt;1,1,COUNTIF(QCI!$A$13:$A$24,ORÇAMENTO!E71)),OFFSET($D71,1,$C71,ROW($C$240)-ROW($C71)),0))</f>
        <v>6</v>
      </c>
      <c r="L71" s="114" t="str">
        <f t="shared" ca="1" si="10"/>
        <v>F</v>
      </c>
      <c r="M71" s="115" t="s">
        <v>703</v>
      </c>
      <c r="N71" s="116" t="str">
        <f t="shared" ca="1" si="11"/>
        <v>Nível 3</v>
      </c>
      <c r="O71" s="117" t="str">
        <f t="shared" ca="1" si="12"/>
        <v>1.4.8.</v>
      </c>
      <c r="P71" s="118" t="s">
        <v>750</v>
      </c>
      <c r="Q71" s="119"/>
      <c r="R71" s="120" t="s">
        <v>1038</v>
      </c>
      <c r="S71" s="121" t="str" cm="1">
        <f t="array" aca="1" ref="S71" ca="1">REFERENCIA.Unidade</f>
        <v>-</v>
      </c>
      <c r="T71" s="122">
        <f ca="1">OFFSET(CÁLCULO!H$15,ROW($T71)-ROW(T$15),0)</f>
        <v>0</v>
      </c>
      <c r="U71" s="123"/>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132854.92000000001</v>
      </c>
      <c r="Y71" s="126" t="s">
        <v>751</v>
      </c>
      <c r="Z71" t="str">
        <f t="shared" ca="1" si="13"/>
        <v/>
      </c>
      <c r="AA71" s="127" cm="1">
        <f t="array" aca="1" ref="AA71" ca="1">IF($C71="S",IF($Z71="CP",$X71,IF($Z71="RA",(($X71)*QCI!$AA$3),0)),SomaAgrup)</f>
        <v>62100.078253773223</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b" cm="1">
        <f t="array" aca="1" ref="AE71" ca="1">IF(AND($C71="S",ORÇAMENTO.CodBarra&lt;&gt;""),IF(ORÇAMENTO.Fonte="",ORÇAMENTO.CodBarra,CONCATENATE(ORÇAMENTO.Fonte," ",ORÇAMENTO.CodBarra)))</f>
        <v>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cm="1">
        <f t="array" aca="1" ref="AG71" ca="1">ROUND(IF(DESONERACAO="sim",REFERENCIA.Desonerado,REFERENCIA.NaoDesonerado),2)</f>
        <v>0</v>
      </c>
      <c r="AH71" s="429">
        <f t="shared" ca="1" si="14"/>
        <v>0.22470000000000001</v>
      </c>
      <c r="AJ71" s="431"/>
      <c r="AL71" s="439"/>
      <c r="AM71" s="336">
        <f t="shared" ca="1" si="23"/>
        <v>132854.92000000001</v>
      </c>
      <c r="AN71" s="470" cm="1">
        <f t="array" aca="1" ref="AN71" ca="1">ROUND(ORÇAMENTO.CustoUnitario*(1+$AH71),2)</f>
        <v>0</v>
      </c>
    </row>
    <row r="72" spans="1:40" ht="38.25" x14ac:dyDescent="0.2">
      <c r="A72" t="str">
        <f t="shared" si="1"/>
        <v>S</v>
      </c>
      <c r="B72">
        <f t="shared" ca="1" si="2"/>
        <v>3</v>
      </c>
      <c r="C72" t="str">
        <f t="shared" ca="1" si="3"/>
        <v>S</v>
      </c>
      <c r="D72">
        <f t="shared" ca="1" si="4"/>
        <v>0</v>
      </c>
      <c r="E72">
        <f ca="1">IF($C72=1,OFFSET(E72,-1,0)+MAX(1,COUNTIF(QCI!$A$13:$A$24,OFFSET(ORÇAMENTO!E72,-1,0))),OFFSET(E72,-1,0))</f>
        <v>1</v>
      </c>
      <c r="F72">
        <f t="shared" ca="1" si="5"/>
        <v>4</v>
      </c>
      <c r="G72">
        <f t="shared" ca="1" si="6"/>
        <v>8</v>
      </c>
      <c r="H72">
        <f t="shared" ca="1" si="7"/>
        <v>0</v>
      </c>
      <c r="I72">
        <f t="shared" ca="1" si="8"/>
        <v>1</v>
      </c>
      <c r="J72">
        <f t="shared" ca="1" si="24"/>
        <v>0</v>
      </c>
      <c r="K72">
        <f ca="1">IF(OR($C72="S",$C72=0),0,MATCH(OFFSET($D72,0,$C72)+IF($C72&lt;&gt;1,1,COUNTIF(QCI!$A$13:$A$24,ORÇAMENTO!E72)),OFFSET($D72,1,$C72,ROW($C$240)-ROW($C72)),0))</f>
        <v>0</v>
      </c>
      <c r="L72" s="114" t="str">
        <f t="shared" ca="1" si="10"/>
        <v>F</v>
      </c>
      <c r="M72" s="115" t="s">
        <v>705</v>
      </c>
      <c r="N72" s="116" t="str">
        <f t="shared" ca="1" si="11"/>
        <v>Serviço</v>
      </c>
      <c r="O72" s="117" t="str">
        <f t="shared" ca="1" si="12"/>
        <v>1.4.8.0.1.</v>
      </c>
      <c r="P72" s="118" t="s">
        <v>1097</v>
      </c>
      <c r="Q72" s="119" t="s">
        <v>1188</v>
      </c>
      <c r="R72" s="120" t="str" cm="1">
        <f t="array" aca="1" ref="R72" ca="1">IF($C72="S",REFERENCIA.Descricao,"(digite a descrição aqui)")</f>
        <v>LAJE PRÉ-MOLDADA UNIDIRECIONAL, BIAPOIADA, PARA PISO, ENCHIMENTO EM CERÂMICA, VIGOTA TRELIÇADA, ALTURA TOTAL DA LAJE "LT" = 16 CM (ENCHIMENTO+CAPA) = (12+4)</v>
      </c>
      <c r="S72" s="121" t="str" cm="1">
        <f t="array" aca="1" ref="S72" ca="1">REFERENCIA.Unidade</f>
        <v>M2</v>
      </c>
      <c r="T72" s="122">
        <f ca="1">OFFSET(CÁLCULO!H$15,ROW($T72)-ROW(T$15),0)</f>
        <v>453.84</v>
      </c>
      <c r="U72" s="123">
        <f t="shared" ref="U72:U76" ca="1" si="27">AG72</f>
        <v>228.58</v>
      </c>
      <c r="V72" s="124" t="s">
        <v>663</v>
      </c>
      <c r="W72" s="122" cm="1">
        <f t="array" aca="1" ref="W72" ca="1">IF($C72="S",ROUND(IF(TIPOORCAMENTO="Proposto",ORÇAMENTO.CustoUnitario*(1+$AH72),ORÇAMENTO.PrecoUnitarioLicitado),15-13*$AF$10),0)</f>
        <v>279.94</v>
      </c>
      <c r="X72" s="125" cm="1">
        <f t="array" aca="1" ref="X72" ca="1">IF($C72="S",IF(OR(Import.TipoArredondamento&lt;&gt;"TransfereGOV",ACOMPANHAMENTO="BM"),VTOTAL1,SUM(OFFSET(CÁLCULO!$AA$15,ROW($X72)-ROW($X$15),1):OFFSET(CÁLCULO!$AL$15,ROW($X72)-ROW($X$15),-1))),IF($C72=0,0,ROUND(SomaAgrup,15-13*$AF$11)))</f>
        <v>127047.97</v>
      </c>
      <c r="Y72" s="126" t="s">
        <v>751</v>
      </c>
      <c r="Z72" t="str">
        <f t="shared" ca="1" si="13"/>
        <v>RA</v>
      </c>
      <c r="AA72" s="127" cm="1">
        <f t="array" aca="1" ref="AA72" ca="1">IF($C72="S",IF($Z72="CP",$X72,IF($Z72="RA",(($X72)*QCI!$AA$3),0)),SomaAgrup)</f>
        <v>59385.748596913334</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cm="1">
        <f t="array" aca="1" ref="AE72" ca="1">IF(AND($C72="S",ORÇAMENTO.CodBarra&lt;&gt;""),IF(ORÇAMENTO.Fonte="",ORÇAMENTO.CodBarra,CONCATENATE(ORÇAMENTO.Fonte," ",ORÇAMENTO.CodBarra)))</f>
        <v>COMPOSIÇÃO 008</v>
      </c>
      <c r="AF72" s="12"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10</v>
      </c>
      <c r="AG72" s="428" cm="1">
        <f t="array" aca="1" ref="AG72" ca="1">ROUND(IF(DESONERACAO="sim",REFERENCIA.Desonerado,REFERENCIA.NaoDesonerado),2)</f>
        <v>228.58</v>
      </c>
      <c r="AH72" s="429">
        <f t="shared" ca="1" si="14"/>
        <v>0.22470000000000001</v>
      </c>
      <c r="AJ72" s="431">
        <v>453.84</v>
      </c>
      <c r="AL72" s="439"/>
      <c r="AM72" s="336">
        <f t="shared" ca="1" si="23"/>
        <v>127047.97</v>
      </c>
      <c r="AN72" s="470" cm="1">
        <f t="array" aca="1" ref="AN72" ca="1">ROUND(ORÇAMENTO.CustoUnitario*(1+$AH72),2)</f>
        <v>279.94</v>
      </c>
    </row>
    <row r="73" spans="1:40" x14ac:dyDescent="0.2">
      <c r="A73" t="str">
        <f t="shared" si="1"/>
        <v>S</v>
      </c>
      <c r="B73">
        <f t="shared" ca="1" si="2"/>
        <v>3</v>
      </c>
      <c r="C73" t="str">
        <f t="shared" ca="1" si="3"/>
        <v>S</v>
      </c>
      <c r="D73">
        <f t="shared" ca="1" si="4"/>
        <v>0</v>
      </c>
      <c r="E73">
        <f ca="1">IF($C73=1,OFFSET(E73,-1,0)+MAX(1,COUNTIF(QCI!$A$13:$A$24,OFFSET(ORÇAMENTO!E73,-1,0))),OFFSET(E73,-1,0))</f>
        <v>1</v>
      </c>
      <c r="F73">
        <f t="shared" ca="1" si="5"/>
        <v>4</v>
      </c>
      <c r="G73">
        <f t="shared" ca="1" si="6"/>
        <v>8</v>
      </c>
      <c r="H73">
        <f t="shared" ca="1" si="7"/>
        <v>0</v>
      </c>
      <c r="I73">
        <f t="shared" ca="1" si="8"/>
        <v>2</v>
      </c>
      <c r="J73">
        <f t="shared" ca="1" si="24"/>
        <v>0</v>
      </c>
      <c r="K73">
        <f ca="1">IF(OR($C73="S",$C73=0),0,MATCH(OFFSET($D73,0,$C73)+IF($C73&lt;&gt;1,1,COUNTIF(QCI!$A$13:$A$24,ORÇAMENTO!E73)),OFFSET($D73,1,$C73,ROW($C$240)-ROW($C73)),0))</f>
        <v>0</v>
      </c>
      <c r="L73" s="114" t="str">
        <f t="shared" ca="1" si="10"/>
        <v>F</v>
      </c>
      <c r="M73" s="115" t="s">
        <v>705</v>
      </c>
      <c r="N73" s="116" t="str">
        <f t="shared" ca="1" si="11"/>
        <v>Serviço</v>
      </c>
      <c r="O73" s="117" t="str">
        <f t="shared" ca="1" si="12"/>
        <v>1.4.8.0.2.</v>
      </c>
      <c r="P73" s="118" t="s">
        <v>954</v>
      </c>
      <c r="Q73" s="119" t="s">
        <v>1189</v>
      </c>
      <c r="R73" s="120" t="str" cm="1">
        <f t="array" aca="1" ref="R73" ca="1">IF($C73="S",REFERENCIA.Descricao,"(digite a descrição aqui)")</f>
        <v>ACO CA-50, 6,3 MM, DOBRADO E CORTADO</v>
      </c>
      <c r="S73" s="121" t="str" cm="1">
        <f t="array" aca="1" ref="S73" ca="1">REFERENCIA.Unidade</f>
        <v>KG</v>
      </c>
      <c r="T73" s="122">
        <f ca="1">OFFSET(CÁLCULO!H$15,ROW($T73)-ROW(T$15),0)</f>
        <v>172.8</v>
      </c>
      <c r="U73" s="123">
        <f t="shared" ca="1" si="27"/>
        <v>9.6</v>
      </c>
      <c r="V73" s="124" t="s">
        <v>663</v>
      </c>
      <c r="W73" s="122" cm="1">
        <f t="array" aca="1" ref="W73" ca="1">IF($C73="S",ROUND(IF(TIPOORCAMENTO="Proposto",ORÇAMENTO.CustoUnitario*(1+$AH73),ORÇAMENTO.PrecoUnitarioLicitado),15-13*$AF$10),0)</f>
        <v>11.76</v>
      </c>
      <c r="X73" s="125" cm="1">
        <f t="array" aca="1" ref="X73" ca="1">IF($C73="S",IF(OR(Import.TipoArredondamento&lt;&gt;"TransfereGOV",ACOMPANHAMENTO="BM"),VTOTAL1,SUM(OFFSET(CÁLCULO!$AA$15,ROW($X73)-ROW($X$15),1):OFFSET(CÁLCULO!$AL$15,ROW($X73)-ROW($X$15),-1))),IF($C73=0,0,ROUND(SomaAgrup,15-13*$AF$11)))</f>
        <v>2032.13</v>
      </c>
      <c r="Y73" s="126" t="s">
        <v>751</v>
      </c>
      <c r="Z73" t="str">
        <f t="shared" ca="1" si="13"/>
        <v>RA</v>
      </c>
      <c r="AA73" s="127" cm="1">
        <f t="array" aca="1" ref="AA73" ca="1">IF($C73="S",IF($Z73="CP",$X73,IF($Z73="RA",(($X73)*QCI!$AA$3),0)),SomaAgrup)</f>
        <v>949.87398300221162</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cm="1">
        <f t="array" aca="1" ref="AE73" ca="1">IF(AND($C73="S",ORÇAMENTO.CodBarra&lt;&gt;""),IF(ORÇAMENTO.Fonte="",ORÇAMENTO.CodBarra,CONCATENATE(ORÇAMENTO.Fonte," ",ORÇAMENTO.CodBarra)))</f>
        <v>SINAPI-I 34449</v>
      </c>
      <c r="AF73" s="12"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81</v>
      </c>
      <c r="AG73" s="428" cm="1">
        <f t="array" aca="1" ref="AG73" ca="1">ROUND(IF(DESONERACAO="sim",REFERENCIA.Desonerado,REFERENCIA.NaoDesonerado),2)</f>
        <v>9.6</v>
      </c>
      <c r="AH73" s="429">
        <f t="shared" ca="1" si="14"/>
        <v>0.22470000000000001</v>
      </c>
      <c r="AJ73" s="431">
        <v>172.8</v>
      </c>
      <c r="AL73" s="439"/>
      <c r="AM73" s="336">
        <f t="shared" ca="1" si="23"/>
        <v>2032.13</v>
      </c>
      <c r="AN73" s="470" cm="1">
        <f t="array" aca="1" ref="AN73" ca="1">ROUND(ORÇAMENTO.CustoUnitario*(1+$AH73),2)</f>
        <v>11.76</v>
      </c>
    </row>
    <row r="74" spans="1:40" x14ac:dyDescent="0.2">
      <c r="A74" t="str">
        <f t="shared" si="1"/>
        <v>S</v>
      </c>
      <c r="B74">
        <f t="shared" ca="1" si="2"/>
        <v>3</v>
      </c>
      <c r="C74" t="str">
        <f t="shared" ca="1" si="3"/>
        <v>S</v>
      </c>
      <c r="D74">
        <f t="shared" ca="1" si="4"/>
        <v>0</v>
      </c>
      <c r="E74">
        <f ca="1">IF($C74=1,OFFSET(E74,-1,0)+MAX(1,COUNTIF(QCI!$A$13:$A$24,OFFSET(ORÇAMENTO!E74,-1,0))),OFFSET(E74,-1,0))</f>
        <v>1</v>
      </c>
      <c r="F74">
        <f t="shared" ca="1" si="5"/>
        <v>4</v>
      </c>
      <c r="G74">
        <f t="shared" ca="1" si="6"/>
        <v>8</v>
      </c>
      <c r="H74">
        <f t="shared" ca="1" si="7"/>
        <v>0</v>
      </c>
      <c r="I74">
        <f t="shared" ca="1" si="8"/>
        <v>3</v>
      </c>
      <c r="J74">
        <f t="shared" ca="1" si="24"/>
        <v>0</v>
      </c>
      <c r="K74">
        <f ca="1">IF(OR($C74="S",$C74=0),0,MATCH(OFFSET($D74,0,$C74)+IF($C74&lt;&gt;1,1,COUNTIF(QCI!$A$13:$A$24,ORÇAMENTO!E74)),OFFSET($D74,1,$C74,ROW($C$240)-ROW($C74)),0))</f>
        <v>0</v>
      </c>
      <c r="L74" s="114" t="str">
        <f t="shared" ca="1" si="10"/>
        <v>F</v>
      </c>
      <c r="M74" s="115" t="s">
        <v>705</v>
      </c>
      <c r="N74" s="116" t="str">
        <f t="shared" ca="1" si="11"/>
        <v>Serviço</v>
      </c>
      <c r="O74" s="117" t="str">
        <f t="shared" ca="1" si="12"/>
        <v>1.4.8.0.3.</v>
      </c>
      <c r="P74" s="118" t="s">
        <v>954</v>
      </c>
      <c r="Q74" s="119" t="s">
        <v>1190</v>
      </c>
      <c r="R74" s="120" t="str" cm="1">
        <f t="array" aca="1" ref="R74" ca="1">IF($C74="S",REFERENCIA.Descricao,"(digite a descrição aqui)")</f>
        <v>ACO CA-50, 8,0 MM, VERGALHAO</v>
      </c>
      <c r="S74" s="121" t="str" cm="1">
        <f t="array" aca="1" ref="S74" ca="1">REFERENCIA.Unidade</f>
        <v>KG</v>
      </c>
      <c r="T74" s="122">
        <f ca="1">OFFSET(CÁLCULO!H$15,ROW($T74)-ROW(T$15),0)</f>
        <v>150.47999999999999</v>
      </c>
      <c r="U74" s="123">
        <f t="shared" ca="1" si="27"/>
        <v>8.68</v>
      </c>
      <c r="V74" s="124" t="s">
        <v>663</v>
      </c>
      <c r="W74" s="122" cm="1">
        <f t="array" aca="1" ref="W74" ca="1">IF($C74="S",ROUND(IF(TIPOORCAMENTO="Proposto",ORÇAMENTO.CustoUnitario*(1+$AH74),ORÇAMENTO.PrecoUnitarioLicitado),15-13*$AF$10),0)</f>
        <v>10.63</v>
      </c>
      <c r="X74" s="125" cm="1">
        <f t="array" aca="1" ref="X74" ca="1">IF($C74="S",IF(OR(Import.TipoArredondamento&lt;&gt;"TransfereGOV",ACOMPANHAMENTO="BM"),VTOTAL1,SUM(OFFSET(CÁLCULO!$AA$15,ROW($X74)-ROW($X$15),1):OFFSET(CÁLCULO!$AL$15,ROW($X74)-ROW($X$15),-1))),IF($C74=0,0,ROUND(SomaAgrup,15-13*$AF$11)))</f>
        <v>1599.6</v>
      </c>
      <c r="Y74" s="126" t="s">
        <v>751</v>
      </c>
      <c r="Z74" t="str">
        <f t="shared" ca="1" si="13"/>
        <v>RA</v>
      </c>
      <c r="AA74" s="127" cm="1">
        <f t="array" aca="1" ref="AA74" ca="1">IF($C74="S",IF($Z74="CP",$X74,IF($Z74="RA",(($X74)*QCI!$AA$3),0)),SomaAgrup)</f>
        <v>747.69745203817547</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cm="1">
        <f t="array" aca="1" ref="AE74" ca="1">IF(AND($C74="S",ORÇAMENTO.CodBarra&lt;&gt;""),IF(ORÇAMENTO.Fonte="",ORÇAMENTO.CodBarra,CONCATENATE(ORÇAMENTO.Fonte," ",ORÇAMENTO.CodBarra)))</f>
        <v>SINAPI-I 33</v>
      </c>
      <c r="AF74" s="1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83</v>
      </c>
      <c r="AG74" s="428" cm="1">
        <f t="array" aca="1" ref="AG74" ca="1">ROUND(IF(DESONERACAO="sim",REFERENCIA.Desonerado,REFERENCIA.NaoDesonerado),2)</f>
        <v>8.68</v>
      </c>
      <c r="AH74" s="429">
        <f t="shared" ca="1" si="14"/>
        <v>0.22470000000000001</v>
      </c>
      <c r="AJ74" s="431">
        <v>150.47999999999999</v>
      </c>
      <c r="AL74" s="439"/>
      <c r="AM74" s="336">
        <f t="shared" ca="1" si="23"/>
        <v>1599.6</v>
      </c>
      <c r="AN74" s="470" cm="1">
        <f t="array" aca="1" ref="AN74" ca="1">ROUND(ORÇAMENTO.CustoUnitario*(1+$AH74),2)</f>
        <v>10.63</v>
      </c>
    </row>
    <row r="75" spans="1:40" x14ac:dyDescent="0.2">
      <c r="A75" t="str">
        <f t="shared" si="1"/>
        <v>S</v>
      </c>
      <c r="B75">
        <f t="shared" ca="1" si="2"/>
        <v>3</v>
      </c>
      <c r="C75" t="str">
        <f t="shared" ca="1" si="3"/>
        <v>S</v>
      </c>
      <c r="D75">
        <f t="shared" ca="1" si="4"/>
        <v>0</v>
      </c>
      <c r="E75">
        <f ca="1">IF($C75=1,OFFSET(E75,-1,0)+MAX(1,COUNTIF(QCI!$A$13:$A$24,OFFSET(ORÇAMENTO!E75,-1,0))),OFFSET(E75,-1,0))</f>
        <v>1</v>
      </c>
      <c r="F75">
        <f t="shared" ca="1" si="5"/>
        <v>4</v>
      </c>
      <c r="G75">
        <f t="shared" ca="1" si="6"/>
        <v>8</v>
      </c>
      <c r="H75">
        <f t="shared" ca="1" si="7"/>
        <v>0</v>
      </c>
      <c r="I75">
        <f t="shared" ca="1" si="8"/>
        <v>4</v>
      </c>
      <c r="J75">
        <f t="shared" ca="1" si="24"/>
        <v>0</v>
      </c>
      <c r="K75">
        <f ca="1">IF(OR($C75="S",$C75=0),0,MATCH(OFFSET($D75,0,$C75)+IF($C75&lt;&gt;1,1,COUNTIF(QCI!$A$13:$A$24,ORÇAMENTO!E75)),OFFSET($D75,1,$C75,ROW($C$240)-ROW($C75)),0))</f>
        <v>0</v>
      </c>
      <c r="L75" s="114" t="str">
        <f t="shared" ca="1" si="10"/>
        <v>F</v>
      </c>
      <c r="M75" s="115" t="s">
        <v>705</v>
      </c>
      <c r="N75" s="116" t="str">
        <f t="shared" ca="1" si="11"/>
        <v>Serviço</v>
      </c>
      <c r="O75" s="117" t="str">
        <f t="shared" ca="1" si="12"/>
        <v>1.4.8.0.4.</v>
      </c>
      <c r="P75" s="118" t="s">
        <v>954</v>
      </c>
      <c r="Q75" s="119" t="s">
        <v>1191</v>
      </c>
      <c r="R75" s="120" t="str" cm="1">
        <f t="array" aca="1" ref="R75" ca="1">IF($C75="S",REFERENCIA.Descricao,"(digite a descrição aqui)")</f>
        <v>ACO CA-50, 10,0 MM, VERGALHAO</v>
      </c>
      <c r="S75" s="121" t="str" cm="1">
        <f t="array" aca="1" ref="S75" ca="1">REFERENCIA.Unidade</f>
        <v>KG</v>
      </c>
      <c r="T75" s="122">
        <f ca="1">OFFSET(CÁLCULO!H$15,ROW($T75)-ROW(T$15),0)</f>
        <v>130.19999999999999</v>
      </c>
      <c r="U75" s="123">
        <f t="shared" ca="1" si="27"/>
        <v>8.18</v>
      </c>
      <c r="V75" s="124" t="s">
        <v>663</v>
      </c>
      <c r="W75" s="122" cm="1">
        <f t="array" aca="1" ref="W75" ca="1">IF($C75="S",ROUND(IF(TIPOORCAMENTO="Proposto",ORÇAMENTO.CustoUnitario*(1+$AH75),ORÇAMENTO.PrecoUnitarioLicitado),15-13*$AF$10),0)</f>
        <v>10.02</v>
      </c>
      <c r="X75" s="125" cm="1">
        <f t="array" aca="1" ref="X75" ca="1">IF($C75="S",IF(OR(Import.TipoArredondamento&lt;&gt;"TransfereGOV",ACOMPANHAMENTO="BM"),VTOTAL1,SUM(OFFSET(CÁLCULO!$AA$15,ROW($X75)-ROW($X$15),1):OFFSET(CÁLCULO!$AL$15,ROW($X75)-ROW($X$15),-1))),IF($C75=0,0,ROUND(SomaAgrup,15-13*$AF$11)))</f>
        <v>1304.5999999999999</v>
      </c>
      <c r="Y75" s="126" t="s">
        <v>751</v>
      </c>
      <c r="Z75" t="str">
        <f t="shared" ca="1" si="13"/>
        <v>RA</v>
      </c>
      <c r="AA75" s="127" cm="1">
        <f t="array" aca="1" ref="AA75" ca="1">IF($C75="S",IF($Z75="CP",$X75,IF($Z75="RA",(($X75)*QCI!$AA$3),0)),SomaAgrup)</f>
        <v>609.80626152100763</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cm="1">
        <f t="array" aca="1" ref="AE75" ca="1">IF(AND($C75="S",ORÇAMENTO.CodBarra&lt;&gt;""),IF(ORÇAMENTO.Fonte="",ORÇAMENTO.CodBarra,CONCATENATE(ORÇAMENTO.Fonte," ",ORÇAMENTO.CodBarra)))</f>
        <v>SINAPI-I 34</v>
      </c>
      <c r="AF75" s="12"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77</v>
      </c>
      <c r="AG75" s="428" cm="1">
        <f t="array" aca="1" ref="AG75" ca="1">ROUND(IF(DESONERACAO="sim",REFERENCIA.Desonerado,REFERENCIA.NaoDesonerado),2)</f>
        <v>8.18</v>
      </c>
      <c r="AH75" s="429">
        <f t="shared" ca="1" si="14"/>
        <v>0.22470000000000001</v>
      </c>
      <c r="AJ75" s="431">
        <v>130.19999999999999</v>
      </c>
      <c r="AL75" s="439"/>
      <c r="AM75" s="336">
        <f t="shared" ca="1" si="23"/>
        <v>1304.5999999999999</v>
      </c>
      <c r="AN75" s="470" cm="1">
        <f t="array" aca="1" ref="AN75" ca="1">ROUND(ORÇAMENTO.CustoUnitario*(1+$AH75),2)</f>
        <v>10.02</v>
      </c>
    </row>
    <row r="76" spans="1:40" ht="25.5" x14ac:dyDescent="0.2">
      <c r="A76" t="str">
        <f t="shared" si="1"/>
        <v>S</v>
      </c>
      <c r="B76">
        <f t="shared" ca="1" si="2"/>
        <v>3</v>
      </c>
      <c r="C76" t="str">
        <f t="shared" ca="1" si="3"/>
        <v>S</v>
      </c>
      <c r="D76">
        <f t="shared" ca="1" si="4"/>
        <v>0</v>
      </c>
      <c r="E76">
        <f ca="1">IF($C76=1,OFFSET(E76,-1,0)+MAX(1,COUNTIF(QCI!$A$13:$A$24,OFFSET(ORÇAMENTO!E76,-1,0))),OFFSET(E76,-1,0))</f>
        <v>1</v>
      </c>
      <c r="F76">
        <f t="shared" ca="1" si="5"/>
        <v>4</v>
      </c>
      <c r="G76">
        <f t="shared" ca="1" si="6"/>
        <v>8</v>
      </c>
      <c r="H76">
        <f t="shared" ca="1" si="7"/>
        <v>0</v>
      </c>
      <c r="I76">
        <f t="shared" ca="1" si="8"/>
        <v>5</v>
      </c>
      <c r="J76">
        <f t="shared" ca="1" si="24"/>
        <v>0</v>
      </c>
      <c r="K76">
        <f ca="1">IF(OR($C76="S",$C76=0),0,MATCH(OFFSET($D76,0,$C76)+IF($C76&lt;&gt;1,1,COUNTIF(QCI!$A$13:$A$24,ORÇAMENTO!E76)),OFFSET($D76,1,$C76,ROW($C$240)-ROW($C76)),0))</f>
        <v>0</v>
      </c>
      <c r="L76" s="114" t="str">
        <f t="shared" ca="1" si="10"/>
        <v>F</v>
      </c>
      <c r="M76" s="115" t="s">
        <v>705</v>
      </c>
      <c r="N76" s="116" t="str">
        <f t="shared" ca="1" si="11"/>
        <v>Serviço</v>
      </c>
      <c r="O76" s="117" t="str">
        <f t="shared" ca="1" si="12"/>
        <v>1.4.8.0.5.</v>
      </c>
      <c r="P76" s="118" t="s">
        <v>750</v>
      </c>
      <c r="Q76" s="119" t="s">
        <v>1152</v>
      </c>
      <c r="R76" s="120" t="str" cm="1">
        <f t="array" aca="1" ref="R76" ca="1">IF($C76="S",REFERENCIA.Descricao,"(digite a descrição aqui)")</f>
        <v>IMPERMEABILIZAÇÃO DE SUPERFÍCIE COM EMULSÃO ASFÁLTICA, 2 DEMÃOS. AF_09/2023</v>
      </c>
      <c r="S76" s="121" t="str" cm="1">
        <f t="array" aca="1" ref="S76" ca="1">REFERENCIA.Unidade</f>
        <v>M2</v>
      </c>
      <c r="T76" s="122">
        <f ca="1">OFFSET(CÁLCULO!H$15,ROW($T76)-ROW(T$15),0)</f>
        <v>14.4</v>
      </c>
      <c r="U76" s="123">
        <f t="shared" ca="1" si="27"/>
        <v>49.37</v>
      </c>
      <c r="V76" s="124" t="s">
        <v>663</v>
      </c>
      <c r="W76" s="122" cm="1">
        <f t="array" aca="1" ref="W76" ca="1">IF($C76="S",ROUND(IF(TIPOORCAMENTO="Proposto",ORÇAMENTO.CustoUnitario*(1+$AH76),ORÇAMENTO.PrecoUnitarioLicitado),15-13*$AF$10),0)</f>
        <v>60.46</v>
      </c>
      <c r="X76" s="125" cm="1">
        <f t="array" aca="1" ref="X76" ca="1">IF($C76="S",IF(OR(Import.TipoArredondamento&lt;&gt;"TransfereGOV",ACOMPANHAMENTO="BM"),VTOTAL1,SUM(OFFSET(CÁLCULO!$AA$15,ROW($X76)-ROW($X$15),1):OFFSET(CÁLCULO!$AL$15,ROW($X76)-ROW($X$15),-1))),IF($C76=0,0,ROUND(SomaAgrup,15-13*$AF$11)))</f>
        <v>870.62</v>
      </c>
      <c r="Y76" s="126" t="s">
        <v>751</v>
      </c>
      <c r="Z76" t="str">
        <f t="shared" ca="1" si="13"/>
        <v>RA</v>
      </c>
      <c r="AA76" s="127" cm="1">
        <f t="array" aca="1" ref="AA76" ca="1">IF($C76="S",IF($Z76="CP",$X76,IF($Z76="RA",(($X76)*QCI!$AA$3),0)),SomaAgrup)</f>
        <v>406.9519602984974</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cm="1">
        <f t="array" aca="1" ref="AE76" ca="1">IF(AND($C76="S",ORÇAMENTO.CodBarra&lt;&gt;""),IF(ORÇAMENTO.Fonte="",ORÇAMENTO.CodBarra,CONCATENATE(ORÇAMENTO.Fonte," ",ORÇAMENTO.CodBarra)))</f>
        <v>SINAPI 98557</v>
      </c>
      <c r="AF76" s="12"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10489</v>
      </c>
      <c r="AG76" s="428" cm="1">
        <f t="array" aca="1" ref="AG76" ca="1">ROUND(IF(DESONERACAO="sim",REFERENCIA.Desonerado,REFERENCIA.NaoDesonerado),2)</f>
        <v>49.37</v>
      </c>
      <c r="AH76" s="429">
        <f t="shared" ca="1" si="14"/>
        <v>0.22470000000000001</v>
      </c>
      <c r="AJ76" s="431">
        <v>14.4</v>
      </c>
      <c r="AL76" s="439"/>
      <c r="AM76" s="336">
        <f t="shared" ca="1" si="23"/>
        <v>870.62</v>
      </c>
      <c r="AN76" s="470" cm="1">
        <f t="array" aca="1" ref="AN76" ca="1">ROUND(ORÇAMENTO.CustoUnitario*(1+$AH76),2)</f>
        <v>60.46</v>
      </c>
    </row>
    <row r="77" spans="1:40" x14ac:dyDescent="0.2">
      <c r="A77">
        <f t="shared" si="1"/>
        <v>3</v>
      </c>
      <c r="B77">
        <f t="shared" ca="1" si="2"/>
        <v>3</v>
      </c>
      <c r="C77">
        <f t="shared" ca="1" si="3"/>
        <v>3</v>
      </c>
      <c r="D77">
        <f t="shared" ca="1" si="4"/>
        <v>5</v>
      </c>
      <c r="E77">
        <f ca="1">IF($C77=1,OFFSET(E77,-1,0)+MAX(1,COUNTIF(QCI!$A$13:$A$24,OFFSET(ORÇAMENTO!E77,-1,0))),OFFSET(E77,-1,0))</f>
        <v>1</v>
      </c>
      <c r="F77">
        <f t="shared" ca="1" si="5"/>
        <v>4</v>
      </c>
      <c r="G77">
        <f t="shared" ca="1" si="6"/>
        <v>9</v>
      </c>
      <c r="H77">
        <f t="shared" ca="1" si="7"/>
        <v>0</v>
      </c>
      <c r="I77">
        <f t="shared" ca="1" si="8"/>
        <v>0</v>
      </c>
      <c r="J77">
        <f t="shared" ca="1" si="24"/>
        <v>26</v>
      </c>
      <c r="K77">
        <f ca="1">IF(OR($C77="S",$C77=0),0,MATCH(OFFSET($D77,0,$C77)+IF($C77&lt;&gt;1,1,COUNTIF(QCI!$A$13:$A$24,ORÇAMENTO!E77)),OFFSET($D77,1,$C77,ROW($C$240)-ROW($C77)),0))</f>
        <v>5</v>
      </c>
      <c r="L77" s="114" t="str">
        <f t="shared" ca="1" si="10"/>
        <v>F</v>
      </c>
      <c r="M77" s="115" t="s">
        <v>703</v>
      </c>
      <c r="N77" s="116" t="str">
        <f t="shared" ca="1" si="11"/>
        <v>Nível 3</v>
      </c>
      <c r="O77" s="117" t="str">
        <f t="shared" ca="1" si="12"/>
        <v>1.4.9.</v>
      </c>
      <c r="P77" s="118" t="s">
        <v>750</v>
      </c>
      <c r="Q77" s="119"/>
      <c r="R77" s="120" t="s">
        <v>1032</v>
      </c>
      <c r="S77" s="121" t="str" cm="1">
        <f t="array" aca="1" ref="S77" ca="1">REFERENCIA.Unidade</f>
        <v>-</v>
      </c>
      <c r="T77" s="122">
        <f ca="1">OFFSET(CÁLCULO!H$15,ROW($T77)-ROW(T$15),0)</f>
        <v>0</v>
      </c>
      <c r="U77" s="123"/>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IF($C77="S",IF(OR(Import.TipoArredondamento&lt;&gt;"TransfereGOV",ACOMPANHAMENTO="BM"),VTOTAL1,SUM(OFFSET(CÁLCULO!$AA$15,ROW($X77)-ROW($X$15),1):OFFSET(CÁLCULO!$AL$15,ROW($X77)-ROW($X$15),-1))),IF($C77=0,0,ROUND(SomaAgrup,15-13*$AF$11)))</f>
        <v>92026.26</v>
      </c>
      <c r="Y77" s="126" t="s">
        <v>751</v>
      </c>
      <c r="Z77" t="str">
        <f t="shared" ca="1" si="13"/>
        <v/>
      </c>
      <c r="AA77" s="127" cm="1">
        <f t="array" aca="1" ref="AA77" ca="1">IF($C77="S",IF($Z77="CP",$X77,IF($Z77="RA",(($X77)*QCI!$AA$3),0)),SomaAgrup)</f>
        <v>43015.628983872637</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b" cm="1">
        <f t="array" aca="1" ref="AE77" ca="1">IF(AND($C77="S",ORÇAMENTO.CodBarra&lt;&gt;""),IF(ORÇAMENTO.Fonte="",ORÇAMENTO.CodBarra,CONCATENATE(ORÇAMENTO.Fonte," ",ORÇAMENTO.CodBarra)))</f>
        <v>0</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(Sem Código)</v>
      </c>
      <c r="AG77" s="428" cm="1">
        <f t="array" aca="1" ref="AG77" ca="1">ROUND(IF(DESONERACAO="sim",REFERENCIA.Desonerado,REFERENCIA.NaoDesonerado),2)</f>
        <v>0</v>
      </c>
      <c r="AH77" s="429">
        <f t="shared" ca="1" si="14"/>
        <v>0.22470000000000001</v>
      </c>
      <c r="AJ77" s="431"/>
      <c r="AL77" s="439"/>
      <c r="AM77" s="336">
        <f t="shared" ca="1" si="23"/>
        <v>92026.26</v>
      </c>
      <c r="AN77" s="470" cm="1">
        <f t="array" aca="1" ref="AN77" ca="1">ROUND(ORÇAMENTO.CustoUnitario*(1+$AH77),2)</f>
        <v>0</v>
      </c>
    </row>
    <row r="78" spans="1:40" ht="51" x14ac:dyDescent="0.2">
      <c r="A78" t="str">
        <f t="shared" si="1"/>
        <v>S</v>
      </c>
      <c r="B78">
        <f t="shared" ca="1" si="2"/>
        <v>3</v>
      </c>
      <c r="C78" t="str">
        <f t="shared" ca="1" si="3"/>
        <v>S</v>
      </c>
      <c r="D78">
        <f t="shared" ca="1" si="4"/>
        <v>0</v>
      </c>
      <c r="E78">
        <f ca="1">IF($C78=1,OFFSET(E78,-1,0)+MAX(1,COUNTIF(QCI!$A$13:$A$24,OFFSET(ORÇAMENTO!E78,-1,0))),OFFSET(E78,-1,0))</f>
        <v>1</v>
      </c>
      <c r="F78">
        <f t="shared" ca="1" si="5"/>
        <v>4</v>
      </c>
      <c r="G78">
        <f t="shared" ca="1" si="6"/>
        <v>9</v>
      </c>
      <c r="H78">
        <f t="shared" ca="1" si="7"/>
        <v>0</v>
      </c>
      <c r="I78">
        <f t="shared" ca="1" si="8"/>
        <v>1</v>
      </c>
      <c r="J78">
        <f t="shared" ca="1" si="24"/>
        <v>0</v>
      </c>
      <c r="K78">
        <f ca="1">IF(OR($C78="S",$C78=0),0,MATCH(OFFSET($D78,0,$C78)+IF($C78&lt;&gt;1,1,COUNTIF(QCI!$A$13:$A$24,ORÇAMENTO!E78)),OFFSET($D78,1,$C78,ROW($C$240)-ROW($C78)),0))</f>
        <v>0</v>
      </c>
      <c r="L78" s="114" t="str">
        <f t="shared" ca="1" si="10"/>
        <v>F</v>
      </c>
      <c r="M78" s="115" t="s">
        <v>705</v>
      </c>
      <c r="N78" s="116" t="str">
        <f t="shared" ca="1" si="11"/>
        <v>Serviço</v>
      </c>
      <c r="O78" s="117" t="str">
        <f t="shared" ca="1" si="12"/>
        <v>1.4.9.0.1.</v>
      </c>
      <c r="P78" s="118" t="s">
        <v>750</v>
      </c>
      <c r="Q78" s="119" t="s">
        <v>1179</v>
      </c>
      <c r="R78" s="120" t="str" cm="1">
        <f t="array" aca="1" ref="R78" ca="1">IF($C78="S",REFERENCIA.Descricao,"(digite a descrição aqui)")</f>
        <v>MONTAGEM E DESMONTAGEM DE FÔRMA DE PILARES RETANGULARES E ESTRUTURAS SIMILARES, PÉ-DIREITO SIMPLES, EM CHAPA DE MADEIRA COMPENSADA PLASTIFICADA, 14 UTILIZAÇÕES. AF_09/2020</v>
      </c>
      <c r="S78" s="121" t="str" cm="1">
        <f t="array" aca="1" ref="S78" ca="1">REFERENCIA.Unidade</f>
        <v>M2</v>
      </c>
      <c r="T78" s="122">
        <f ca="1">OFFSET(CÁLCULO!H$15,ROW($T78)-ROW(T$15),0)</f>
        <v>53.93</v>
      </c>
      <c r="U78" s="123">
        <f t="shared" ref="U78:U81" ca="1" si="28">AG78</f>
        <v>62.85</v>
      </c>
      <c r="V78" s="124" t="s">
        <v>663</v>
      </c>
      <c r="W78" s="122" cm="1">
        <f t="array" aca="1" ref="W78" ca="1">IF($C78="S",ROUND(IF(TIPOORCAMENTO="Proposto",ORÇAMENTO.CustoUnitario*(1+$AH78),ORÇAMENTO.PrecoUnitarioLicitado),15-13*$AF$10),0)</f>
        <v>76.97</v>
      </c>
      <c r="X78" s="125" cm="1">
        <f t="array" aca="1" ref="X78" ca="1">IF($C78="S",IF(OR(Import.TipoArredondamento&lt;&gt;"TransfereGOV",ACOMPANHAMENTO="BM"),VTOTAL1,SUM(OFFSET(CÁLCULO!$AA$15,ROW($X78)-ROW($X$15),1):OFFSET(CÁLCULO!$AL$15,ROW($X78)-ROW($X$15),-1))),IF($C78=0,0,ROUND(SomaAgrup,15-13*$AF$11)))</f>
        <v>4150.99</v>
      </c>
      <c r="Y78" s="126" t="s">
        <v>751</v>
      </c>
      <c r="Z78" t="str">
        <f t="shared" ca="1" si="13"/>
        <v>RA</v>
      </c>
      <c r="AA78" s="127" cm="1">
        <f t="array" aca="1" ref="AA78" ca="1">IF($C78="S",IF($Z78="CP",$X78,IF($Z78="RA",(($X78)*QCI!$AA$3),0)),SomaAgrup)</f>
        <v>1940.2879760164706</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cm="1">
        <f t="array" aca="1" ref="AE78" ca="1">IF(AND($C78="S",ORÇAMENTO.CodBarra&lt;&gt;""),IF(ORÇAMENTO.Fonte="",ORÇAMENTO.CodBarra,CONCATENATE(ORÇAMENTO.Fonte," ",ORÇAMENTO.CodBarra)))</f>
        <v>SINAPI 92439</v>
      </c>
      <c r="AF78" s="12"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10233</v>
      </c>
      <c r="AG78" s="428" cm="1">
        <f t="array" aca="1" ref="AG78" ca="1">ROUND(IF(DESONERACAO="sim",REFERENCIA.Desonerado,REFERENCIA.NaoDesonerado),2)</f>
        <v>62.85</v>
      </c>
      <c r="AH78" s="429">
        <f t="shared" ca="1" si="14"/>
        <v>0.22470000000000001</v>
      </c>
      <c r="AJ78" s="431">
        <v>53.93</v>
      </c>
      <c r="AL78" s="439"/>
      <c r="AM78" s="336">
        <f t="shared" ca="1" si="23"/>
        <v>4150.99</v>
      </c>
      <c r="AN78" s="470" cm="1">
        <f t="array" aca="1" ref="AN78" ca="1">ROUND(ORÇAMENTO.CustoUnitario*(1+$AH78),2)</f>
        <v>76.97</v>
      </c>
    </row>
    <row r="79" spans="1:40" ht="38.25" x14ac:dyDescent="0.2">
      <c r="A79" t="str">
        <f t="shared" si="1"/>
        <v>S</v>
      </c>
      <c r="B79">
        <f t="shared" ca="1" si="2"/>
        <v>3</v>
      </c>
      <c r="C79" t="str">
        <f t="shared" ca="1" si="3"/>
        <v>S</v>
      </c>
      <c r="D79">
        <f t="shared" ca="1" si="4"/>
        <v>0</v>
      </c>
      <c r="E79">
        <f ca="1">IF($C79=1,OFFSET(E79,-1,0)+MAX(1,COUNTIF(QCI!$A$13:$A$24,OFFSET(ORÇAMENTO!E79,-1,0))),OFFSET(E79,-1,0))</f>
        <v>1</v>
      </c>
      <c r="F79">
        <f t="shared" ca="1" si="5"/>
        <v>4</v>
      </c>
      <c r="G79">
        <f t="shared" ca="1" si="6"/>
        <v>9</v>
      </c>
      <c r="H79">
        <f t="shared" ca="1" si="7"/>
        <v>0</v>
      </c>
      <c r="I79">
        <f t="shared" ca="1" si="8"/>
        <v>2</v>
      </c>
      <c r="J79">
        <f t="shared" ref="J79:J110" ca="1" si="29">IF(OR($C79="S",$C79=0),0,MATCH(0,OFFSET($D79,1,$C79,ROW($C$240)-ROW($C79)),0))</f>
        <v>0</v>
      </c>
      <c r="K79">
        <f ca="1">IF(OR($C79="S",$C79=0),0,MATCH(OFFSET($D79,0,$C79)+IF($C79&lt;&gt;1,1,COUNTIF(QCI!$A$13:$A$24,ORÇAMENTO!E79)),OFFSET($D79,1,$C79,ROW($C$240)-ROW($C79)),0))</f>
        <v>0</v>
      </c>
      <c r="L79" s="114" t="str">
        <f t="shared" ca="1" si="10"/>
        <v>F</v>
      </c>
      <c r="M79" s="115" t="s">
        <v>705</v>
      </c>
      <c r="N79" s="116" t="str">
        <f t="shared" ca="1" si="11"/>
        <v>Serviço</v>
      </c>
      <c r="O79" s="117" t="str">
        <f t="shared" ca="1" si="12"/>
        <v>1.4.9.0.2.</v>
      </c>
      <c r="P79" s="118" t="s">
        <v>750</v>
      </c>
      <c r="Q79" s="119" t="s">
        <v>1176</v>
      </c>
      <c r="R79" s="120" t="str" cm="1">
        <f t="array" aca="1" ref="R79" ca="1">IF($C79="S",REFERENCIA.Descricao,"(digite a descrição aqui)")</f>
        <v>ARMAÇÃO DE PILAR OU VIGA DE ESTRUTURA DE CONCRETO ARMADO EMBUTIDA EM ALVENARIA DE VEDAÇÃO UTILIZANDO AÇO CA-60 DE 5,0 MM - MONTAGEM. AF_06/2022</v>
      </c>
      <c r="S79" s="121" t="str" cm="1">
        <f t="array" aca="1" ref="S79" ca="1">REFERENCIA.Unidade</f>
        <v>KG</v>
      </c>
      <c r="T79" s="122">
        <f ca="1">OFFSET(CÁLCULO!H$15,ROW($T79)-ROW(T$15),0)</f>
        <v>859.8</v>
      </c>
      <c r="U79" s="123">
        <f t="shared" ca="1" si="28"/>
        <v>21.4</v>
      </c>
      <c r="V79" s="124" t="s">
        <v>663</v>
      </c>
      <c r="W79" s="122" cm="1">
        <f t="array" aca="1" ref="W79" ca="1">IF($C79="S",ROUND(IF(TIPOORCAMENTO="Proposto",ORÇAMENTO.CustoUnitario*(1+$AH79),ORÇAMENTO.PrecoUnitarioLicitado),15-13*$AF$10),0)</f>
        <v>26.21</v>
      </c>
      <c r="X79" s="125" cm="1">
        <f t="array" aca="1" ref="X79" ca="1">IF($C79="S",IF(OR(Import.TipoArredondamento&lt;&gt;"TransfereGOV",ACOMPANHAMENTO="BM"),VTOTAL1,SUM(OFFSET(CÁLCULO!$AA$15,ROW($X79)-ROW($X$15),1):OFFSET(CÁLCULO!$AL$15,ROW($X79)-ROW($X$15),-1))),IF($C79=0,0,ROUND(SomaAgrup,15-13*$AF$11)))</f>
        <v>22535.360000000001</v>
      </c>
      <c r="Y79" s="126" t="s">
        <v>751</v>
      </c>
      <c r="Z79" t="str">
        <f t="shared" ca="1" si="13"/>
        <v>RA</v>
      </c>
      <c r="AA79" s="127" cm="1">
        <f t="array" aca="1" ref="AA79" ca="1">IF($C79="S",IF($Z79="CP",$X79,IF($Z79="RA",(($X79)*QCI!$AA$3),0)),SomaAgrup)</f>
        <v>10533.65294621344</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cm="1">
        <f t="array" aca="1" ref="AE79" ca="1">IF(AND($C79="S",ORÇAMENTO.CodBarra&lt;&gt;""),IF(ORÇAMENTO.Fonte="",ORÇAMENTO.CodBarra,CONCATENATE(ORÇAMENTO.Fonte," ",ORÇAMENTO.CodBarra)))</f>
        <v>SINAPI 104111</v>
      </c>
      <c r="AF79" s="12"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6335</v>
      </c>
      <c r="AG79" s="428" cm="1">
        <f t="array" aca="1" ref="AG79" ca="1">ROUND(IF(DESONERACAO="sim",REFERENCIA.Desonerado,REFERENCIA.NaoDesonerado),2)</f>
        <v>21.4</v>
      </c>
      <c r="AH79" s="429">
        <f t="shared" ca="1" si="14"/>
        <v>0.22470000000000001</v>
      </c>
      <c r="AJ79" s="431">
        <v>859.8</v>
      </c>
      <c r="AL79" s="439"/>
      <c r="AM79" s="336">
        <f t="shared" ca="1" si="23"/>
        <v>22535.360000000001</v>
      </c>
      <c r="AN79" s="470" cm="1">
        <f t="array" aca="1" ref="AN79" ca="1">ROUND(ORÇAMENTO.CustoUnitario*(1+$AH79),2)</f>
        <v>26.21</v>
      </c>
    </row>
    <row r="80" spans="1:40" ht="38.25" x14ac:dyDescent="0.2">
      <c r="A80" t="str">
        <f t="shared" si="1"/>
        <v>S</v>
      </c>
      <c r="B80">
        <f t="shared" ca="1" si="2"/>
        <v>3</v>
      </c>
      <c r="C80" t="str">
        <f t="shared" ca="1" si="3"/>
        <v>S</v>
      </c>
      <c r="D80">
        <f t="shared" ca="1" si="4"/>
        <v>0</v>
      </c>
      <c r="E80">
        <f ca="1">IF($C80=1,OFFSET(E80,-1,0)+MAX(1,COUNTIF(QCI!$A$13:$A$24,OFFSET(ORÇAMENTO!E80,-1,0))),OFFSET(E80,-1,0))</f>
        <v>1</v>
      </c>
      <c r="F80">
        <f t="shared" ca="1" si="5"/>
        <v>4</v>
      </c>
      <c r="G80">
        <f t="shared" ca="1" si="6"/>
        <v>9</v>
      </c>
      <c r="H80">
        <f t="shared" ca="1" si="7"/>
        <v>0</v>
      </c>
      <c r="I80">
        <f t="shared" ca="1" si="8"/>
        <v>3</v>
      </c>
      <c r="J80">
        <f t="shared" ca="1" si="29"/>
        <v>0</v>
      </c>
      <c r="K80">
        <f ca="1">IF(OR($C80="S",$C80=0),0,MATCH(OFFSET($D80,0,$C80)+IF($C80&lt;&gt;1,1,COUNTIF(QCI!$A$13:$A$24,ORÇAMENTO!E80)),OFFSET($D80,1,$C80,ROW($C$240)-ROW($C80)),0))</f>
        <v>0</v>
      </c>
      <c r="L80" s="114" t="str">
        <f t="shared" ca="1" si="10"/>
        <v>F</v>
      </c>
      <c r="M80" s="115" t="s">
        <v>705</v>
      </c>
      <c r="N80" s="116" t="str">
        <f t="shared" ca="1" si="11"/>
        <v>Serviço</v>
      </c>
      <c r="O80" s="117" t="str">
        <f t="shared" ca="1" si="12"/>
        <v>1.4.9.0.3.</v>
      </c>
      <c r="P80" s="118" t="s">
        <v>750</v>
      </c>
      <c r="Q80" s="119" t="s">
        <v>1177</v>
      </c>
      <c r="R80" s="120" t="str" cm="1">
        <f t="array" aca="1" ref="R80" ca="1">IF($C80="S",REFERENCIA.Descricao,"(digite a descrição aqui)")</f>
        <v>ARMAÇÃO DE PILAR OU VIGA DE ESTRUTURA DE CONCRETO ARMADO EMBUTIDA EM ALVENARIA DE VEDAÇÃO UTILIZANDO AÇO CA-50 DE 10,0 MM - MONTAGEM. AF_06/2022</v>
      </c>
      <c r="S80" s="121" t="str" cm="1">
        <f t="array" aca="1" ref="S80" ca="1">REFERENCIA.Unidade</f>
        <v>KG</v>
      </c>
      <c r="T80" s="122">
        <f ca="1">OFFSET(CÁLCULO!H$15,ROW($T80)-ROW(T$15),0)</f>
        <v>2116.5</v>
      </c>
      <c r="U80" s="123">
        <f t="shared" ca="1" si="28"/>
        <v>13.18</v>
      </c>
      <c r="V80" s="124" t="s">
        <v>663</v>
      </c>
      <c r="W80" s="122" cm="1">
        <f t="array" aca="1" ref="W80" ca="1">IF($C80="S",ROUND(IF(TIPOORCAMENTO="Proposto",ORÇAMENTO.CustoUnitario*(1+$AH80),ORÇAMENTO.PrecoUnitarioLicitado),15-13*$AF$10),0)</f>
        <v>16.14</v>
      </c>
      <c r="X80" s="125" cm="1">
        <f t="array" aca="1" ref="X80" ca="1">IF($C80="S",IF(OR(Import.TipoArredondamento&lt;&gt;"TransfereGOV",ACOMPANHAMENTO="BM"),VTOTAL1,SUM(OFFSET(CÁLCULO!$AA$15,ROW($X80)-ROW($X$15),1):OFFSET(CÁLCULO!$AL$15,ROW($X80)-ROW($X$15),-1))),IF($C80=0,0,ROUND(SomaAgrup,15-13*$AF$11)))</f>
        <v>34160.31</v>
      </c>
      <c r="Y80" s="126" t="s">
        <v>751</v>
      </c>
      <c r="Z80" t="str">
        <f t="shared" ca="1" si="13"/>
        <v>RA</v>
      </c>
      <c r="AA80" s="127" cm="1">
        <f t="array" aca="1" ref="AA80" ca="1">IF($C80="S",IF($Z80="CP",$X80,IF($Z80="RA",(($X80)*QCI!$AA$3),0)),SomaAgrup)</f>
        <v>15967.477336730562</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cm="1">
        <f t="array" aca="1" ref="AE80" ca="1">IF(AND($C80="S",ORÇAMENTO.CodBarra&lt;&gt;""),IF(ORÇAMENTO.Fonte="",ORÇAMENTO.CodBarra,CONCATENATE(ORÇAMENTO.Fonte," ",ORÇAMENTO.CodBarra)))</f>
        <v>SINAPI 104108</v>
      </c>
      <c r="AF80" s="12"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6330</v>
      </c>
      <c r="AG80" s="428" cm="1">
        <f t="array" aca="1" ref="AG80" ca="1">ROUND(IF(DESONERACAO="sim",REFERENCIA.Desonerado,REFERENCIA.NaoDesonerado),2)</f>
        <v>13.18</v>
      </c>
      <c r="AH80" s="429">
        <f t="shared" ca="1" si="14"/>
        <v>0.22470000000000001</v>
      </c>
      <c r="AJ80" s="431">
        <v>2116.5</v>
      </c>
      <c r="AL80" s="439"/>
      <c r="AM80" s="336">
        <f t="shared" ca="1" si="23"/>
        <v>34160.31</v>
      </c>
      <c r="AN80" s="470" cm="1">
        <f t="array" aca="1" ref="AN80" ca="1">ROUND(ORÇAMENTO.CustoUnitario*(1+$AH80),2)</f>
        <v>16.14</v>
      </c>
    </row>
    <row r="81" spans="1:40" ht="25.5" x14ac:dyDescent="0.2">
      <c r="A81" t="str">
        <f t="shared" si="1"/>
        <v>S</v>
      </c>
      <c r="B81">
        <f t="shared" ca="1" si="2"/>
        <v>3</v>
      </c>
      <c r="C81" t="str">
        <f t="shared" ca="1" si="3"/>
        <v>S</v>
      </c>
      <c r="D81">
        <f t="shared" ca="1" si="4"/>
        <v>0</v>
      </c>
      <c r="E81">
        <f ca="1">IF($C81=1,OFFSET(E81,-1,0)+MAX(1,COUNTIF(QCI!$A$13:$A$24,OFFSET(ORÇAMENTO!E81,-1,0))),OFFSET(E81,-1,0))</f>
        <v>1</v>
      </c>
      <c r="F81">
        <f t="shared" ca="1" si="5"/>
        <v>4</v>
      </c>
      <c r="G81">
        <f t="shared" ca="1" si="6"/>
        <v>9</v>
      </c>
      <c r="H81">
        <f t="shared" ca="1" si="7"/>
        <v>0</v>
      </c>
      <c r="I81">
        <f t="shared" ca="1" si="8"/>
        <v>4</v>
      </c>
      <c r="J81">
        <f t="shared" ca="1" si="29"/>
        <v>0</v>
      </c>
      <c r="K81">
        <f ca="1">IF(OR($C81="S",$C81=0),0,MATCH(OFFSET($D81,0,$C81)+IF($C81&lt;&gt;1,1,COUNTIF(QCI!$A$13:$A$24,ORÇAMENTO!E81)),OFFSET($D81,1,$C81,ROW($C$240)-ROW($C81)),0))</f>
        <v>0</v>
      </c>
      <c r="L81" s="114" t="str">
        <f t="shared" ca="1" si="10"/>
        <v>F</v>
      </c>
      <c r="M81" s="115" t="s">
        <v>705</v>
      </c>
      <c r="N81" s="116" t="str">
        <f t="shared" ca="1" si="11"/>
        <v>Serviço</v>
      </c>
      <c r="O81" s="117" t="str">
        <f t="shared" ca="1" si="12"/>
        <v>1.4.9.0.4.</v>
      </c>
      <c r="P81" s="118" t="s">
        <v>750</v>
      </c>
      <c r="Q81" s="119" t="s">
        <v>1178</v>
      </c>
      <c r="R81" s="120" t="str" cm="1">
        <f t="array" aca="1" ref="R81" ca="1">IF($C81="S",REFERENCIA.Descricao,"(digite a descrição aqui)")</f>
        <v>CONCRETAGEM DE PILARES, FCK = 25 MPA, COM USO DE BOMBA - LANÇAMENTO, ADENSAMENTO E ACABAMENTO. AF_02/2022_PS</v>
      </c>
      <c r="S81" s="121" t="str" cm="1">
        <f t="array" aca="1" ref="S81" ca="1">REFERENCIA.Unidade</f>
        <v>M3</v>
      </c>
      <c r="T81" s="122">
        <f ca="1">OFFSET(CÁLCULO!H$15,ROW($T81)-ROW(T$15),0)</f>
        <v>36</v>
      </c>
      <c r="U81" s="123">
        <f t="shared" ca="1" si="28"/>
        <v>707.19</v>
      </c>
      <c r="V81" s="124" t="s">
        <v>663</v>
      </c>
      <c r="W81" s="122" cm="1">
        <f t="array" aca="1" ref="W81" ca="1">IF($C81="S",ROUND(IF(TIPOORCAMENTO="Proposto",ORÇAMENTO.CustoUnitario*(1+$AH81),ORÇAMENTO.PrecoUnitarioLicitado),15-13*$AF$10),0)</f>
        <v>866.1</v>
      </c>
      <c r="X81" s="125" cm="1">
        <f t="array" aca="1" ref="X81" ca="1">IF($C81="S",IF(OR(Import.TipoArredondamento&lt;&gt;"TransfereGOV",ACOMPANHAMENTO="BM"),VTOTAL1,SUM(OFFSET(CÁLCULO!$AA$15,ROW($X81)-ROW($X$15),1):OFFSET(CÁLCULO!$AL$15,ROW($X81)-ROW($X$15),-1))),IF($C81=0,0,ROUND(SomaAgrup,15-13*$AF$11)))</f>
        <v>31179.599999999999</v>
      </c>
      <c r="Y81" s="126" t="s">
        <v>751</v>
      </c>
      <c r="Z81" t="str">
        <f t="shared" ca="1" si="13"/>
        <v>RA</v>
      </c>
      <c r="AA81" s="127" cm="1">
        <f t="array" aca="1" ref="AA81" ca="1">IF($C81="S",IF($Z81="CP",$X81,IF($Z81="RA",(($X81)*QCI!$AA$3),0)),SomaAgrup)</f>
        <v>14574.210724912164</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cm="1">
        <f t="array" aca="1" ref="AE81" ca="1">IF(AND($C81="S",ORÇAMENTO.CodBarra&lt;&gt;""),IF(ORÇAMENTO.Fonte="",ORÇAMENTO.CodBarra,CONCATENATE(ORÇAMENTO.Fonte," ",ORÇAMENTO.CodBarra)))</f>
        <v>SINAPI 103672</v>
      </c>
      <c r="AF81" s="12"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7346</v>
      </c>
      <c r="AG81" s="428" cm="1">
        <f t="array" aca="1" ref="AG81" ca="1">ROUND(IF(DESONERACAO="sim",REFERENCIA.Desonerado,REFERENCIA.NaoDesonerado),2)</f>
        <v>707.19</v>
      </c>
      <c r="AH81" s="429">
        <f t="shared" ca="1" si="14"/>
        <v>0.22470000000000001</v>
      </c>
      <c r="AJ81" s="431">
        <v>36</v>
      </c>
      <c r="AL81" s="439"/>
      <c r="AM81" s="336">
        <f t="shared" ca="1" si="23"/>
        <v>31179.599999999999</v>
      </c>
      <c r="AN81" s="470" cm="1">
        <f t="array" aca="1" ref="AN81" ca="1">ROUND(ORÇAMENTO.CustoUnitario*(1+$AH81),2)</f>
        <v>866.1</v>
      </c>
    </row>
    <row r="82" spans="1:40" x14ac:dyDescent="0.2">
      <c r="A82">
        <f t="shared" si="1"/>
        <v>3</v>
      </c>
      <c r="B82">
        <f t="shared" ca="1" si="2"/>
        <v>3</v>
      </c>
      <c r="C82">
        <f t="shared" ca="1" si="3"/>
        <v>3</v>
      </c>
      <c r="D82">
        <f t="shared" ca="1" si="4"/>
        <v>7</v>
      </c>
      <c r="E82">
        <f ca="1">IF($C82=1,OFFSET(E82,-1,0)+MAX(1,COUNTIF(QCI!$A$13:$A$24,OFFSET(ORÇAMENTO!E82,-1,0))),OFFSET(E82,-1,0))</f>
        <v>1</v>
      </c>
      <c r="F82">
        <f t="shared" ca="1" si="5"/>
        <v>4</v>
      </c>
      <c r="G82">
        <f t="shared" ca="1" si="6"/>
        <v>10</v>
      </c>
      <c r="H82">
        <f t="shared" ca="1" si="7"/>
        <v>0</v>
      </c>
      <c r="I82">
        <f t="shared" ca="1" si="8"/>
        <v>0</v>
      </c>
      <c r="J82">
        <f t="shared" ca="1" si="29"/>
        <v>21</v>
      </c>
      <c r="K82">
        <f ca="1">IF(OR($C82="S",$C82=0),0,MATCH(OFFSET($D82,0,$C82)+IF($C82&lt;&gt;1,1,COUNTIF(QCI!$A$13:$A$24,ORÇAMENTO!E82)),OFFSET($D82,1,$C82,ROW($C$240)-ROW($C82)),0))</f>
        <v>7</v>
      </c>
      <c r="L82" s="114" t="str">
        <f t="shared" ca="1" si="10"/>
        <v>F</v>
      </c>
      <c r="M82" s="115" t="s">
        <v>703</v>
      </c>
      <c r="N82" s="116" t="str">
        <f t="shared" ca="1" si="11"/>
        <v>Nível 3</v>
      </c>
      <c r="O82" s="117" t="str">
        <f t="shared" ca="1" si="12"/>
        <v>1.4.10.</v>
      </c>
      <c r="P82" s="118" t="s">
        <v>750</v>
      </c>
      <c r="Q82" s="119"/>
      <c r="R82" s="120" t="s">
        <v>1029</v>
      </c>
      <c r="S82" s="121" t="str" cm="1">
        <f t="array" aca="1" ref="S82" ca="1">REFERENCIA.Unidade</f>
        <v>-</v>
      </c>
      <c r="T82" s="122">
        <f ca="1">OFFSET(CÁLCULO!H$15,ROW($T82)-ROW(T$15),0)</f>
        <v>0</v>
      </c>
      <c r="U82" s="123"/>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IF($C82="S",IF(OR(Import.TipoArredondamento&lt;&gt;"TransfereGOV",ACOMPANHAMENTO="BM"),VTOTAL1,SUM(OFFSET(CÁLCULO!$AA$15,ROW($X82)-ROW($X$15),1):OFFSET(CÁLCULO!$AL$15,ROW($X82)-ROW($X$15),-1))),IF($C82=0,0,ROUND(SomaAgrup,15-13*$AF$11)))</f>
        <v>111624.12</v>
      </c>
      <c r="Y82" s="126" t="s">
        <v>751</v>
      </c>
      <c r="Z82" t="str">
        <f t="shared" ca="1" si="13"/>
        <v/>
      </c>
      <c r="AA82" s="127" cm="1">
        <f t="array" aca="1" ref="AA82" ca="1">IF($C82="S",IF($Z82="CP",$X82,IF($Z82="RA",(($X82)*QCI!$AA$3),0)),SomaAgrup)</f>
        <v>52176.212871970216</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b" cm="1">
        <f t="array" aca="1" ref="AE82" ca="1">IF(AND($C82="S",ORÇAMENTO.CodBarra&lt;&gt;""),IF(ORÇAMENTO.Fonte="",ORÇAMENTO.CodBarra,CONCATENATE(ORÇAMENTO.Fonte," ",ORÇAMENTO.CodBarra)))</f>
        <v>0</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(Sem Código)</v>
      </c>
      <c r="AG82" s="428" cm="1">
        <f t="array" aca="1" ref="AG82" ca="1">ROUND(IF(DESONERACAO="sim",REFERENCIA.Desonerado,REFERENCIA.NaoDesonerado),2)</f>
        <v>0</v>
      </c>
      <c r="AH82" s="429">
        <f t="shared" ca="1" si="14"/>
        <v>0.22470000000000001</v>
      </c>
      <c r="AJ82" s="431"/>
      <c r="AL82" s="439"/>
      <c r="AM82" s="336">
        <f t="shared" ca="1" si="23"/>
        <v>111624.12</v>
      </c>
      <c r="AN82" s="470" cm="1">
        <f t="array" aca="1" ref="AN82" ca="1">ROUND(ORÇAMENTO.CustoUnitario*(1+$AH82),2)</f>
        <v>0</v>
      </c>
    </row>
    <row r="83" spans="1:40" ht="38.25" x14ac:dyDescent="0.2">
      <c r="A83" t="str">
        <f t="shared" si="1"/>
        <v>S</v>
      </c>
      <c r="B83">
        <f t="shared" ca="1" si="2"/>
        <v>3</v>
      </c>
      <c r="C83" t="str">
        <f t="shared" ca="1" si="3"/>
        <v>S</v>
      </c>
      <c r="D83">
        <f t="shared" ca="1" si="4"/>
        <v>0</v>
      </c>
      <c r="E83">
        <f ca="1">IF($C83=1,OFFSET(E83,-1,0)+MAX(1,COUNTIF(QCI!$A$13:$A$24,OFFSET(ORÇAMENTO!E83,-1,0))),OFFSET(E83,-1,0))</f>
        <v>1</v>
      </c>
      <c r="F83">
        <f t="shared" ca="1" si="5"/>
        <v>4</v>
      </c>
      <c r="G83">
        <f t="shared" ca="1" si="6"/>
        <v>10</v>
      </c>
      <c r="H83">
        <f t="shared" ca="1" si="7"/>
        <v>0</v>
      </c>
      <c r="I83">
        <f t="shared" ca="1" si="8"/>
        <v>1</v>
      </c>
      <c r="J83">
        <f t="shared" ca="1" si="29"/>
        <v>0</v>
      </c>
      <c r="K83">
        <f ca="1">IF(OR($C83="S",$C83=0),0,MATCH(OFFSET($D83,0,$C83)+IF($C83&lt;&gt;1,1,COUNTIF(QCI!$A$13:$A$24,ORÇAMENTO!E83)),OFFSET($D83,1,$C83,ROW($C$240)-ROW($C83)),0))</f>
        <v>0</v>
      </c>
      <c r="L83" s="114" t="str">
        <f t="shared" ca="1" si="10"/>
        <v>F</v>
      </c>
      <c r="M83" s="115" t="s">
        <v>705</v>
      </c>
      <c r="N83" s="116" t="str">
        <f t="shared" ca="1" si="11"/>
        <v>Serviço</v>
      </c>
      <c r="O83" s="117" t="str">
        <f t="shared" ca="1" si="12"/>
        <v>1.4.10.0.1.</v>
      </c>
      <c r="P83" s="118" t="s">
        <v>750</v>
      </c>
      <c r="Q83" s="119" t="s">
        <v>1180</v>
      </c>
      <c r="R83" s="120" t="str" cm="1">
        <f t="array" aca="1" ref="R83" ca="1">IF($C83="S",REFERENCIA.Descricao,"(digite a descrição aqui)")</f>
        <v>MONTAGEM E DESMONTAGEM DE FÔRMA DE VIGA, ESCORAMENTO COM GARFO DE MADEIRA, PÉ-DIREITO SIMPLES, EM CHAPA DE MADEIRA PLASTIFICADA, 18 UTILIZAÇÕES. AF_09/2020</v>
      </c>
      <c r="S83" s="121" t="str" cm="1">
        <f t="array" aca="1" ref="S83" ca="1">REFERENCIA.Unidade</f>
        <v>M2</v>
      </c>
      <c r="T83" s="122">
        <f ca="1">OFFSET(CÁLCULO!H$15,ROW($T83)-ROW(T$15),0)</f>
        <v>6.86</v>
      </c>
      <c r="U83" s="123">
        <f t="shared" ref="U83:U88" ca="1" si="30">AG83</f>
        <v>72.22</v>
      </c>
      <c r="V83" s="124" t="s">
        <v>663</v>
      </c>
      <c r="W83" s="122" cm="1">
        <f t="array" aca="1" ref="W83" ca="1">IF($C83="S",ROUND(IF(TIPOORCAMENTO="Proposto",ORÇAMENTO.CustoUnitario*(1+$AH83),ORÇAMENTO.PrecoUnitarioLicitado),15-13*$AF$10),0)</f>
        <v>88.45</v>
      </c>
      <c r="X83" s="125" cm="1">
        <f t="array" aca="1" ref="X83" ca="1">IF($C83="S",IF(OR(Import.TipoArredondamento&lt;&gt;"TransfereGOV",ACOMPANHAMENTO="BM"),VTOTAL1,SUM(OFFSET(CÁLCULO!$AA$15,ROW($X83)-ROW($X$15),1):OFFSET(CÁLCULO!$AL$15,ROW($X83)-ROW($X$15),-1))),IF($C83=0,0,ROUND(SomaAgrup,15-13*$AF$11)))</f>
        <v>606.77</v>
      </c>
      <c r="Y83" s="126" t="s">
        <v>751</v>
      </c>
      <c r="Z83" t="str">
        <f t="shared" ca="1" si="13"/>
        <v>RA</v>
      </c>
      <c r="AA83" s="127" cm="1">
        <f t="array" aca="1" ref="AA83" ca="1">IF($C83="S",IF($Z83="CP",$X83,IF($Z83="RA",(($X83)*QCI!$AA$3),0)),SomaAgrup)</f>
        <v>283.62114464441345</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str" cm="1">
        <f t="array" aca="1" ref="AE83" ca="1">IF(AND($C83="S",ORÇAMENTO.CodBarra&lt;&gt;""),IF(ORÇAMENTO.Fonte="",ORÇAMENTO.CodBarra,CONCATENATE(ORÇAMENTO.Fonte," ",ORÇAMENTO.CodBarra)))</f>
        <v>SINAPI 92479</v>
      </c>
      <c r="AF83" s="12"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10253</v>
      </c>
      <c r="AG83" s="428" cm="1">
        <f t="array" aca="1" ref="AG83" ca="1">ROUND(IF(DESONERACAO="sim",REFERENCIA.Desonerado,REFERENCIA.NaoDesonerado),2)</f>
        <v>72.22</v>
      </c>
      <c r="AH83" s="429">
        <f t="shared" ca="1" si="14"/>
        <v>0.22470000000000001</v>
      </c>
      <c r="AJ83" s="431">
        <v>6.86</v>
      </c>
      <c r="AL83" s="439"/>
      <c r="AM83" s="336">
        <f t="shared" ca="1" si="23"/>
        <v>606.77</v>
      </c>
      <c r="AN83" s="470" cm="1">
        <f t="array" aca="1" ref="AN83" ca="1">ROUND(ORÇAMENTO.CustoUnitario*(1+$AH83),2)</f>
        <v>88.45</v>
      </c>
    </row>
    <row r="84" spans="1:40" ht="38.25" x14ac:dyDescent="0.2">
      <c r="A84" t="str">
        <f t="shared" si="1"/>
        <v>S</v>
      </c>
      <c r="B84">
        <f t="shared" ca="1" si="2"/>
        <v>3</v>
      </c>
      <c r="C84" t="str">
        <f t="shared" ca="1" si="3"/>
        <v>S</v>
      </c>
      <c r="D84">
        <f t="shared" ca="1" si="4"/>
        <v>0</v>
      </c>
      <c r="E84">
        <f ca="1">IF($C84=1,OFFSET(E84,-1,0)+MAX(1,COUNTIF(QCI!$A$13:$A$24,OFFSET(ORÇAMENTO!E84,-1,0))),OFFSET(E84,-1,0))</f>
        <v>1</v>
      </c>
      <c r="F84">
        <f t="shared" ca="1" si="5"/>
        <v>4</v>
      </c>
      <c r="G84">
        <f t="shared" ca="1" si="6"/>
        <v>10</v>
      </c>
      <c r="H84">
        <f t="shared" ca="1" si="7"/>
        <v>0</v>
      </c>
      <c r="I84">
        <f t="shared" ca="1" si="8"/>
        <v>2</v>
      </c>
      <c r="J84">
        <f t="shared" ca="1" si="29"/>
        <v>0</v>
      </c>
      <c r="K84">
        <f ca="1">IF(OR($C84="S",$C84=0),0,MATCH(OFFSET($D84,0,$C84)+IF($C84&lt;&gt;1,1,COUNTIF(QCI!$A$13:$A$24,ORÇAMENTO!E84)),OFFSET($D84,1,$C84,ROW($C$240)-ROW($C84)),0))</f>
        <v>0</v>
      </c>
      <c r="L84" s="114" t="str">
        <f t="shared" ca="1" si="10"/>
        <v>F</v>
      </c>
      <c r="M84" s="115" t="s">
        <v>705</v>
      </c>
      <c r="N84" s="116" t="str">
        <f t="shared" ca="1" si="11"/>
        <v>Serviço</v>
      </c>
      <c r="O84" s="117" t="str">
        <f t="shared" ca="1" si="12"/>
        <v>1.4.10.0.2.</v>
      </c>
      <c r="P84" s="118" t="s">
        <v>750</v>
      </c>
      <c r="Q84" s="119" t="s">
        <v>1182</v>
      </c>
      <c r="R84" s="120" t="str" cm="1">
        <f t="array" aca="1" ref="R84" ca="1">IF($C84="S",REFERENCIA.Descricao,"(digite a descrição aqui)")</f>
        <v>ARMAÇÃO DE PILAR OU VIGA DE ESTRUTURA CONVENCIONAL DE CONCRETO ARMADO UTILIZANDO AÇO CA-60 DE 5,0 MM - MONTAGEM. AF_06/2022</v>
      </c>
      <c r="S84" s="121" t="str" cm="1">
        <f t="array" aca="1" ref="S84" ca="1">REFERENCIA.Unidade</f>
        <v>KG</v>
      </c>
      <c r="T84" s="122">
        <f ca="1">OFFSET(CÁLCULO!H$15,ROW($T84)-ROW(T$15),0)</f>
        <v>1097.52</v>
      </c>
      <c r="U84" s="123">
        <f t="shared" ca="1" si="30"/>
        <v>14.54</v>
      </c>
      <c r="V84" s="124" t="s">
        <v>663</v>
      </c>
      <c r="W84" s="122" cm="1">
        <f t="array" aca="1" ref="W84" ca="1">IF($C84="S",ROUND(IF(TIPOORCAMENTO="Proposto",ORÇAMENTO.CustoUnitario*(1+$AH84),ORÇAMENTO.PrecoUnitarioLicitado),15-13*$AF$10),0)</f>
        <v>17.809999999999999</v>
      </c>
      <c r="X84" s="125" cm="1">
        <f t="array" aca="1" ref="X84" ca="1">IF($C84="S",IF(OR(Import.TipoArredondamento&lt;&gt;"TransfereGOV",ACOMPANHAMENTO="BM"),VTOTAL1,SUM(OFFSET(CÁLCULO!$AA$15,ROW($X84)-ROW($X$15),1):OFFSET(CÁLCULO!$AL$15,ROW($X84)-ROW($X$15),-1))),IF($C84=0,0,ROUND(SomaAgrup,15-13*$AF$11)))</f>
        <v>19546.830000000002</v>
      </c>
      <c r="Y84" s="126" t="s">
        <v>751</v>
      </c>
      <c r="Z84" t="str">
        <f t="shared" ca="1" si="13"/>
        <v>RA</v>
      </c>
      <c r="AA84" s="127" cm="1">
        <f t="array" aca="1" ref="AA84" ca="1">IF($C84="S",IF($Z84="CP",$X84,IF($Z84="RA",(($X84)*QCI!$AA$3),0)),SomaAgrup)</f>
        <v>9136.7310492769266</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cm="1">
        <f t="array" aca="1" ref="AE84" ca="1">IF(AND($C84="S",ORÇAMENTO.CodBarra&lt;&gt;""),IF(ORÇAMENTO.Fonte="",ORÇAMENTO.CodBarra,CONCATENATE(ORÇAMENTO.Fonte," ",ORÇAMENTO.CodBarra)))</f>
        <v>SINAPI 92759</v>
      </c>
      <c r="AF84" s="12"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6329</v>
      </c>
      <c r="AG84" s="428" cm="1">
        <f t="array" aca="1" ref="AG84" ca="1">ROUND(IF(DESONERACAO="sim",REFERENCIA.Desonerado,REFERENCIA.NaoDesonerado),2)</f>
        <v>14.54</v>
      </c>
      <c r="AH84" s="429">
        <f t="shared" ca="1" si="14"/>
        <v>0.22470000000000001</v>
      </c>
      <c r="AJ84" s="431">
        <v>1097.52</v>
      </c>
      <c r="AL84" s="439"/>
      <c r="AM84" s="336">
        <f t="shared" ca="1" si="23"/>
        <v>19546.830000000002</v>
      </c>
      <c r="AN84" s="470" cm="1">
        <f t="array" aca="1" ref="AN84" ca="1">ROUND(ORÇAMENTO.CustoUnitario*(1+$AH84),2)</f>
        <v>17.809999999999999</v>
      </c>
    </row>
    <row r="85" spans="1:40" ht="38.25" x14ac:dyDescent="0.2">
      <c r="A85" t="str">
        <f t="shared" si="1"/>
        <v>S</v>
      </c>
      <c r="B85">
        <f t="shared" ca="1" si="2"/>
        <v>3</v>
      </c>
      <c r="C85" t="str">
        <f t="shared" ca="1" si="3"/>
        <v>S</v>
      </c>
      <c r="D85">
        <f t="shared" ca="1" si="4"/>
        <v>0</v>
      </c>
      <c r="E85">
        <f ca="1">IF($C85=1,OFFSET(E85,-1,0)+MAX(1,COUNTIF(QCI!$A$13:$A$24,OFFSET(ORÇAMENTO!E85,-1,0))),OFFSET(E85,-1,0))</f>
        <v>1</v>
      </c>
      <c r="F85">
        <f t="shared" ca="1" si="5"/>
        <v>4</v>
      </c>
      <c r="G85">
        <f t="shared" ca="1" si="6"/>
        <v>10</v>
      </c>
      <c r="H85">
        <f t="shared" ca="1" si="7"/>
        <v>0</v>
      </c>
      <c r="I85">
        <f t="shared" ca="1" si="8"/>
        <v>3</v>
      </c>
      <c r="J85">
        <f t="shared" ca="1" si="29"/>
        <v>0</v>
      </c>
      <c r="K85">
        <f ca="1">IF(OR($C85="S",$C85=0),0,MATCH(OFFSET($D85,0,$C85)+IF($C85&lt;&gt;1,1,COUNTIF(QCI!$A$13:$A$24,ORÇAMENTO!E85)),OFFSET($D85,1,$C85,ROW($C$240)-ROW($C85)),0))</f>
        <v>0</v>
      </c>
      <c r="L85" s="114" t="str">
        <f t="shared" ca="1" si="10"/>
        <v>F</v>
      </c>
      <c r="M85" s="115" t="s">
        <v>705</v>
      </c>
      <c r="N85" s="116" t="str">
        <f t="shared" ca="1" si="11"/>
        <v>Serviço</v>
      </c>
      <c r="O85" s="117" t="str">
        <f t="shared" ca="1" si="12"/>
        <v>1.4.10.0.3.</v>
      </c>
      <c r="P85" s="118" t="s">
        <v>750</v>
      </c>
      <c r="Q85" s="119" t="s">
        <v>1181</v>
      </c>
      <c r="R85" s="120" t="str" cm="1">
        <f t="array" aca="1" ref="R85" ca="1">IF($C85="S",REFERENCIA.Descricao,"(digite a descrição aqui)")</f>
        <v>ARMAÇÃO DE PILAR OU VIGA DE ESTRUTURA CONVENCIONAL DE CONCRETO ARMADO UTILIZANDO AÇO CA-50 DE 8,0 MM - MONTAGEM. AF_06/2022</v>
      </c>
      <c r="S85" s="121" t="str" cm="1">
        <f t="array" aca="1" ref="S85" ca="1">REFERENCIA.Unidade</f>
        <v>KG</v>
      </c>
      <c r="T85" s="122">
        <f ca="1">OFFSET(CÁLCULO!H$15,ROW($T85)-ROW(T$15),0)</f>
        <v>2304.3000000000002</v>
      </c>
      <c r="U85" s="123">
        <f t="shared" ca="1" si="30"/>
        <v>12.69</v>
      </c>
      <c r="V85" s="124" t="s">
        <v>663</v>
      </c>
      <c r="W85" s="122" cm="1">
        <f t="array" aca="1" ref="W85" ca="1">IF($C85="S",ROUND(IF(TIPOORCAMENTO="Proposto",ORÇAMENTO.CustoUnitario*(1+$AH85),ORÇAMENTO.PrecoUnitarioLicitado),15-13*$AF$10),0)</f>
        <v>15.54</v>
      </c>
      <c r="X85" s="125" cm="1">
        <f t="array" aca="1" ref="X85" ca="1">IF($C85="S",IF(OR(Import.TipoArredondamento&lt;&gt;"TransfereGOV",ACOMPANHAMENTO="BM"),VTOTAL1,SUM(OFFSET(CÁLCULO!$AA$15,ROW($X85)-ROW($X$15),1):OFFSET(CÁLCULO!$AL$15,ROW($X85)-ROW($X$15),-1))),IF($C85=0,0,ROUND(SomaAgrup,15-13*$AF$11)))</f>
        <v>35808.82</v>
      </c>
      <c r="Y85" s="126" t="s">
        <v>751</v>
      </c>
      <c r="Z85" t="str">
        <f t="shared" ca="1" si="13"/>
        <v>RA</v>
      </c>
      <c r="AA85" s="127" cm="1">
        <f t="array" aca="1" ref="AA85" ca="1">IF($C85="S",IF($Z85="CP",$X85,IF($Z85="RA",(($X85)*QCI!$AA$3),0)),SomaAgrup)</f>
        <v>16738.036680728721</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92761</v>
      </c>
      <c r="AF85" s="12"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6328</v>
      </c>
      <c r="AG85" s="428" cm="1">
        <f t="array" aca="1" ref="AG85" ca="1">ROUND(IF(DESONERACAO="sim",REFERENCIA.Desonerado,REFERENCIA.NaoDesonerado),2)</f>
        <v>12.69</v>
      </c>
      <c r="AH85" s="429">
        <f t="shared" ca="1" si="14"/>
        <v>0.22470000000000001</v>
      </c>
      <c r="AJ85" s="431">
        <v>2304.3000000000002</v>
      </c>
      <c r="AL85" s="439"/>
      <c r="AM85" s="336">
        <f t="shared" ca="1" si="23"/>
        <v>35808.82</v>
      </c>
      <c r="AN85" s="470" cm="1">
        <f t="array" aca="1" ref="AN85" ca="1">ROUND(ORÇAMENTO.CustoUnitario*(1+$AH85),2)</f>
        <v>15.54</v>
      </c>
    </row>
    <row r="86" spans="1:40" ht="38.25" x14ac:dyDescent="0.2">
      <c r="A86" t="str">
        <f t="shared" si="1"/>
        <v>S</v>
      </c>
      <c r="B86">
        <f t="shared" ca="1" si="2"/>
        <v>3</v>
      </c>
      <c r="C86" t="str">
        <f t="shared" ca="1" si="3"/>
        <v>S</v>
      </c>
      <c r="D86">
        <f t="shared" ca="1" si="4"/>
        <v>0</v>
      </c>
      <c r="E86">
        <f ca="1">IF($C86=1,OFFSET(E86,-1,0)+MAX(1,COUNTIF(QCI!$A$13:$A$24,OFFSET(ORÇAMENTO!E86,-1,0))),OFFSET(E86,-1,0))</f>
        <v>1</v>
      </c>
      <c r="F86">
        <f t="shared" ca="1" si="5"/>
        <v>4</v>
      </c>
      <c r="G86">
        <f t="shared" ca="1" si="6"/>
        <v>10</v>
      </c>
      <c r="H86">
        <f t="shared" ca="1" si="7"/>
        <v>0</v>
      </c>
      <c r="I86">
        <f t="shared" ca="1" si="8"/>
        <v>4</v>
      </c>
      <c r="J86">
        <f t="shared" ca="1" si="29"/>
        <v>0</v>
      </c>
      <c r="K86">
        <f ca="1">IF(OR($C86="S",$C86=0),0,MATCH(OFFSET($D86,0,$C86)+IF($C86&lt;&gt;1,1,COUNTIF(QCI!$A$13:$A$24,ORÇAMENTO!E86)),OFFSET($D86,1,$C86,ROW($C$240)-ROW($C86)),0))</f>
        <v>0</v>
      </c>
      <c r="L86" s="114" t="str">
        <f t="shared" ca="1" si="10"/>
        <v>F</v>
      </c>
      <c r="M86" s="115" t="s">
        <v>705</v>
      </c>
      <c r="N86" s="116" t="str">
        <f t="shared" ca="1" si="11"/>
        <v>Serviço</v>
      </c>
      <c r="O86" s="117" t="str">
        <f t="shared" ca="1" si="12"/>
        <v>1.4.10.0.4.</v>
      </c>
      <c r="P86" s="118" t="s">
        <v>750</v>
      </c>
      <c r="Q86" s="119" t="s">
        <v>1183</v>
      </c>
      <c r="R86" s="120" t="str" cm="1">
        <f t="array" aca="1" ref="R86" ca="1">IF($C86="S",REFERENCIA.Descricao,"(digite a descrição aqui)")</f>
        <v>ARMAÇÃO DE PILAR OU VIGA DE ESTRUTURA CONVENCIONAL DE CONCRETO ARMADO UTILIZANDO AÇO CA-50 DE 10,0 MM - MONTAGEM. AF_06/2022</v>
      </c>
      <c r="S86" s="121" t="str" cm="1">
        <f t="array" aca="1" ref="S86" ca="1">REFERENCIA.Unidade</f>
        <v>KG</v>
      </c>
      <c r="T86" s="122">
        <f ca="1">OFFSET(CÁLCULO!H$15,ROW($T86)-ROW(T$15),0)</f>
        <v>162.24</v>
      </c>
      <c r="U86" s="123">
        <f t="shared" ca="1" si="30"/>
        <v>11.27</v>
      </c>
      <c r="V86" s="124" t="s">
        <v>663</v>
      </c>
      <c r="W86" s="122" cm="1">
        <f t="array" aca="1" ref="W86" ca="1">IF($C86="S",ROUND(IF(TIPOORCAMENTO="Proposto",ORÇAMENTO.CustoUnitario*(1+$AH86),ORÇAMENTO.PrecoUnitarioLicitado),15-13*$AF$10),0)</f>
        <v>13.8</v>
      </c>
      <c r="X86" s="125" cm="1">
        <f t="array" aca="1" ref="X86" ca="1">IF($C86="S",IF(OR(Import.TipoArredondamento&lt;&gt;"TransfereGOV",ACOMPANHAMENTO="BM"),VTOTAL1,SUM(OFFSET(CÁLCULO!$AA$15,ROW($X86)-ROW($X$15),1):OFFSET(CÁLCULO!$AL$15,ROW($X86)-ROW($X$15),-1))),IF($C86=0,0,ROUND(SomaAgrup,15-13*$AF$11)))</f>
        <v>2238.91</v>
      </c>
      <c r="Y86" s="126" t="s">
        <v>751</v>
      </c>
      <c r="Z86" t="str">
        <f t="shared" ca="1" si="13"/>
        <v>RA</v>
      </c>
      <c r="AA86" s="127" cm="1">
        <f t="array" aca="1" ref="AA86" ca="1">IF($C86="S",IF($Z86="CP",$X86,IF($Z86="RA",(($X86)*QCI!$AA$3),0)),SomaAgrup)</f>
        <v>1046.5286961382792</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92762</v>
      </c>
      <c r="AF86" s="12"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6321</v>
      </c>
      <c r="AG86" s="428" cm="1">
        <f t="array" aca="1" ref="AG86" ca="1">ROUND(IF(DESONERACAO="sim",REFERENCIA.Desonerado,REFERENCIA.NaoDesonerado),2)</f>
        <v>11.27</v>
      </c>
      <c r="AH86" s="429">
        <f t="shared" ca="1" si="14"/>
        <v>0.22470000000000001</v>
      </c>
      <c r="AJ86" s="431">
        <v>162.24</v>
      </c>
      <c r="AL86" s="439"/>
      <c r="AM86" s="336">
        <f t="shared" ca="1" si="23"/>
        <v>2238.91</v>
      </c>
      <c r="AN86" s="470" cm="1">
        <f t="array" aca="1" ref="AN86" ca="1">ROUND(ORÇAMENTO.CustoUnitario*(1+$AH86),2)</f>
        <v>13.8</v>
      </c>
    </row>
    <row r="87" spans="1:40" ht="38.25" x14ac:dyDescent="0.2">
      <c r="A87" t="str">
        <f t="shared" si="1"/>
        <v>S</v>
      </c>
      <c r="B87">
        <f t="shared" ca="1" si="2"/>
        <v>3</v>
      </c>
      <c r="C87" t="str">
        <f t="shared" ca="1" si="3"/>
        <v>S</v>
      </c>
      <c r="D87">
        <f t="shared" ca="1" si="4"/>
        <v>0</v>
      </c>
      <c r="E87">
        <f ca="1">IF($C87=1,OFFSET(E87,-1,0)+MAX(1,COUNTIF(QCI!$A$13:$A$24,OFFSET(ORÇAMENTO!E87,-1,0))),OFFSET(E87,-1,0))</f>
        <v>1</v>
      </c>
      <c r="F87">
        <f t="shared" ca="1" si="5"/>
        <v>4</v>
      </c>
      <c r="G87">
        <f t="shared" ca="1" si="6"/>
        <v>10</v>
      </c>
      <c r="H87">
        <f t="shared" ca="1" si="7"/>
        <v>0</v>
      </c>
      <c r="I87">
        <f t="shared" ca="1" si="8"/>
        <v>5</v>
      </c>
      <c r="J87">
        <f t="shared" ca="1" si="29"/>
        <v>0</v>
      </c>
      <c r="K87">
        <f ca="1">IF(OR($C87="S",$C87=0),0,MATCH(OFFSET($D87,0,$C87)+IF($C87&lt;&gt;1,1,COUNTIF(QCI!$A$13:$A$24,ORÇAMENTO!E87)),OFFSET($D87,1,$C87,ROW($C$240)-ROW($C87)),0))</f>
        <v>0</v>
      </c>
      <c r="L87" s="114" t="str">
        <f t="shared" ca="1" si="10"/>
        <v>F</v>
      </c>
      <c r="M87" s="115" t="s">
        <v>705</v>
      </c>
      <c r="N87" s="116" t="str">
        <f t="shared" ca="1" si="11"/>
        <v>Serviço</v>
      </c>
      <c r="O87" s="117" t="str">
        <f t="shared" ca="1" si="12"/>
        <v>1.4.10.0.5.</v>
      </c>
      <c r="P87" s="118" t="s">
        <v>750</v>
      </c>
      <c r="Q87" s="119" t="s">
        <v>1184</v>
      </c>
      <c r="R87" s="120" t="str" cm="1">
        <f t="array" aca="1" ref="R87" ca="1">IF($C87="S",REFERENCIA.Descricao,"(digite a descrição aqui)")</f>
        <v>ARMAÇÃO DE PILAR OU VIGA DE ESTRUTURA CONVENCIONAL DE CONCRETO ARMADO UTILIZANDO AÇO CA-50 DE 12,5 MM - MONTAGEM. AF_06/2022</v>
      </c>
      <c r="S87" s="121" t="str" cm="1">
        <f t="array" aca="1" ref="S87" ca="1">REFERENCIA.Unidade</f>
        <v>KG</v>
      </c>
      <c r="T87" s="122">
        <f ca="1">OFFSET(CÁLCULO!H$15,ROW($T87)-ROW(T$15),0)</f>
        <v>305.22000000000003</v>
      </c>
      <c r="U87" s="123">
        <f t="shared" ca="1" si="30"/>
        <v>9.4499999999999993</v>
      </c>
      <c r="V87" s="124" t="s">
        <v>663</v>
      </c>
      <c r="W87" s="122" cm="1">
        <f t="array" aca="1" ref="W87" ca="1">IF($C87="S",ROUND(IF(TIPOORCAMENTO="Proposto",ORÇAMENTO.CustoUnitario*(1+$AH87),ORÇAMENTO.PrecoUnitarioLicitado),15-13*$AF$10),0)</f>
        <v>11.57</v>
      </c>
      <c r="X87" s="125" cm="1">
        <f t="array" aca="1" ref="X87" ca="1">IF($C87="S",IF(OR(Import.TipoArredondamento&lt;&gt;"TransfereGOV",ACOMPANHAMENTO="BM"),VTOTAL1,SUM(OFFSET(CÁLCULO!$AA$15,ROW($X87)-ROW($X$15),1):OFFSET(CÁLCULO!$AL$15,ROW($X87)-ROW($X$15),-1))),IF($C87=0,0,ROUND(SomaAgrup,15-13*$AF$11)))</f>
        <v>3531.4</v>
      </c>
      <c r="Y87" s="126" t="s">
        <v>751</v>
      </c>
      <c r="Z87" t="str">
        <f t="shared" ca="1" si="13"/>
        <v>RA</v>
      </c>
      <c r="AA87" s="127" cm="1">
        <f t="array" aca="1" ref="AA87" ca="1">IF($C87="S",IF($Z87="CP",$X87,IF($Z87="RA",(($X87)*QCI!$AA$3),0)),SomaAgrup)</f>
        <v>1650.6744074316161</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92763</v>
      </c>
      <c r="AF87" s="12"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6322</v>
      </c>
      <c r="AG87" s="428" cm="1">
        <f t="array" aca="1" ref="AG87" ca="1">ROUND(IF(DESONERACAO="sim",REFERENCIA.Desonerado,REFERENCIA.NaoDesonerado),2)</f>
        <v>9.4499999999999993</v>
      </c>
      <c r="AH87" s="429">
        <f t="shared" ca="1" si="14"/>
        <v>0.22470000000000001</v>
      </c>
      <c r="AJ87" s="431">
        <v>305.22000000000003</v>
      </c>
      <c r="AL87" s="439"/>
      <c r="AM87" s="336">
        <f t="shared" ca="1" si="23"/>
        <v>3531.4</v>
      </c>
      <c r="AN87" s="470" cm="1">
        <f t="array" aca="1" ref="AN87" ca="1">ROUND(ORÇAMENTO.CustoUnitario*(1+$AH87),2)</f>
        <v>11.57</v>
      </c>
    </row>
    <row r="88" spans="1:40" ht="38.25" x14ac:dyDescent="0.2">
      <c r="A88" t="str">
        <f t="shared" si="1"/>
        <v>S</v>
      </c>
      <c r="B88">
        <f t="shared" ca="1" si="2"/>
        <v>3</v>
      </c>
      <c r="C88" t="str">
        <f t="shared" ca="1" si="3"/>
        <v>S</v>
      </c>
      <c r="D88">
        <f t="shared" ca="1" si="4"/>
        <v>0</v>
      </c>
      <c r="E88">
        <f ca="1">IF($C88=1,OFFSET(E88,-1,0)+MAX(1,COUNTIF(QCI!$A$13:$A$24,OFFSET(ORÇAMENTO!E88,-1,0))),OFFSET(E88,-1,0))</f>
        <v>1</v>
      </c>
      <c r="F88">
        <f t="shared" ca="1" si="5"/>
        <v>4</v>
      </c>
      <c r="G88">
        <f t="shared" ca="1" si="6"/>
        <v>10</v>
      </c>
      <c r="H88">
        <f t="shared" ca="1" si="7"/>
        <v>0</v>
      </c>
      <c r="I88">
        <f t="shared" ca="1" si="8"/>
        <v>6</v>
      </c>
      <c r="J88">
        <f t="shared" ca="1" si="29"/>
        <v>0</v>
      </c>
      <c r="K88">
        <f ca="1">IF(OR($C88="S",$C88=0),0,MATCH(OFFSET($D88,0,$C88)+IF($C88&lt;&gt;1,1,COUNTIF(QCI!$A$13:$A$24,ORÇAMENTO!E88)),OFFSET($D88,1,$C88,ROW($C$240)-ROW($C88)),0))</f>
        <v>0</v>
      </c>
      <c r="L88" s="114" t="str">
        <f t="shared" ca="1" si="10"/>
        <v>F</v>
      </c>
      <c r="M88" s="115" t="s">
        <v>705</v>
      </c>
      <c r="N88" s="116" t="str">
        <f t="shared" ca="1" si="11"/>
        <v>Serviço</v>
      </c>
      <c r="O88" s="117" t="str">
        <f t="shared" ca="1" si="12"/>
        <v>1.4.10.0.6.</v>
      </c>
      <c r="P88" s="118" t="s">
        <v>750</v>
      </c>
      <c r="Q88" s="119" t="s">
        <v>1185</v>
      </c>
      <c r="R88" s="120" t="str" cm="1">
        <f t="array" aca="1" ref="R88" ca="1">IF($C88="S",REFERENCIA.Descricao,"(digite a descrição aqui)")</f>
        <v>CONCRETAGEM DE VIGAS E LAJES, FCK=25 MPA, PARA LAJES MACIÇAS OU NERVURADAS COM USO DE BOMBA - LANÇAMENTO, ADENSAMENTO E ACABAMENTO. AF_02/2022_PS</v>
      </c>
      <c r="S88" s="121" t="str" cm="1">
        <f t="array" aca="1" ref="S88" ca="1">REFERENCIA.Unidade</f>
        <v>M3</v>
      </c>
      <c r="T88" s="122">
        <f ca="1">OFFSET(CÁLCULO!H$15,ROW($T88)-ROW(T$15),0)</f>
        <v>57.6</v>
      </c>
      <c r="U88" s="123">
        <f t="shared" ca="1" si="30"/>
        <v>707.25</v>
      </c>
      <c r="V88" s="124" t="s">
        <v>663</v>
      </c>
      <c r="W88" s="122" cm="1">
        <f t="array" aca="1" ref="W88" ca="1">IF($C88="S",ROUND(IF(TIPOORCAMENTO="Proposto",ORÇAMENTO.CustoUnitario*(1+$AH88),ORÇAMENTO.PrecoUnitarioLicitado),15-13*$AF$10),0)</f>
        <v>866.17</v>
      </c>
      <c r="X88" s="125" cm="1">
        <f t="array" aca="1" ref="X88" ca="1">IF($C88="S",IF(OR(Import.TipoArredondamento&lt;&gt;"TransfereGOV",ACOMPANHAMENTO="BM"),VTOTAL1,SUM(OFFSET(CÁLCULO!$AA$15,ROW($X88)-ROW($X$15),1):OFFSET(CÁLCULO!$AL$15,ROW($X88)-ROW($X$15),-1))),IF($C88=0,0,ROUND(SomaAgrup,15-13*$AF$11)))</f>
        <v>49891.39</v>
      </c>
      <c r="Y88" s="126" t="s">
        <v>751</v>
      </c>
      <c r="Z88" t="str">
        <f t="shared" ca="1" si="13"/>
        <v>RA</v>
      </c>
      <c r="AA88" s="127" cm="1">
        <f t="array" aca="1" ref="AA88" ca="1">IF($C88="S",IF($Z88="CP",$X88,IF($Z88="RA",(($X88)*QCI!$AA$3),0)),SomaAgrup)</f>
        <v>23320.620893750256</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cm="1">
        <f t="array" aca="1" ref="AE88" ca="1">IF(AND($C88="S",ORÇAMENTO.CodBarra&lt;&gt;""),IF(ORÇAMENTO.Fonte="",ORÇAMENTO.CodBarra,CONCATENATE(ORÇAMENTO.Fonte," ",ORÇAMENTO.CodBarra)))</f>
        <v>SINAPI 103675</v>
      </c>
      <c r="AF88" s="12"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7354</v>
      </c>
      <c r="AG88" s="428" cm="1">
        <f t="array" aca="1" ref="AG88" ca="1">ROUND(IF(DESONERACAO="sim",REFERENCIA.Desonerado,REFERENCIA.NaoDesonerado),2)</f>
        <v>707.25</v>
      </c>
      <c r="AH88" s="429">
        <f t="shared" ca="1" si="14"/>
        <v>0.22470000000000001</v>
      </c>
      <c r="AJ88" s="431">
        <v>57.6</v>
      </c>
      <c r="AL88" s="439"/>
      <c r="AM88" s="336">
        <f t="shared" ca="1" si="23"/>
        <v>49891.39</v>
      </c>
      <c r="AN88" s="470" cm="1">
        <f t="array" aca="1" ref="AN88" ca="1">ROUND(ORÇAMENTO.CustoUnitario*(1+$AH88),2)</f>
        <v>866.17</v>
      </c>
    </row>
    <row r="89" spans="1:40" x14ac:dyDescent="0.2">
      <c r="A89">
        <f t="shared" si="1"/>
        <v>3</v>
      </c>
      <c r="B89">
        <f t="shared" ca="1" si="2"/>
        <v>3</v>
      </c>
      <c r="C89">
        <f t="shared" ca="1" si="3"/>
        <v>3</v>
      </c>
      <c r="D89">
        <f t="shared" ca="1" si="4"/>
        <v>5</v>
      </c>
      <c r="E89">
        <f ca="1">IF($C89=1,OFFSET(E89,-1,0)+MAX(1,COUNTIF(QCI!$A$13:$A$24,OFFSET(ORÇAMENTO!E89,-1,0))),OFFSET(E89,-1,0))</f>
        <v>1</v>
      </c>
      <c r="F89">
        <f t="shared" ca="1" si="5"/>
        <v>4</v>
      </c>
      <c r="G89">
        <f t="shared" ca="1" si="6"/>
        <v>11</v>
      </c>
      <c r="H89">
        <f t="shared" ca="1" si="7"/>
        <v>0</v>
      </c>
      <c r="I89">
        <f t="shared" ca="1" si="8"/>
        <v>0</v>
      </c>
      <c r="J89">
        <f t="shared" ca="1" si="29"/>
        <v>14</v>
      </c>
      <c r="K89">
        <f ca="1">IF(OR($C89="S",$C89=0),0,MATCH(OFFSET($D89,0,$C89)+IF($C89&lt;&gt;1,1,COUNTIF(QCI!$A$13:$A$24,ORÇAMENTO!E89)),OFFSET($D89,1,$C89,ROW($C$240)-ROW($C89)),0))</f>
        <v>5</v>
      </c>
      <c r="L89" s="114" t="str">
        <f t="shared" ca="1" si="10"/>
        <v>F</v>
      </c>
      <c r="M89" s="115" t="s">
        <v>703</v>
      </c>
      <c r="N89" s="116" t="str">
        <f t="shared" ca="1" si="11"/>
        <v>Nível 3</v>
      </c>
      <c r="O89" s="117" t="str">
        <f t="shared" ca="1" si="12"/>
        <v>1.4.11.</v>
      </c>
      <c r="P89" s="118" t="s">
        <v>750</v>
      </c>
      <c r="Q89" s="119"/>
      <c r="R89" s="120" t="s">
        <v>1039</v>
      </c>
      <c r="S89" s="121" t="str" cm="1">
        <f t="array" aca="1" ref="S89" ca="1">REFERENCIA.Unidade</f>
        <v>-</v>
      </c>
      <c r="T89" s="122">
        <f ca="1">OFFSET(CÁLCULO!H$15,ROW($T89)-ROW(T$15),0)</f>
        <v>0</v>
      </c>
      <c r="U89" s="123"/>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10598.72</v>
      </c>
      <c r="Y89" s="126" t="s">
        <v>751</v>
      </c>
      <c r="Z89" t="str">
        <f t="shared" ca="1" si="13"/>
        <v/>
      </c>
      <c r="AA89" s="127" cm="1">
        <f t="array" aca="1" ref="AA89" ca="1">IF($C89="S",IF($Z89="CP",$X89,IF($Z89="RA",(($X89)*QCI!$AA$3),0)),SomaAgrup)</f>
        <v>4954.1359957902296</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cm="1">
        <f t="array" aca="1" ref="AE89" ca="1">IF(AND($C89="S",ORÇAMENTO.CodBarra&lt;&gt;""),IF(ORÇAMENTO.Fonte="",ORÇAMENTO.CodBarra,CONCATENATE(ORÇAMENTO.Fonte," ",ORÇAMENTO.CodBarra)))</f>
        <v>0</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14"/>
        <v>0.22470000000000001</v>
      </c>
      <c r="AJ89" s="431"/>
      <c r="AL89" s="439"/>
      <c r="AM89" s="336">
        <f t="shared" ca="1" si="23"/>
        <v>10598.72</v>
      </c>
      <c r="AN89" s="470" cm="1">
        <f t="array" aca="1" ref="AN89" ca="1">ROUND(ORÇAMENTO.CustoUnitario*(1+$AH89),2)</f>
        <v>0</v>
      </c>
    </row>
    <row r="90" spans="1:40" ht="51" x14ac:dyDescent="0.2">
      <c r="A90" t="str">
        <f t="shared" si="1"/>
        <v>S</v>
      </c>
      <c r="B90">
        <f t="shared" ca="1" si="2"/>
        <v>3</v>
      </c>
      <c r="C90" t="str">
        <f t="shared" ca="1" si="3"/>
        <v>S</v>
      </c>
      <c r="D90">
        <f t="shared" ca="1" si="4"/>
        <v>0</v>
      </c>
      <c r="E90">
        <f ca="1">IF($C90=1,OFFSET(E90,-1,0)+MAX(1,COUNTIF(QCI!$A$13:$A$24,OFFSET(ORÇAMENTO!E90,-1,0))),OFFSET(E90,-1,0))</f>
        <v>1</v>
      </c>
      <c r="F90">
        <f t="shared" ca="1" si="5"/>
        <v>4</v>
      </c>
      <c r="G90">
        <f t="shared" ca="1" si="6"/>
        <v>11</v>
      </c>
      <c r="H90">
        <f t="shared" ca="1" si="7"/>
        <v>0</v>
      </c>
      <c r="I90">
        <f t="shared" ca="1" si="8"/>
        <v>1</v>
      </c>
      <c r="J90">
        <f t="shared" ca="1" si="29"/>
        <v>0</v>
      </c>
      <c r="K90">
        <f ca="1">IF(OR($C90="S",$C90=0),0,MATCH(OFFSET($D90,0,$C90)+IF($C90&lt;&gt;1,1,COUNTIF(QCI!$A$13:$A$24,ORÇAMENTO!E90)),OFFSET($D90,1,$C90,ROW($C$240)-ROW($C90)),0))</f>
        <v>0</v>
      </c>
      <c r="L90" s="114" t="str">
        <f t="shared" ca="1" si="10"/>
        <v>F</v>
      </c>
      <c r="M90" s="115" t="s">
        <v>705</v>
      </c>
      <c r="N90" s="116" t="str">
        <f t="shared" ca="1" si="11"/>
        <v>Serviço</v>
      </c>
      <c r="O90" s="117" t="str">
        <f t="shared" ca="1" si="12"/>
        <v>1.4.11.0.1.</v>
      </c>
      <c r="P90" s="118" t="s">
        <v>750</v>
      </c>
      <c r="Q90" s="119" t="s">
        <v>1179</v>
      </c>
      <c r="R90" s="120" t="str" cm="1">
        <f t="array" aca="1" ref="R90" ca="1">IF($C90="S",REFERENCIA.Descricao,"(digite a descrição aqui)")</f>
        <v>MONTAGEM E DESMONTAGEM DE FÔRMA DE PILARES RETANGULARES E ESTRUTURAS SIMILARES, PÉ-DIREITO SIMPLES, EM CHAPA DE MADEIRA COMPENSADA PLASTIFICADA, 14 UTILIZAÇÕES. AF_09/2020</v>
      </c>
      <c r="S90" s="121" t="str" cm="1">
        <f t="array" aca="1" ref="S90" ca="1">REFERENCIA.Unidade</f>
        <v>M2</v>
      </c>
      <c r="T90" s="122">
        <f ca="1">OFFSET(CÁLCULO!H$15,ROW($T90)-ROW(T$15),0)</f>
        <v>17.66</v>
      </c>
      <c r="U90" s="123">
        <f t="shared" ref="U90:U93" ca="1" si="31">AG90</f>
        <v>62.85</v>
      </c>
      <c r="V90" s="124" t="s">
        <v>663</v>
      </c>
      <c r="W90" s="122" cm="1">
        <f t="array" aca="1" ref="W90" ca="1">IF($C90="S",ROUND(IF(TIPOORCAMENTO="Proposto",ORÇAMENTO.CustoUnitario*(1+$AH90),ORÇAMENTO.PrecoUnitarioLicitado),15-13*$AF$10),0)</f>
        <v>76.97</v>
      </c>
      <c r="X90" s="125" cm="1">
        <f t="array" aca="1" ref="X90" ca="1">IF($C90="S",IF(OR(Import.TipoArredondamento&lt;&gt;"TransfereGOV",ACOMPANHAMENTO="BM"),VTOTAL1,SUM(OFFSET(CÁLCULO!$AA$15,ROW($X90)-ROW($X$15),1):OFFSET(CÁLCULO!$AL$15,ROW($X90)-ROW($X$15),-1))),IF($C90=0,0,ROUND(SomaAgrup,15-13*$AF$11)))</f>
        <v>1359.29</v>
      </c>
      <c r="Y90" s="126" t="s">
        <v>751</v>
      </c>
      <c r="Z90" t="str">
        <f t="shared" ca="1" si="13"/>
        <v>RA</v>
      </c>
      <c r="AA90" s="127" cm="1">
        <f t="array" aca="1" ref="AA90" ca="1">IF($C90="S",IF($Z90="CP",$X90,IF($Z90="RA",(($X90)*QCI!$AA$3),0)),SomaAgrup)</f>
        <v>635.36988595959713</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str" cm="1">
        <f t="array" aca="1" ref="AE90" ca="1">IF(AND($C90="S",ORÇAMENTO.CodBarra&lt;&gt;""),IF(ORÇAMENTO.Fonte="",ORÇAMENTO.CodBarra,CONCATENATE(ORÇAMENTO.Fonte," ",ORÇAMENTO.CodBarra)))</f>
        <v>SINAPI 92439</v>
      </c>
      <c r="AF90" s="12"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10233</v>
      </c>
      <c r="AG90" s="428" cm="1">
        <f t="array" aca="1" ref="AG90" ca="1">ROUND(IF(DESONERACAO="sim",REFERENCIA.Desonerado,REFERENCIA.NaoDesonerado),2)</f>
        <v>62.85</v>
      </c>
      <c r="AH90" s="429">
        <f t="shared" ca="1" si="14"/>
        <v>0.22470000000000001</v>
      </c>
      <c r="AJ90" s="431">
        <v>17.66</v>
      </c>
      <c r="AL90" s="439"/>
      <c r="AM90" s="336">
        <f t="shared" ca="1" si="23"/>
        <v>1359.29</v>
      </c>
      <c r="AN90" s="470" cm="1">
        <f t="array" aca="1" ref="AN90" ca="1">ROUND(ORÇAMENTO.CustoUnitario*(1+$AH90),2)</f>
        <v>76.97</v>
      </c>
    </row>
    <row r="91" spans="1:40" ht="38.25" x14ac:dyDescent="0.2">
      <c r="A91" t="str">
        <f t="shared" si="1"/>
        <v>S</v>
      </c>
      <c r="B91">
        <f t="shared" ca="1" si="2"/>
        <v>3</v>
      </c>
      <c r="C91" t="str">
        <f t="shared" ca="1" si="3"/>
        <v>S</v>
      </c>
      <c r="D91">
        <f t="shared" ca="1" si="4"/>
        <v>0</v>
      </c>
      <c r="E91">
        <f ca="1">IF($C91=1,OFFSET(E91,-1,0)+MAX(1,COUNTIF(QCI!$A$13:$A$24,OFFSET(ORÇAMENTO!E91,-1,0))),OFFSET(E91,-1,0))</f>
        <v>1</v>
      </c>
      <c r="F91">
        <f t="shared" ca="1" si="5"/>
        <v>4</v>
      </c>
      <c r="G91">
        <f t="shared" ca="1" si="6"/>
        <v>11</v>
      </c>
      <c r="H91">
        <f t="shared" ca="1" si="7"/>
        <v>0</v>
      </c>
      <c r="I91">
        <f t="shared" ca="1" si="8"/>
        <v>2</v>
      </c>
      <c r="J91">
        <f t="shared" ca="1" si="29"/>
        <v>0</v>
      </c>
      <c r="K91">
        <f ca="1">IF(OR($C91="S",$C91=0),0,MATCH(OFFSET($D91,0,$C91)+IF($C91&lt;&gt;1,1,COUNTIF(QCI!$A$13:$A$24,ORÇAMENTO!E91)),OFFSET($D91,1,$C91,ROW($C$240)-ROW($C91)),0))</f>
        <v>0</v>
      </c>
      <c r="L91" s="114" t="str">
        <f t="shared" ca="1" si="10"/>
        <v>F</v>
      </c>
      <c r="M91" s="115" t="s">
        <v>705</v>
      </c>
      <c r="N91" s="116" t="str">
        <f t="shared" ca="1" si="11"/>
        <v>Serviço</v>
      </c>
      <c r="O91" s="117" t="str">
        <f t="shared" ca="1" si="12"/>
        <v>1.4.11.0.2.</v>
      </c>
      <c r="P91" s="118" t="s">
        <v>750</v>
      </c>
      <c r="Q91" s="119" t="s">
        <v>1176</v>
      </c>
      <c r="R91" s="120" t="str" cm="1">
        <f t="array" aca="1" ref="R91" ca="1">IF($C91="S",REFERENCIA.Descricao,"(digite a descrição aqui)")</f>
        <v>ARMAÇÃO DE PILAR OU VIGA DE ESTRUTURA DE CONCRETO ARMADO EMBUTIDA EM ALVENARIA DE VEDAÇÃO UTILIZANDO AÇO CA-60 DE 5,0 MM - MONTAGEM. AF_06/2022</v>
      </c>
      <c r="S91" s="121" t="str" cm="1">
        <f t="array" aca="1" ref="S91" ca="1">REFERENCIA.Unidade</f>
        <v>KG</v>
      </c>
      <c r="T91" s="122">
        <f ca="1">OFFSET(CÁLCULO!H$15,ROW($T91)-ROW(T$15),0)</f>
        <v>90.9</v>
      </c>
      <c r="U91" s="123">
        <f t="shared" ca="1" si="31"/>
        <v>21.4</v>
      </c>
      <c r="V91" s="124" t="s">
        <v>663</v>
      </c>
      <c r="W91" s="122" cm="1">
        <f t="array" aca="1" ref="W91" ca="1">IF($C91="S",ROUND(IF(TIPOORCAMENTO="Proposto",ORÇAMENTO.CustoUnitario*(1+$AH91),ORÇAMENTO.PrecoUnitarioLicitado),15-13*$AF$10),0)</f>
        <v>26.21</v>
      </c>
      <c r="X91" s="125" cm="1">
        <f t="array" aca="1" ref="X91" ca="1">IF($C91="S",IF(OR(Import.TipoArredondamento&lt;&gt;"TransfereGOV",ACOMPANHAMENTO="BM"),VTOTAL1,SUM(OFFSET(CÁLCULO!$AA$15,ROW($X91)-ROW($X$15),1):OFFSET(CÁLCULO!$AL$15,ROW($X91)-ROW($X$15),-1))),IF($C91=0,0,ROUND(SomaAgrup,15-13*$AF$11)))</f>
        <v>2382.4899999999998</v>
      </c>
      <c r="Y91" s="126" t="s">
        <v>751</v>
      </c>
      <c r="Z91" t="str">
        <f t="shared" ca="1" si="13"/>
        <v>RA</v>
      </c>
      <c r="AA91" s="127" cm="1">
        <f t="array" aca="1" ref="AA91" ca="1">IF($C91="S",IF($Z91="CP",$X91,IF($Z91="RA",(($X91)*QCI!$AA$3),0)),SomaAgrup)</f>
        <v>1113.6419745601604</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str" cm="1">
        <f t="array" aca="1" ref="AE91" ca="1">IF(AND($C91="S",ORÇAMENTO.CodBarra&lt;&gt;""),IF(ORÇAMENTO.Fonte="",ORÇAMENTO.CodBarra,CONCATENATE(ORÇAMENTO.Fonte," ",ORÇAMENTO.CodBarra)))</f>
        <v>SINAPI 104111</v>
      </c>
      <c r="AF91" s="12"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6335</v>
      </c>
      <c r="AG91" s="428" cm="1">
        <f t="array" aca="1" ref="AG91" ca="1">ROUND(IF(DESONERACAO="sim",REFERENCIA.Desonerado,REFERENCIA.NaoDesonerado),2)</f>
        <v>21.4</v>
      </c>
      <c r="AH91" s="429">
        <f t="shared" ca="1" si="14"/>
        <v>0.22470000000000001</v>
      </c>
      <c r="AJ91" s="431">
        <v>90.9</v>
      </c>
      <c r="AL91" s="439"/>
      <c r="AM91" s="336">
        <f t="shared" ca="1" si="23"/>
        <v>2382.4899999999998</v>
      </c>
      <c r="AN91" s="470" cm="1">
        <f t="array" aca="1" ref="AN91" ca="1">ROUND(ORÇAMENTO.CustoUnitario*(1+$AH91),2)</f>
        <v>26.21</v>
      </c>
    </row>
    <row r="92" spans="1:40" ht="38.25" x14ac:dyDescent="0.2">
      <c r="A92" t="str">
        <f t="shared" si="1"/>
        <v>S</v>
      </c>
      <c r="B92">
        <f t="shared" ca="1" si="2"/>
        <v>3</v>
      </c>
      <c r="C92" t="str">
        <f t="shared" ca="1" si="3"/>
        <v>S</v>
      </c>
      <c r="D92">
        <f t="shared" ca="1" si="4"/>
        <v>0</v>
      </c>
      <c r="E92">
        <f ca="1">IF($C92=1,OFFSET(E92,-1,0)+MAX(1,COUNTIF(QCI!$A$13:$A$24,OFFSET(ORÇAMENTO!E92,-1,0))),OFFSET(E92,-1,0))</f>
        <v>1</v>
      </c>
      <c r="F92">
        <f t="shared" ca="1" si="5"/>
        <v>4</v>
      </c>
      <c r="G92">
        <f t="shared" ca="1" si="6"/>
        <v>11</v>
      </c>
      <c r="H92">
        <f t="shared" ca="1" si="7"/>
        <v>0</v>
      </c>
      <c r="I92">
        <f t="shared" ca="1" si="8"/>
        <v>3</v>
      </c>
      <c r="J92">
        <f t="shared" ca="1" si="29"/>
        <v>0</v>
      </c>
      <c r="K92">
        <f ca="1">IF(OR($C92="S",$C92=0),0,MATCH(OFFSET($D92,0,$C92)+IF($C92&lt;&gt;1,1,COUNTIF(QCI!$A$13:$A$24,ORÇAMENTO!E92)),OFFSET($D92,1,$C92,ROW($C$240)-ROW($C92)),0))</f>
        <v>0</v>
      </c>
      <c r="L92" s="114" t="str">
        <f t="shared" ca="1" si="10"/>
        <v>F</v>
      </c>
      <c r="M92" s="115" t="s">
        <v>705</v>
      </c>
      <c r="N92" s="116" t="str">
        <f t="shared" ca="1" si="11"/>
        <v>Serviço</v>
      </c>
      <c r="O92" s="117" t="str">
        <f t="shared" ca="1" si="12"/>
        <v>1.4.11.0.3.</v>
      </c>
      <c r="P92" s="118" t="s">
        <v>750</v>
      </c>
      <c r="Q92" s="119" t="s">
        <v>1177</v>
      </c>
      <c r="R92" s="120" t="str" cm="1">
        <f t="array" aca="1" ref="R92" ca="1">IF($C92="S",REFERENCIA.Descricao,"(digite a descrição aqui)")</f>
        <v>ARMAÇÃO DE PILAR OU VIGA DE ESTRUTURA DE CONCRETO ARMADO EMBUTIDA EM ALVENARIA DE VEDAÇÃO UTILIZANDO AÇO CA-50 DE 10,0 MM - MONTAGEM. AF_06/2022</v>
      </c>
      <c r="S92" s="121" t="str" cm="1">
        <f t="array" aca="1" ref="S92" ca="1">REFERENCIA.Unidade</f>
        <v>KG</v>
      </c>
      <c r="T92" s="122">
        <f ca="1">OFFSET(CÁLCULO!H$15,ROW($T92)-ROW(T$15),0)</f>
        <v>222</v>
      </c>
      <c r="U92" s="123">
        <f t="shared" ca="1" si="31"/>
        <v>13.18</v>
      </c>
      <c r="V92" s="124" t="s">
        <v>663</v>
      </c>
      <c r="W92" s="122" cm="1">
        <f t="array" aca="1" ref="W92" ca="1">IF($C92="S",ROUND(IF(TIPOORCAMENTO="Proposto",ORÇAMENTO.CustoUnitario*(1+$AH92),ORÇAMENTO.PrecoUnitarioLicitado),15-13*$AF$10),0)</f>
        <v>16.14</v>
      </c>
      <c r="X92" s="125" cm="1">
        <f t="array" aca="1" ref="X92" ca="1">IF($C92="S",IF(OR(Import.TipoArredondamento&lt;&gt;"TransfereGOV",ACOMPANHAMENTO="BM"),VTOTAL1,SUM(OFFSET(CÁLCULO!$AA$15,ROW($X92)-ROW($X$15),1):OFFSET(CÁLCULO!$AL$15,ROW($X92)-ROW($X$15),-1))),IF($C92=0,0,ROUND(SomaAgrup,15-13*$AF$11)))</f>
        <v>3583.08</v>
      </c>
      <c r="Y92" s="126" t="s">
        <v>751</v>
      </c>
      <c r="Z92" t="str">
        <f t="shared" ca="1" si="13"/>
        <v>RA</v>
      </c>
      <c r="AA92" s="127" cm="1">
        <f t="array" aca="1" ref="AA92" ca="1">IF($C92="S",IF($Z92="CP",$X92,IF($Z92="RA",(($X92)*QCI!$AA$3),0)),SomaAgrup)</f>
        <v>1674.8310742991662</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str" cm="1">
        <f t="array" aca="1" ref="AE92" ca="1">IF(AND($C92="S",ORÇAMENTO.CodBarra&lt;&gt;""),IF(ORÇAMENTO.Fonte="",ORÇAMENTO.CodBarra,CONCATENATE(ORÇAMENTO.Fonte," ",ORÇAMENTO.CodBarra)))</f>
        <v>SINAPI 104108</v>
      </c>
      <c r="AF92" s="12"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6330</v>
      </c>
      <c r="AG92" s="428" cm="1">
        <f t="array" aca="1" ref="AG92" ca="1">ROUND(IF(DESONERACAO="sim",REFERENCIA.Desonerado,REFERENCIA.NaoDesonerado),2)</f>
        <v>13.18</v>
      </c>
      <c r="AH92" s="429">
        <f t="shared" ca="1" si="14"/>
        <v>0.22470000000000001</v>
      </c>
      <c r="AJ92" s="431">
        <v>222</v>
      </c>
      <c r="AL92" s="439"/>
      <c r="AM92" s="336">
        <f t="shared" ca="1" si="23"/>
        <v>3583.08</v>
      </c>
      <c r="AN92" s="470" cm="1">
        <f t="array" aca="1" ref="AN92" ca="1">ROUND(ORÇAMENTO.CustoUnitario*(1+$AH92),2)</f>
        <v>16.14</v>
      </c>
    </row>
    <row r="93" spans="1:40" ht="25.5" x14ac:dyDescent="0.2">
      <c r="A93" t="str">
        <f t="shared" si="1"/>
        <v>S</v>
      </c>
      <c r="B93">
        <f t="shared" ca="1" si="2"/>
        <v>3</v>
      </c>
      <c r="C93" t="str">
        <f t="shared" ca="1" si="3"/>
        <v>S</v>
      </c>
      <c r="D93">
        <f t="shared" ca="1" si="4"/>
        <v>0</v>
      </c>
      <c r="E93">
        <f ca="1">IF($C93=1,OFFSET(E93,-1,0)+MAX(1,COUNTIF(QCI!$A$13:$A$24,OFFSET(ORÇAMENTO!E93,-1,0))),OFFSET(E93,-1,0))</f>
        <v>1</v>
      </c>
      <c r="F93">
        <f t="shared" ca="1" si="5"/>
        <v>4</v>
      </c>
      <c r="G93">
        <f t="shared" ca="1" si="6"/>
        <v>11</v>
      </c>
      <c r="H93">
        <f t="shared" ca="1" si="7"/>
        <v>0</v>
      </c>
      <c r="I93">
        <f t="shared" ca="1" si="8"/>
        <v>4</v>
      </c>
      <c r="J93">
        <f t="shared" ca="1" si="29"/>
        <v>0</v>
      </c>
      <c r="K93">
        <f ca="1">IF(OR($C93="S",$C93=0),0,MATCH(OFFSET($D93,0,$C93)+IF($C93&lt;&gt;1,1,COUNTIF(QCI!$A$13:$A$24,ORÇAMENTO!E93)),OFFSET($D93,1,$C93,ROW($C$240)-ROW($C93)),0))</f>
        <v>0</v>
      </c>
      <c r="L93" s="114" t="str">
        <f t="shared" ca="1" si="10"/>
        <v>F</v>
      </c>
      <c r="M93" s="115" t="s">
        <v>705</v>
      </c>
      <c r="N93" s="116" t="str">
        <f t="shared" ca="1" si="11"/>
        <v>Serviço</v>
      </c>
      <c r="O93" s="117" t="str">
        <f t="shared" ca="1" si="12"/>
        <v>1.4.11.0.4.</v>
      </c>
      <c r="P93" s="118" t="s">
        <v>750</v>
      </c>
      <c r="Q93" s="119" t="s">
        <v>1178</v>
      </c>
      <c r="R93" s="120" t="str" cm="1">
        <f t="array" aca="1" ref="R93" ca="1">IF($C93="S",REFERENCIA.Descricao,"(digite a descrição aqui)")</f>
        <v>CONCRETAGEM DE PILARES, FCK = 25 MPA, COM USO DE BOMBA - LANÇAMENTO, ADENSAMENTO E ACABAMENTO. AF_02/2022_PS</v>
      </c>
      <c r="S93" s="121" t="str" cm="1">
        <f t="array" aca="1" ref="S93" ca="1">REFERENCIA.Unidade</f>
        <v>M3</v>
      </c>
      <c r="T93" s="122">
        <f ca="1">OFFSET(CÁLCULO!H$15,ROW($T93)-ROW(T$15),0)</f>
        <v>3.78</v>
      </c>
      <c r="U93" s="123">
        <f t="shared" ca="1" si="31"/>
        <v>707.19</v>
      </c>
      <c r="V93" s="124" t="s">
        <v>663</v>
      </c>
      <c r="W93" s="122" cm="1">
        <f t="array" aca="1" ref="W93" ca="1">IF($C93="S",ROUND(IF(TIPOORCAMENTO="Proposto",ORÇAMENTO.CustoUnitario*(1+$AH93),ORÇAMENTO.PrecoUnitarioLicitado),15-13*$AF$10),0)</f>
        <v>866.1</v>
      </c>
      <c r="X93" s="125" cm="1">
        <f t="array" aca="1" ref="X93" ca="1">IF($C93="S",IF(OR(Import.TipoArredondamento&lt;&gt;"TransfereGOV",ACOMPANHAMENTO="BM"),VTOTAL1,SUM(OFFSET(CÁLCULO!$AA$15,ROW($X93)-ROW($X$15),1):OFFSET(CÁLCULO!$AL$15,ROW($X93)-ROW($X$15),-1))),IF($C93=0,0,ROUND(SomaAgrup,15-13*$AF$11)))</f>
        <v>3273.86</v>
      </c>
      <c r="Y93" s="126" t="s">
        <v>751</v>
      </c>
      <c r="Z93" t="str">
        <f t="shared" ca="1" si="13"/>
        <v>RA</v>
      </c>
      <c r="AA93" s="127" cm="1">
        <f t="array" aca="1" ref="AA93" ca="1">IF($C93="S",IF($Z93="CP",$X93,IF($Z93="RA",(($X93)*QCI!$AA$3),0)),SomaAgrup)</f>
        <v>1530.2930609713062</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str" cm="1">
        <f t="array" aca="1" ref="AE93" ca="1">IF(AND($C93="S",ORÇAMENTO.CodBarra&lt;&gt;""),IF(ORÇAMENTO.Fonte="",ORÇAMENTO.CodBarra,CONCATENATE(ORÇAMENTO.Fonte," ",ORÇAMENTO.CodBarra)))</f>
        <v>SINAPI 103672</v>
      </c>
      <c r="AF93" s="12"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7346</v>
      </c>
      <c r="AG93" s="428" cm="1">
        <f t="array" aca="1" ref="AG93" ca="1">ROUND(IF(DESONERACAO="sim",REFERENCIA.Desonerado,REFERENCIA.NaoDesonerado),2)</f>
        <v>707.19</v>
      </c>
      <c r="AH93" s="429">
        <f t="shared" ca="1" si="14"/>
        <v>0.22470000000000001</v>
      </c>
      <c r="AJ93" s="431">
        <v>3.78</v>
      </c>
      <c r="AL93" s="439"/>
      <c r="AM93" s="336">
        <f t="shared" ca="1" si="23"/>
        <v>3273.86</v>
      </c>
      <c r="AN93" s="470" cm="1">
        <f t="array" aca="1" ref="AN93" ca="1">ROUND(ORÇAMENTO.CustoUnitario*(1+$AH93),2)</f>
        <v>866.1</v>
      </c>
    </row>
    <row r="94" spans="1:40" x14ac:dyDescent="0.2">
      <c r="A94">
        <f t="shared" si="1"/>
        <v>3</v>
      </c>
      <c r="B94">
        <f t="shared" ca="1" si="2"/>
        <v>3</v>
      </c>
      <c r="C94">
        <f t="shared" ca="1" si="3"/>
        <v>3</v>
      </c>
      <c r="D94">
        <f t="shared" ca="1" si="4"/>
        <v>6</v>
      </c>
      <c r="E94">
        <f ca="1">IF($C94=1,OFFSET(E94,-1,0)+MAX(1,COUNTIF(QCI!$A$13:$A$24,OFFSET(ORÇAMENTO!E94,-1,0))),OFFSET(E94,-1,0))</f>
        <v>1</v>
      </c>
      <c r="F94">
        <f t="shared" ca="1" si="5"/>
        <v>4</v>
      </c>
      <c r="G94">
        <f t="shared" ca="1" si="6"/>
        <v>12</v>
      </c>
      <c r="H94">
        <f t="shared" ca="1" si="7"/>
        <v>0</v>
      </c>
      <c r="I94">
        <f t="shared" ca="1" si="8"/>
        <v>0</v>
      </c>
      <c r="J94">
        <f t="shared" ca="1" si="29"/>
        <v>9</v>
      </c>
      <c r="K94">
        <f ca="1">IF(OR($C94="S",$C94=0),0,MATCH(OFFSET($D94,0,$C94)+IF($C94&lt;&gt;1,1,COUNTIF(QCI!$A$13:$A$24,ORÇAMENTO!E94)),OFFSET($D94,1,$C94,ROW($C$240)-ROW($C94)),0))</f>
        <v>6</v>
      </c>
      <c r="L94" s="114" t="str">
        <f t="shared" ca="1" si="10"/>
        <v>F</v>
      </c>
      <c r="M94" s="115" t="s">
        <v>703</v>
      </c>
      <c r="N94" s="116" t="str">
        <f t="shared" ca="1" si="11"/>
        <v>Nível 3</v>
      </c>
      <c r="O94" s="117" t="str">
        <f t="shared" ca="1" si="12"/>
        <v>1.4.12.</v>
      </c>
      <c r="P94" s="118" t="s">
        <v>750</v>
      </c>
      <c r="Q94" s="119"/>
      <c r="R94" s="120" t="s">
        <v>1040</v>
      </c>
      <c r="S94" s="121" t="str" cm="1">
        <f t="array" aca="1" ref="S94" ca="1">REFERENCIA.Unidade</f>
        <v>-</v>
      </c>
      <c r="T94" s="122">
        <f ca="1">OFFSET(CÁLCULO!H$15,ROW($T94)-ROW(T$15),0)</f>
        <v>0</v>
      </c>
      <c r="U94" s="123"/>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IF($C94="S",IF(OR(Import.TipoArredondamento&lt;&gt;"TransfereGOV",ACOMPANHAMENTO="BM"),VTOTAL1,SUM(OFFSET(CÁLCULO!$AA$15,ROW($X94)-ROW($X$15),1):OFFSET(CÁLCULO!$AL$15,ROW($X94)-ROW($X$15),-1))),IF($C94=0,0,ROUND(SomaAgrup,15-13*$AF$11)))</f>
        <v>19835.36</v>
      </c>
      <c r="Y94" s="126" t="s">
        <v>751</v>
      </c>
      <c r="Z94" t="str">
        <f t="shared" ca="1" si="13"/>
        <v/>
      </c>
      <c r="AA94" s="127" cm="1">
        <f t="array" aca="1" ref="AA94" ca="1">IF($C94="S",IF($Z94="CP",$X94,IF($Z94="RA",(($X94)*QCI!$AA$3),0)),SomaAgrup)</f>
        <v>9271.5979821580058</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cm="1">
        <f t="array" aca="1" ref="AE94" ca="1">IF(AND($C94="S",ORÇAMENTO.CodBarra&lt;&gt;""),IF(ORÇAMENTO.Fonte="",ORÇAMENTO.CodBarra,CONCATENATE(ORÇAMENTO.Fonte," ",ORÇAMENTO.CodBarra)))</f>
        <v>0</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428" cm="1">
        <f t="array" aca="1" ref="AG94" ca="1">ROUND(IF(DESONERACAO="sim",REFERENCIA.Desonerado,REFERENCIA.NaoDesonerado),2)</f>
        <v>0</v>
      </c>
      <c r="AH94" s="429">
        <f t="shared" ca="1" si="14"/>
        <v>0.22470000000000001</v>
      </c>
      <c r="AJ94" s="431"/>
      <c r="AL94" s="439"/>
      <c r="AM94" s="336">
        <f t="shared" ca="1" si="23"/>
        <v>19835.36</v>
      </c>
      <c r="AN94" s="470" cm="1">
        <f t="array" aca="1" ref="AN94" ca="1">ROUND(ORÇAMENTO.CustoUnitario*(1+$AH94),2)</f>
        <v>0</v>
      </c>
    </row>
    <row r="95" spans="1:40" ht="38.25" x14ac:dyDescent="0.2">
      <c r="A95" t="str">
        <f t="shared" si="1"/>
        <v>S</v>
      </c>
      <c r="B95">
        <f t="shared" ca="1" si="2"/>
        <v>3</v>
      </c>
      <c r="C95" t="str">
        <f t="shared" ca="1" si="3"/>
        <v>S</v>
      </c>
      <c r="D95">
        <f t="shared" ca="1" si="4"/>
        <v>0</v>
      </c>
      <c r="E95">
        <f ca="1">IF($C95=1,OFFSET(E95,-1,0)+MAX(1,COUNTIF(QCI!$A$13:$A$24,OFFSET(ORÇAMENTO!E95,-1,0))),OFFSET(E95,-1,0))</f>
        <v>1</v>
      </c>
      <c r="F95">
        <f t="shared" ca="1" si="5"/>
        <v>4</v>
      </c>
      <c r="G95">
        <f t="shared" ca="1" si="6"/>
        <v>12</v>
      </c>
      <c r="H95">
        <f t="shared" ca="1" si="7"/>
        <v>0</v>
      </c>
      <c r="I95">
        <f t="shared" ca="1" si="8"/>
        <v>1</v>
      </c>
      <c r="J95">
        <f t="shared" ca="1" si="29"/>
        <v>0</v>
      </c>
      <c r="K95">
        <f ca="1">IF(OR($C95="S",$C95=0),0,MATCH(OFFSET($D95,0,$C95)+IF($C95&lt;&gt;1,1,COUNTIF(QCI!$A$13:$A$24,ORÇAMENTO!E95)),OFFSET($D95,1,$C95,ROW($C$240)-ROW($C95)),0))</f>
        <v>0</v>
      </c>
      <c r="L95" s="114" t="str">
        <f t="shared" ca="1" si="10"/>
        <v>F</v>
      </c>
      <c r="M95" s="115" t="s">
        <v>705</v>
      </c>
      <c r="N95" s="116" t="str">
        <f t="shared" ca="1" si="11"/>
        <v>Serviço</v>
      </c>
      <c r="O95" s="117" t="str">
        <f t="shared" ca="1" si="12"/>
        <v>1.4.12.0.1.</v>
      </c>
      <c r="P95" s="118" t="s">
        <v>750</v>
      </c>
      <c r="Q95" s="119" t="s">
        <v>1180</v>
      </c>
      <c r="R95" s="120" t="str" cm="1">
        <f t="array" aca="1" ref="R95" ca="1">IF($C95="S",REFERENCIA.Descricao,"(digite a descrição aqui)")</f>
        <v>MONTAGEM E DESMONTAGEM DE FÔRMA DE VIGA, ESCORAMENTO COM GARFO DE MADEIRA, PÉ-DIREITO SIMPLES, EM CHAPA DE MADEIRA PLASTIFICADA, 18 UTILIZAÇÕES. AF_09/2020</v>
      </c>
      <c r="S95" s="121" t="str" cm="1">
        <f t="array" aca="1" ref="S95" ca="1">REFERENCIA.Unidade</f>
        <v>M2</v>
      </c>
      <c r="T95" s="122">
        <f ca="1">OFFSET(CÁLCULO!H$15,ROW($T95)-ROW(T$15),0)</f>
        <v>6.51</v>
      </c>
      <c r="U95" s="123">
        <f t="shared" ref="U95:U99" ca="1" si="32">AG95</f>
        <v>72.22</v>
      </c>
      <c r="V95" s="124" t="s">
        <v>663</v>
      </c>
      <c r="W95" s="122" cm="1">
        <f t="array" aca="1" ref="W95" ca="1">IF($C95="S",ROUND(IF(TIPOORCAMENTO="Proposto",ORÇAMENTO.CustoUnitario*(1+$AH95),ORÇAMENTO.PrecoUnitarioLicitado),15-13*$AF$10),0)</f>
        <v>88.45</v>
      </c>
      <c r="X95" s="125" cm="1">
        <f t="array" aca="1" ref="X95" ca="1">IF($C95="S",IF(OR(Import.TipoArredondamento&lt;&gt;"TransfereGOV",ACOMPANHAMENTO="BM"),VTOTAL1,SUM(OFFSET(CÁLCULO!$AA$15,ROW($X95)-ROW($X$15),1):OFFSET(CÁLCULO!$AL$15,ROW($X95)-ROW($X$15),-1))),IF($C95=0,0,ROUND(SomaAgrup,15-13*$AF$11)))</f>
        <v>575.80999999999995</v>
      </c>
      <c r="Y95" s="126" t="s">
        <v>751</v>
      </c>
      <c r="Z95" t="str">
        <f t="shared" ca="1" si="13"/>
        <v>RA</v>
      </c>
      <c r="AA95" s="127" cm="1">
        <f t="array" aca="1" ref="AA95" ca="1">IF($C95="S",IF($Z95="CP",$X95,IF($Z95="RA",(($X95)*QCI!$AA$3),0)),SomaAgrup)</f>
        <v>269.1495810565778</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cm="1">
        <f t="array" aca="1" ref="AE95" ca="1">IF(AND($C95="S",ORÇAMENTO.CodBarra&lt;&gt;""),IF(ORÇAMENTO.Fonte="",ORÇAMENTO.CodBarra,CONCATENATE(ORÇAMENTO.Fonte," ",ORÇAMENTO.CodBarra)))</f>
        <v>SINAPI 92479</v>
      </c>
      <c r="AF95" s="12"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10253</v>
      </c>
      <c r="AG95" s="428" cm="1">
        <f t="array" aca="1" ref="AG95" ca="1">ROUND(IF(DESONERACAO="sim",REFERENCIA.Desonerado,REFERENCIA.NaoDesonerado),2)</f>
        <v>72.22</v>
      </c>
      <c r="AH95" s="429">
        <f t="shared" ca="1" si="14"/>
        <v>0.22470000000000001</v>
      </c>
      <c r="AJ95" s="431">
        <v>6.51</v>
      </c>
      <c r="AL95" s="439"/>
      <c r="AM95" s="336">
        <f t="shared" ca="1" si="23"/>
        <v>575.80999999999995</v>
      </c>
      <c r="AN95" s="470" cm="1">
        <f t="array" aca="1" ref="AN95" ca="1">ROUND(ORÇAMENTO.CustoUnitario*(1+$AH95),2)</f>
        <v>88.45</v>
      </c>
    </row>
    <row r="96" spans="1:40" ht="38.25" x14ac:dyDescent="0.2">
      <c r="A96" t="str">
        <f t="shared" si="1"/>
        <v>S</v>
      </c>
      <c r="B96">
        <f t="shared" ca="1" si="2"/>
        <v>3</v>
      </c>
      <c r="C96" t="str">
        <f t="shared" ca="1" si="3"/>
        <v>S</v>
      </c>
      <c r="D96">
        <f t="shared" ca="1" si="4"/>
        <v>0</v>
      </c>
      <c r="E96">
        <f ca="1">IF($C96=1,OFFSET(E96,-1,0)+MAX(1,COUNTIF(QCI!$A$13:$A$24,OFFSET(ORÇAMENTO!E96,-1,0))),OFFSET(E96,-1,0))</f>
        <v>1</v>
      </c>
      <c r="F96">
        <f t="shared" ca="1" si="5"/>
        <v>4</v>
      </c>
      <c r="G96">
        <f t="shared" ca="1" si="6"/>
        <v>12</v>
      </c>
      <c r="H96">
        <f t="shared" ca="1" si="7"/>
        <v>0</v>
      </c>
      <c r="I96">
        <f t="shared" ca="1" si="8"/>
        <v>2</v>
      </c>
      <c r="J96">
        <f t="shared" ca="1" si="29"/>
        <v>0</v>
      </c>
      <c r="K96">
        <f ca="1">IF(OR($C96="S",$C96=0),0,MATCH(OFFSET($D96,0,$C96)+IF($C96&lt;&gt;1,1,COUNTIF(QCI!$A$13:$A$24,ORÇAMENTO!E96)),OFFSET($D96,1,$C96,ROW($C$240)-ROW($C96)),0))</f>
        <v>0</v>
      </c>
      <c r="L96" s="114" t="str">
        <f t="shared" ca="1" si="10"/>
        <v>F</v>
      </c>
      <c r="M96" s="115" t="s">
        <v>705</v>
      </c>
      <c r="N96" s="116" t="str">
        <f t="shared" ca="1" si="11"/>
        <v>Serviço</v>
      </c>
      <c r="O96" s="117" t="str">
        <f t="shared" ca="1" si="12"/>
        <v>1.4.12.0.2.</v>
      </c>
      <c r="P96" s="118" t="s">
        <v>750</v>
      </c>
      <c r="Q96" s="119" t="s">
        <v>1182</v>
      </c>
      <c r="R96" s="120" t="str" cm="1">
        <f t="array" aca="1" ref="R96" ca="1">IF($C96="S",REFERENCIA.Descricao,"(digite a descrição aqui)")</f>
        <v>ARMAÇÃO DE PILAR OU VIGA DE ESTRUTURA CONVENCIONAL DE CONCRETO ARMADO UTILIZANDO AÇO CA-60 DE 5,0 MM - MONTAGEM. AF_06/2022</v>
      </c>
      <c r="S96" s="121" t="str" cm="1">
        <f t="array" aca="1" ref="S96" ca="1">REFERENCIA.Unidade</f>
        <v>KG</v>
      </c>
      <c r="T96" s="122">
        <f ca="1">OFFSET(CÁLCULO!H$15,ROW($T96)-ROW(T$15),0)</f>
        <v>175.8</v>
      </c>
      <c r="U96" s="123">
        <f t="shared" ca="1" si="32"/>
        <v>14.54</v>
      </c>
      <c r="V96" s="124" t="s">
        <v>663</v>
      </c>
      <c r="W96" s="122" cm="1">
        <f t="array" aca="1" ref="W96" ca="1">IF($C96="S",ROUND(IF(TIPOORCAMENTO="Proposto",ORÇAMENTO.CustoUnitario*(1+$AH96),ORÇAMENTO.PrecoUnitarioLicitado),15-13*$AF$10),0)</f>
        <v>17.809999999999999</v>
      </c>
      <c r="X96" s="125" cm="1">
        <f t="array" aca="1" ref="X96" ca="1">IF($C96="S",IF(OR(Import.TipoArredondamento&lt;&gt;"TransfereGOV",ACOMPANHAMENTO="BM"),VTOTAL1,SUM(OFFSET(CÁLCULO!$AA$15,ROW($X96)-ROW($X$15),1):OFFSET(CÁLCULO!$AL$15,ROW($X96)-ROW($X$15),-1))),IF($C96=0,0,ROUND(SomaAgrup,15-13*$AF$11)))</f>
        <v>3131</v>
      </c>
      <c r="Y96" s="126" t="s">
        <v>751</v>
      </c>
      <c r="Z96" t="str">
        <f t="shared" ca="1" si="13"/>
        <v>RA</v>
      </c>
      <c r="AA96" s="127" cm="1">
        <f t="array" aca="1" ref="AA96" ca="1">IF($C96="S",IF($Z96="CP",$X96,IF($Z96="RA",(($X96)*QCI!$AA$3),0)),SomaAgrup)</f>
        <v>1463.5163305398398</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str" cm="1">
        <f t="array" aca="1" ref="AE96" ca="1">IF(AND($C96="S",ORÇAMENTO.CodBarra&lt;&gt;""),IF(ORÇAMENTO.Fonte="",ORÇAMENTO.CodBarra,CONCATENATE(ORÇAMENTO.Fonte," ",ORÇAMENTO.CodBarra)))</f>
        <v>SINAPI 92759</v>
      </c>
      <c r="AF96" s="12"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6329</v>
      </c>
      <c r="AG96" s="428" cm="1">
        <f t="array" aca="1" ref="AG96" ca="1">ROUND(IF(DESONERACAO="sim",REFERENCIA.Desonerado,REFERENCIA.NaoDesonerado),2)</f>
        <v>14.54</v>
      </c>
      <c r="AH96" s="429">
        <f t="shared" ca="1" si="14"/>
        <v>0.22470000000000001</v>
      </c>
      <c r="AJ96" s="431">
        <v>175.8</v>
      </c>
      <c r="AL96" s="439"/>
      <c r="AM96" s="336">
        <f t="shared" ca="1" si="23"/>
        <v>3131</v>
      </c>
      <c r="AN96" s="470" cm="1">
        <f t="array" aca="1" ref="AN96" ca="1">ROUND(ORÇAMENTO.CustoUnitario*(1+$AH96),2)</f>
        <v>17.809999999999999</v>
      </c>
    </row>
    <row r="97" spans="1:40" ht="38.25" x14ac:dyDescent="0.2">
      <c r="A97" t="str">
        <f t="shared" si="1"/>
        <v>S</v>
      </c>
      <c r="B97">
        <f t="shared" ca="1" si="2"/>
        <v>3</v>
      </c>
      <c r="C97" t="str">
        <f t="shared" ca="1" si="3"/>
        <v>S</v>
      </c>
      <c r="D97">
        <f t="shared" ca="1" si="4"/>
        <v>0</v>
      </c>
      <c r="E97">
        <f ca="1">IF($C97=1,OFFSET(E97,-1,0)+MAX(1,COUNTIF(QCI!$A$13:$A$24,OFFSET(ORÇAMENTO!E97,-1,0))),OFFSET(E97,-1,0))</f>
        <v>1</v>
      </c>
      <c r="F97">
        <f t="shared" ca="1" si="5"/>
        <v>4</v>
      </c>
      <c r="G97">
        <f t="shared" ca="1" si="6"/>
        <v>12</v>
      </c>
      <c r="H97">
        <f t="shared" ca="1" si="7"/>
        <v>0</v>
      </c>
      <c r="I97">
        <f t="shared" ca="1" si="8"/>
        <v>3</v>
      </c>
      <c r="J97">
        <f t="shared" ca="1" si="29"/>
        <v>0</v>
      </c>
      <c r="K97">
        <f ca="1">IF(OR($C97="S",$C97=0),0,MATCH(OFFSET($D97,0,$C97)+IF($C97&lt;&gt;1,1,COUNTIF(QCI!$A$13:$A$24,ORÇAMENTO!E97)),OFFSET($D97,1,$C97,ROW($C$240)-ROW($C97)),0))</f>
        <v>0</v>
      </c>
      <c r="L97" s="114" t="str">
        <f t="shared" ca="1" si="10"/>
        <v>F</v>
      </c>
      <c r="M97" s="115" t="s">
        <v>705</v>
      </c>
      <c r="N97" s="116" t="str">
        <f t="shared" ca="1" si="11"/>
        <v>Serviço</v>
      </c>
      <c r="O97" s="117" t="str">
        <f t="shared" ca="1" si="12"/>
        <v>1.4.12.0.3.</v>
      </c>
      <c r="P97" s="118" t="s">
        <v>750</v>
      </c>
      <c r="Q97" s="119" t="s">
        <v>1181</v>
      </c>
      <c r="R97" s="120" t="str" cm="1">
        <f t="array" aca="1" ref="R97" ca="1">IF($C97="S",REFERENCIA.Descricao,"(digite a descrição aqui)")</f>
        <v>ARMAÇÃO DE PILAR OU VIGA DE ESTRUTURA CONVENCIONAL DE CONCRETO ARMADO UTILIZANDO AÇO CA-50 DE 8,0 MM - MONTAGEM. AF_06/2022</v>
      </c>
      <c r="S97" s="121" t="str" cm="1">
        <f t="array" aca="1" ref="S97" ca="1">REFERENCIA.Unidade</f>
        <v>KG</v>
      </c>
      <c r="T97" s="122">
        <f ca="1">OFFSET(CÁLCULO!H$15,ROW($T97)-ROW(T$15),0)</f>
        <v>288</v>
      </c>
      <c r="U97" s="123">
        <f t="shared" ca="1" si="32"/>
        <v>12.69</v>
      </c>
      <c r="V97" s="124" t="s">
        <v>663</v>
      </c>
      <c r="W97" s="122" cm="1">
        <f t="array" aca="1" ref="W97" ca="1">IF($C97="S",ROUND(IF(TIPOORCAMENTO="Proposto",ORÇAMENTO.CustoUnitario*(1+$AH97),ORÇAMENTO.PrecoUnitarioLicitado),15-13*$AF$10),0)</f>
        <v>15.54</v>
      </c>
      <c r="X97" s="125" cm="1">
        <f t="array" aca="1" ref="X97" ca="1">IF($C97="S",IF(OR(Import.TipoArredondamento&lt;&gt;"TransfereGOV",ACOMPANHAMENTO="BM"),VTOTAL1,SUM(OFFSET(CÁLCULO!$AA$15,ROW($X97)-ROW($X$15),1):OFFSET(CÁLCULO!$AL$15,ROW($X97)-ROW($X$15),-1))),IF($C97=0,0,ROUND(SomaAgrup,15-13*$AF$11)))</f>
        <v>4475.5200000000004</v>
      </c>
      <c r="Y97" s="126" t="s">
        <v>751</v>
      </c>
      <c r="Z97" t="str">
        <f t="shared" ca="1" si="13"/>
        <v>RA</v>
      </c>
      <c r="AA97" s="127" cm="1">
        <f t="array" aca="1" ref="AA97" ca="1">IF($C97="S",IF($Z97="CP",$X97,IF($Z97="RA",(($X97)*QCI!$AA$3),0)),SomaAgrup)</f>
        <v>2091.9823084182894</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str" cm="1">
        <f t="array" aca="1" ref="AE97" ca="1">IF(AND($C97="S",ORÇAMENTO.CodBarra&lt;&gt;""),IF(ORÇAMENTO.Fonte="",ORÇAMENTO.CodBarra,CONCATENATE(ORÇAMENTO.Fonte," ",ORÇAMENTO.CodBarra)))</f>
        <v>SINAPI 92761</v>
      </c>
      <c r="AF97" s="12"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6328</v>
      </c>
      <c r="AG97" s="428" cm="1">
        <f t="array" aca="1" ref="AG97" ca="1">ROUND(IF(DESONERACAO="sim",REFERENCIA.Desonerado,REFERENCIA.NaoDesonerado),2)</f>
        <v>12.69</v>
      </c>
      <c r="AH97" s="429">
        <f t="shared" ca="1" si="14"/>
        <v>0.22470000000000001</v>
      </c>
      <c r="AJ97" s="431">
        <v>288</v>
      </c>
      <c r="AL97" s="439"/>
      <c r="AM97" s="336">
        <f t="shared" ca="1" si="23"/>
        <v>4475.5200000000004</v>
      </c>
      <c r="AN97" s="470" cm="1">
        <f t="array" aca="1" ref="AN97" ca="1">ROUND(ORÇAMENTO.CustoUnitario*(1+$AH97),2)</f>
        <v>15.54</v>
      </c>
    </row>
    <row r="98" spans="1:40" ht="38.25" x14ac:dyDescent="0.2">
      <c r="A98" t="str">
        <f t="shared" si="1"/>
        <v>S</v>
      </c>
      <c r="B98">
        <f t="shared" ca="1" si="2"/>
        <v>3</v>
      </c>
      <c r="C98" t="str">
        <f t="shared" ca="1" si="3"/>
        <v>S</v>
      </c>
      <c r="D98">
        <f t="shared" ca="1" si="4"/>
        <v>0</v>
      </c>
      <c r="E98">
        <f ca="1">IF($C98=1,OFFSET(E98,-1,0)+MAX(1,COUNTIF(QCI!$A$13:$A$24,OFFSET(ORÇAMENTO!E98,-1,0))),OFFSET(E98,-1,0))</f>
        <v>1</v>
      </c>
      <c r="F98">
        <f t="shared" ca="1" si="5"/>
        <v>4</v>
      </c>
      <c r="G98">
        <f t="shared" ca="1" si="6"/>
        <v>12</v>
      </c>
      <c r="H98">
        <f t="shared" ca="1" si="7"/>
        <v>0</v>
      </c>
      <c r="I98">
        <f t="shared" ca="1" si="8"/>
        <v>4</v>
      </c>
      <c r="J98">
        <f t="shared" ca="1" si="29"/>
        <v>0</v>
      </c>
      <c r="K98">
        <f ca="1">IF(OR($C98="S",$C98=0),0,MATCH(OFFSET($D98,0,$C98)+IF($C98&lt;&gt;1,1,COUNTIF(QCI!$A$13:$A$24,ORÇAMENTO!E98)),OFFSET($D98,1,$C98,ROW($C$240)-ROW($C98)),0))</f>
        <v>0</v>
      </c>
      <c r="L98" s="114" t="str">
        <f t="shared" ca="1" si="10"/>
        <v>F</v>
      </c>
      <c r="M98" s="115" t="s">
        <v>705</v>
      </c>
      <c r="N98" s="116" t="str">
        <f t="shared" ca="1" si="11"/>
        <v>Serviço</v>
      </c>
      <c r="O98" s="117" t="str">
        <f t="shared" ca="1" si="12"/>
        <v>1.4.12.0.4.</v>
      </c>
      <c r="P98" s="118" t="s">
        <v>750</v>
      </c>
      <c r="Q98" s="119" t="s">
        <v>1183</v>
      </c>
      <c r="R98" s="120" t="str" cm="1">
        <f t="array" aca="1" ref="R98" ca="1">IF($C98="S",REFERENCIA.Descricao,"(digite a descrição aqui)")</f>
        <v>ARMAÇÃO DE PILAR OU VIGA DE ESTRUTURA CONVENCIONAL DE CONCRETO ARMADO UTILIZANDO AÇO CA-50 DE 10,0 MM - MONTAGEM. AF_06/2022</v>
      </c>
      <c r="S98" s="121" t="str" cm="1">
        <f t="array" aca="1" ref="S98" ca="1">REFERENCIA.Unidade</f>
        <v>KG</v>
      </c>
      <c r="T98" s="122">
        <f ca="1">OFFSET(CÁLCULO!H$15,ROW($T98)-ROW(T$15),0)</f>
        <v>147.72</v>
      </c>
      <c r="U98" s="123">
        <f t="shared" ca="1" si="32"/>
        <v>11.27</v>
      </c>
      <c r="V98" s="124" t="s">
        <v>663</v>
      </c>
      <c r="W98" s="122" cm="1">
        <f t="array" aca="1" ref="W98" ca="1">IF($C98="S",ROUND(IF(TIPOORCAMENTO="Proposto",ORÇAMENTO.CustoUnitario*(1+$AH98),ORÇAMENTO.PrecoUnitarioLicitado),15-13*$AF$10),0)</f>
        <v>13.8</v>
      </c>
      <c r="X98" s="125" cm="1">
        <f t="array" aca="1" ref="X98" ca="1">IF($C98="S",IF(OR(Import.TipoArredondamento&lt;&gt;"TransfereGOV",ACOMPANHAMENTO="BM"),VTOTAL1,SUM(OFFSET(CÁLCULO!$AA$15,ROW($X98)-ROW($X$15),1):OFFSET(CÁLCULO!$AL$15,ROW($X98)-ROW($X$15),-1))),IF($C98=0,0,ROUND(SomaAgrup,15-13*$AF$11)))</f>
        <v>2038.54</v>
      </c>
      <c r="Y98" s="126" t="s">
        <v>751</v>
      </c>
      <c r="Z98" t="str">
        <f t="shared" ca="1" si="13"/>
        <v>RA</v>
      </c>
      <c r="AA98" s="127" cm="1">
        <f t="array" aca="1" ref="AA98" ca="1">IF($C98="S",IF($Z98="CP",$X98,IF($Z98="RA",(($X98)*QCI!$AA$3),0)),SomaAgrup)</f>
        <v>952.87019497243205</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str" cm="1">
        <f t="array" aca="1" ref="AE98" ca="1">IF(AND($C98="S",ORÇAMENTO.CodBarra&lt;&gt;""),IF(ORÇAMENTO.Fonte="",ORÇAMENTO.CodBarra,CONCATENATE(ORÇAMENTO.Fonte," ",ORÇAMENTO.CodBarra)))</f>
        <v>SINAPI 92762</v>
      </c>
      <c r="AF98" s="12"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6321</v>
      </c>
      <c r="AG98" s="428" cm="1">
        <f t="array" aca="1" ref="AG98" ca="1">ROUND(IF(DESONERACAO="sim",REFERENCIA.Desonerado,REFERENCIA.NaoDesonerado),2)</f>
        <v>11.27</v>
      </c>
      <c r="AH98" s="429">
        <f t="shared" ca="1" si="14"/>
        <v>0.22470000000000001</v>
      </c>
      <c r="AJ98" s="431">
        <v>147.72</v>
      </c>
      <c r="AL98" s="439"/>
      <c r="AM98" s="336">
        <f t="shared" ca="1" si="23"/>
        <v>2038.54</v>
      </c>
      <c r="AN98" s="470" cm="1">
        <f t="array" aca="1" ref="AN98" ca="1">ROUND(ORÇAMENTO.CustoUnitario*(1+$AH98),2)</f>
        <v>13.8</v>
      </c>
    </row>
    <row r="99" spans="1:40" ht="38.25" x14ac:dyDescent="0.2">
      <c r="A99" t="str">
        <f t="shared" si="1"/>
        <v>S</v>
      </c>
      <c r="B99">
        <f t="shared" ca="1" si="2"/>
        <v>3</v>
      </c>
      <c r="C99" t="str">
        <f t="shared" ca="1" si="3"/>
        <v>S</v>
      </c>
      <c r="D99">
        <f t="shared" ca="1" si="4"/>
        <v>0</v>
      </c>
      <c r="E99">
        <f ca="1">IF($C99=1,OFFSET(E99,-1,0)+MAX(1,COUNTIF(QCI!$A$13:$A$24,OFFSET(ORÇAMENTO!E99,-1,0))),OFFSET(E99,-1,0))</f>
        <v>1</v>
      </c>
      <c r="F99">
        <f t="shared" ca="1" si="5"/>
        <v>4</v>
      </c>
      <c r="G99">
        <f t="shared" ca="1" si="6"/>
        <v>12</v>
      </c>
      <c r="H99">
        <f t="shared" ca="1" si="7"/>
        <v>0</v>
      </c>
      <c r="I99">
        <f t="shared" ca="1" si="8"/>
        <v>5</v>
      </c>
      <c r="J99">
        <f t="shared" ca="1" si="29"/>
        <v>0</v>
      </c>
      <c r="K99">
        <f ca="1">IF(OR($C99="S",$C99=0),0,MATCH(OFFSET($D99,0,$C99)+IF($C99&lt;&gt;1,1,COUNTIF(QCI!$A$13:$A$24,ORÇAMENTO!E99)),OFFSET($D99,1,$C99,ROW($C$240)-ROW($C99)),0))</f>
        <v>0</v>
      </c>
      <c r="L99" s="114" t="str">
        <f t="shared" ca="1" si="10"/>
        <v>F</v>
      </c>
      <c r="M99" s="115" t="s">
        <v>705</v>
      </c>
      <c r="N99" s="116" t="str">
        <f t="shared" ca="1" si="11"/>
        <v>Serviço</v>
      </c>
      <c r="O99" s="117" t="str">
        <f t="shared" ca="1" si="12"/>
        <v>1.4.12.0.5.</v>
      </c>
      <c r="P99" s="118" t="s">
        <v>750</v>
      </c>
      <c r="Q99" s="119" t="s">
        <v>1185</v>
      </c>
      <c r="R99" s="120" t="str" cm="1">
        <f t="array" aca="1" ref="R99" ca="1">IF($C99="S",REFERENCIA.Descricao,"(digite a descrição aqui)")</f>
        <v>CONCRETAGEM DE VIGAS E LAJES, FCK=25 MPA, PARA LAJES MACIÇAS OU NERVURADAS COM USO DE BOMBA - LANÇAMENTO, ADENSAMENTO E ACABAMENTO. AF_02/2022_PS</v>
      </c>
      <c r="S99" s="121" t="str" cm="1">
        <f t="array" aca="1" ref="S99" ca="1">REFERENCIA.Unidade</f>
        <v>M3</v>
      </c>
      <c r="T99" s="122">
        <f ca="1">OFFSET(CÁLCULO!H$15,ROW($T99)-ROW(T$15),0)</f>
        <v>11.1</v>
      </c>
      <c r="U99" s="123">
        <f t="shared" ca="1" si="32"/>
        <v>707.25</v>
      </c>
      <c r="V99" s="124" t="s">
        <v>663</v>
      </c>
      <c r="W99" s="122" cm="1">
        <f t="array" aca="1" ref="W99" ca="1">IF($C99="S",ROUND(IF(TIPOORCAMENTO="Proposto",ORÇAMENTO.CustoUnitario*(1+$AH99),ORÇAMENTO.PrecoUnitarioLicitado),15-13*$AF$10),0)</f>
        <v>866.17</v>
      </c>
      <c r="X99" s="125" cm="1">
        <f t="array" aca="1" ref="X99" ca="1">IF($C99="S",IF(OR(Import.TipoArredondamento&lt;&gt;"TransfereGOV",ACOMPANHAMENTO="BM"),VTOTAL1,SUM(OFFSET(CÁLCULO!$AA$15,ROW($X99)-ROW($X$15),1):OFFSET(CÁLCULO!$AL$15,ROW($X99)-ROW($X$15),-1))),IF($C99=0,0,ROUND(SomaAgrup,15-13*$AF$11)))</f>
        <v>9614.49</v>
      </c>
      <c r="Y99" s="126" t="s">
        <v>751</v>
      </c>
      <c r="Z99" t="str">
        <f t="shared" ca="1" si="13"/>
        <v>RA</v>
      </c>
      <c r="AA99" s="127" cm="1">
        <f t="array" aca="1" ref="AA99" ca="1">IF($C99="S",IF($Z99="CP",$X99,IF($Z99="RA",(($X99)*QCI!$AA$3),0)),SomaAgrup)</f>
        <v>4494.0795671708665</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cm="1">
        <f t="array" aca="1" ref="AE99" ca="1">IF(AND($C99="S",ORÇAMENTO.CodBarra&lt;&gt;""),IF(ORÇAMENTO.Fonte="",ORÇAMENTO.CodBarra,CONCATENATE(ORÇAMENTO.Fonte," ",ORÇAMENTO.CodBarra)))</f>
        <v>SINAPI 103675</v>
      </c>
      <c r="AF99" s="12"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7354</v>
      </c>
      <c r="AG99" s="428" cm="1">
        <f t="array" aca="1" ref="AG99" ca="1">ROUND(IF(DESONERACAO="sim",REFERENCIA.Desonerado,REFERENCIA.NaoDesonerado),2)</f>
        <v>707.25</v>
      </c>
      <c r="AH99" s="429">
        <f t="shared" ca="1" si="14"/>
        <v>0.22470000000000001</v>
      </c>
      <c r="AJ99" s="431">
        <v>11.1</v>
      </c>
      <c r="AL99" s="439"/>
      <c r="AM99" s="336">
        <f t="shared" ca="1" si="23"/>
        <v>9614.49</v>
      </c>
      <c r="AN99" s="470" cm="1">
        <f t="array" aca="1" ref="AN99" ca="1">ROUND(ORÇAMENTO.CustoUnitario*(1+$AH99),2)</f>
        <v>866.17</v>
      </c>
    </row>
    <row r="100" spans="1:40" x14ac:dyDescent="0.2">
      <c r="A100">
        <f t="shared" si="1"/>
        <v>3</v>
      </c>
      <c r="B100">
        <f t="shared" ca="1" si="2"/>
        <v>3</v>
      </c>
      <c r="C100">
        <f t="shared" ca="1" si="3"/>
        <v>3</v>
      </c>
      <c r="D100">
        <f t="shared" ca="1" si="4"/>
        <v>3</v>
      </c>
      <c r="E100">
        <f ca="1">IF($C100=1,OFFSET(E100,-1,0)+MAX(1,COUNTIF(QCI!$A$13:$A$24,OFFSET(ORÇAMENTO!E100,-1,0))),OFFSET(E100,-1,0))</f>
        <v>1</v>
      </c>
      <c r="F100">
        <f t="shared" ca="1" si="5"/>
        <v>4</v>
      </c>
      <c r="G100">
        <f t="shared" ca="1" si="6"/>
        <v>13</v>
      </c>
      <c r="H100">
        <f t="shared" ca="1" si="7"/>
        <v>0</v>
      </c>
      <c r="I100">
        <f t="shared" ca="1" si="8"/>
        <v>0</v>
      </c>
      <c r="J100">
        <f t="shared" ca="1" si="29"/>
        <v>3</v>
      </c>
      <c r="K100" t="e">
        <f ca="1">IF(OR($C100="S",$C100=0),0,MATCH(OFFSET($D100,0,$C100)+IF($C100&lt;&gt;1,1,COUNTIF(QCI!$A$13:$A$24,ORÇAMENTO!E100)),OFFSET($D100,1,$C100,ROW($C$240)-ROW($C100)),0))</f>
        <v>#N/A</v>
      </c>
      <c r="L100" s="114" t="str">
        <f t="shared" ca="1" si="10"/>
        <v>F</v>
      </c>
      <c r="M100" s="115" t="s">
        <v>703</v>
      </c>
      <c r="N100" s="116" t="str">
        <f t="shared" ca="1" si="11"/>
        <v>Nível 3</v>
      </c>
      <c r="O100" s="117" t="str">
        <f t="shared" ca="1" si="12"/>
        <v>1.4.13.</v>
      </c>
      <c r="P100" s="118" t="s">
        <v>750</v>
      </c>
      <c r="Q100" s="119"/>
      <c r="R100" s="120" t="s">
        <v>1041</v>
      </c>
      <c r="S100" s="121" t="str" cm="1">
        <f t="array" aca="1" ref="S100" ca="1">REFERENCIA.Unidade</f>
        <v>-</v>
      </c>
      <c r="T100" s="122">
        <f ca="1">OFFSET(CÁLCULO!H$15,ROW($T100)-ROW(T$15),0)</f>
        <v>0</v>
      </c>
      <c r="U100" s="123"/>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IF($C100="S",IF(OR(Import.TipoArredondamento&lt;&gt;"TransfereGOV",ACOMPANHAMENTO="BM"),VTOTAL1,SUM(OFFSET(CÁLCULO!$AA$15,ROW($X100)-ROW($X$15),1):OFFSET(CÁLCULO!$AL$15,ROW($X100)-ROW($X$15),-1))),IF($C100=0,0,ROUND(SomaAgrup,15-13*$AF$11)))</f>
        <v>32933.71</v>
      </c>
      <c r="Y100" s="126" t="s">
        <v>751</v>
      </c>
      <c r="Z100" t="str">
        <f t="shared" ca="1" si="13"/>
        <v/>
      </c>
      <c r="AA100" s="127" cm="1">
        <f t="array" aca="1" ref="AA100" ca="1">IF($C100="S",IF($Z100="CP",$X100,IF($Z100="RA",(($X100)*QCI!$AA$3),0)),SomaAgrup)</f>
        <v>15394.130440837824</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cm="1">
        <f t="array" aca="1" ref="AE100" ca="1">IF(AND($C100="S",ORÇAMENTO.CodBarra&lt;&gt;""),IF(ORÇAMENTO.Fonte="",ORÇAMENTO.CodBarra,CONCATENATE(ORÇAMENTO.Fonte," ",ORÇAMENTO.CodBarra)))</f>
        <v>0</v>
      </c>
      <c r="AF100" s="12"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(Sem Código)</v>
      </c>
      <c r="AG100" s="428" cm="1">
        <f t="array" aca="1" ref="AG100" ca="1">ROUND(IF(DESONERACAO="sim",REFERENCIA.Desonerado,REFERENCIA.NaoDesonerado),2)</f>
        <v>0</v>
      </c>
      <c r="AH100" s="429">
        <f t="shared" ca="1" si="14"/>
        <v>0.22470000000000001</v>
      </c>
      <c r="AJ100" s="431"/>
      <c r="AL100" s="439"/>
      <c r="AM100" s="336">
        <f t="shared" ca="1" si="23"/>
        <v>32933.71</v>
      </c>
      <c r="AN100" s="470" cm="1">
        <f t="array" aca="1" ref="AN100" ca="1">ROUND(ORÇAMENTO.CustoUnitario*(1+$AH100),2)</f>
        <v>0</v>
      </c>
    </row>
    <row r="101" spans="1:40" ht="38.25" x14ac:dyDescent="0.2">
      <c r="A101" t="str">
        <f t="shared" si="1"/>
        <v>S</v>
      </c>
      <c r="B101">
        <f t="shared" ca="1" si="2"/>
        <v>3</v>
      </c>
      <c r="C101" t="str">
        <f t="shared" ca="1" si="3"/>
        <v>S</v>
      </c>
      <c r="D101">
        <f t="shared" ca="1" si="4"/>
        <v>0</v>
      </c>
      <c r="E101">
        <f ca="1">IF($C101=1,OFFSET(E101,-1,0)+MAX(1,COUNTIF(QCI!$A$13:$A$24,OFFSET(ORÇAMENTO!E101,-1,0))),OFFSET(E101,-1,0))</f>
        <v>1</v>
      </c>
      <c r="F101">
        <f t="shared" ca="1" si="5"/>
        <v>4</v>
      </c>
      <c r="G101">
        <f t="shared" ca="1" si="6"/>
        <v>13</v>
      </c>
      <c r="H101">
        <f t="shared" ca="1" si="7"/>
        <v>0</v>
      </c>
      <c r="I101">
        <f t="shared" ca="1" si="8"/>
        <v>1</v>
      </c>
      <c r="J101">
        <f t="shared" ca="1" si="29"/>
        <v>0</v>
      </c>
      <c r="K101">
        <f ca="1">IF(OR($C101="S",$C101=0),0,MATCH(OFFSET($D101,0,$C101)+IF($C101&lt;&gt;1,1,COUNTIF(QCI!$A$13:$A$24,ORÇAMENTO!E101)),OFFSET($D101,1,$C101,ROW($C$240)-ROW($C101)),0))</f>
        <v>0</v>
      </c>
      <c r="L101" s="114" t="str">
        <f t="shared" ca="1" si="10"/>
        <v>F</v>
      </c>
      <c r="M101" s="115" t="s">
        <v>705</v>
      </c>
      <c r="N101" s="116" t="str">
        <f t="shared" ca="1" si="11"/>
        <v>Serviço</v>
      </c>
      <c r="O101" s="117" t="str">
        <f t="shared" ca="1" si="12"/>
        <v>1.4.13.0.1.</v>
      </c>
      <c r="P101" s="118" t="s">
        <v>1097</v>
      </c>
      <c r="Q101" s="119" t="s">
        <v>1188</v>
      </c>
      <c r="R101" s="120" t="str" cm="1">
        <f t="array" aca="1" ref="R101" ca="1">IF($C101="S",REFERENCIA.Descricao,"(digite a descrição aqui)")</f>
        <v>LAJE PRÉ-MOLDADA UNIDIRECIONAL, BIAPOIADA, PARA PISO, ENCHIMENTO EM CERÂMICA, VIGOTA TRELIÇADA, ALTURA TOTAL DA LAJE "LT" = 16 CM (ENCHIMENTO+CAPA) = (12+4)</v>
      </c>
      <c r="S101" s="121" t="str" cm="1">
        <f t="array" aca="1" ref="S101" ca="1">REFERENCIA.Unidade</f>
        <v>M2</v>
      </c>
      <c r="T101" s="122">
        <f ca="1">OFFSET(CÁLCULO!H$15,ROW($T101)-ROW(T$15),0)</f>
        <v>96.75</v>
      </c>
      <c r="U101" s="123">
        <f t="shared" ref="U101:U102" ca="1" si="33">AG101</f>
        <v>228.58</v>
      </c>
      <c r="V101" s="124" t="s">
        <v>663</v>
      </c>
      <c r="W101" s="122" cm="1">
        <f t="array" aca="1" ref="W101" ca="1">IF($C101="S",ROUND(IF(TIPOORCAMENTO="Proposto",ORÇAMENTO.CustoUnitario*(1+$AH101),ORÇAMENTO.PrecoUnitarioLicitado),15-13*$AF$10),0)</f>
        <v>279.94</v>
      </c>
      <c r="X101" s="125" cm="1">
        <f t="array" aca="1" ref="X101" ca="1">IF($C101="S",IF(OR(Import.TipoArredondamento&lt;&gt;"TransfereGOV",ACOMPANHAMENTO="BM"),VTOTAL1,SUM(OFFSET(CÁLCULO!$AA$15,ROW($X101)-ROW($X$15),1):OFFSET(CÁLCULO!$AL$15,ROW($X101)-ROW($X$15),-1))),IF($C101=0,0,ROUND(SomaAgrup,15-13*$AF$11)))</f>
        <v>27084.2</v>
      </c>
      <c r="Y101" s="126" t="s">
        <v>751</v>
      </c>
      <c r="Z101" t="str">
        <f t="shared" ca="1" si="13"/>
        <v>RA</v>
      </c>
      <c r="AA101" s="127" cm="1">
        <f t="array" aca="1" ref="AA101" ca="1">IF($C101="S",IF($Z101="CP",$X101,IF($Z101="RA",(($X101)*QCI!$AA$3),0)),SomaAgrup)</f>
        <v>12659.907058322302</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COMPOSIÇÃO 008</v>
      </c>
      <c r="AF101" s="12"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10</v>
      </c>
      <c r="AG101" s="428" cm="1">
        <f t="array" aca="1" ref="AG101" ca="1">ROUND(IF(DESONERACAO="sim",REFERENCIA.Desonerado,REFERENCIA.NaoDesonerado),2)</f>
        <v>228.58</v>
      </c>
      <c r="AH101" s="429">
        <f t="shared" ca="1" si="14"/>
        <v>0.22470000000000001</v>
      </c>
      <c r="AJ101" s="431">
        <v>96.75</v>
      </c>
      <c r="AL101" s="439"/>
      <c r="AM101" s="336">
        <f t="shared" ca="1" si="23"/>
        <v>27084.2</v>
      </c>
      <c r="AN101" s="470" cm="1">
        <f t="array" aca="1" ref="AN101" ca="1">ROUND(ORÇAMENTO.CustoUnitario*(1+$AH101),2)</f>
        <v>279.94</v>
      </c>
    </row>
    <row r="102" spans="1:40" ht="25.5" x14ac:dyDescent="0.2">
      <c r="A102" t="str">
        <f t="shared" si="1"/>
        <v>S</v>
      </c>
      <c r="B102">
        <f t="shared" ca="1" si="2"/>
        <v>3</v>
      </c>
      <c r="C102" t="str">
        <f t="shared" ca="1" si="3"/>
        <v>S</v>
      </c>
      <c r="D102">
        <f t="shared" ca="1" si="4"/>
        <v>0</v>
      </c>
      <c r="E102">
        <f ca="1">IF($C102=1,OFFSET(E102,-1,0)+MAX(1,COUNTIF(QCI!$A$13:$A$24,OFFSET(ORÇAMENTO!E102,-1,0))),OFFSET(E102,-1,0))</f>
        <v>1</v>
      </c>
      <c r="F102">
        <f t="shared" ca="1" si="5"/>
        <v>4</v>
      </c>
      <c r="G102">
        <f t="shared" ca="1" si="6"/>
        <v>13</v>
      </c>
      <c r="H102">
        <f t="shared" ca="1" si="7"/>
        <v>0</v>
      </c>
      <c r="I102">
        <f t="shared" ca="1" si="8"/>
        <v>2</v>
      </c>
      <c r="J102">
        <f t="shared" ca="1" si="29"/>
        <v>0</v>
      </c>
      <c r="K102">
        <f ca="1">IF(OR($C102="S",$C102=0),0,MATCH(OFFSET($D102,0,$C102)+IF($C102&lt;&gt;1,1,COUNTIF(QCI!$A$13:$A$24,ORÇAMENTO!E102)),OFFSET($D102,1,$C102,ROW($C$240)-ROW($C102)),0))</f>
        <v>0</v>
      </c>
      <c r="L102" s="114" t="str">
        <f t="shared" ca="1" si="10"/>
        <v>F</v>
      </c>
      <c r="M102" s="115" t="s">
        <v>705</v>
      </c>
      <c r="N102" s="116" t="str">
        <f t="shared" ca="1" si="11"/>
        <v>Serviço</v>
      </c>
      <c r="O102" s="117" t="str">
        <f t="shared" ca="1" si="12"/>
        <v>1.4.13.0.2.</v>
      </c>
      <c r="P102" s="118" t="s">
        <v>750</v>
      </c>
      <c r="Q102" s="119" t="s">
        <v>1152</v>
      </c>
      <c r="R102" s="120" t="str" cm="1">
        <f t="array" aca="1" ref="R102" ca="1">IF($C102="S",REFERENCIA.Descricao,"(digite a descrição aqui)")</f>
        <v>IMPERMEABILIZAÇÃO DE SUPERFÍCIE COM EMULSÃO ASFÁLTICA, 2 DEMÃOS. AF_09/2023</v>
      </c>
      <c r="S102" s="121" t="str" cm="1">
        <f t="array" aca="1" ref="S102" ca="1">REFERENCIA.Unidade</f>
        <v>M2</v>
      </c>
      <c r="T102" s="122">
        <f ca="1">OFFSET(CÁLCULO!H$15,ROW($T102)-ROW(T$15),0)</f>
        <v>96.75</v>
      </c>
      <c r="U102" s="123">
        <f t="shared" ca="1" si="33"/>
        <v>49.37</v>
      </c>
      <c r="V102" s="124" t="s">
        <v>663</v>
      </c>
      <c r="W102" s="122" cm="1">
        <f t="array" aca="1" ref="W102" ca="1">IF($C102="S",ROUND(IF(TIPOORCAMENTO="Proposto",ORÇAMENTO.CustoUnitario*(1+$AH102),ORÇAMENTO.PrecoUnitarioLicitado),15-13*$AF$10),0)</f>
        <v>60.46</v>
      </c>
      <c r="X102" s="125" cm="1">
        <f t="array" aca="1" ref="X102" ca="1">IF($C102="S",IF(OR(Import.TipoArredondamento&lt;&gt;"TransfereGOV",ACOMPANHAMENTO="BM"),VTOTAL1,SUM(OFFSET(CÁLCULO!$AA$15,ROW($X102)-ROW($X$15),1):OFFSET(CÁLCULO!$AL$15,ROW($X102)-ROW($X$15),-1))),IF($C102=0,0,ROUND(SomaAgrup,15-13*$AF$11)))</f>
        <v>5849.51</v>
      </c>
      <c r="Y102" s="126" t="s">
        <v>751</v>
      </c>
      <c r="Z102" t="str">
        <f t="shared" ca="1" si="13"/>
        <v>RA</v>
      </c>
      <c r="AA102" s="127" cm="1">
        <f t="array" aca="1" ref="AA102" ca="1">IF($C102="S",IF($Z102="CP",$X102,IF($Z102="RA",(($X102)*QCI!$AA$3),0)),SomaAgrup)</f>
        <v>2734.2233825155217</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str" cm="1">
        <f t="array" aca="1" ref="AE102" ca="1">IF(AND($C102="S",ORÇAMENTO.CodBarra&lt;&gt;""),IF(ORÇAMENTO.Fonte="",ORÇAMENTO.CodBarra,CONCATENATE(ORÇAMENTO.Fonte," ",ORÇAMENTO.CodBarra)))</f>
        <v>SINAPI 98557</v>
      </c>
      <c r="AF102" s="12"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10489</v>
      </c>
      <c r="AG102" s="428" cm="1">
        <f t="array" aca="1" ref="AG102" ca="1">ROUND(IF(DESONERACAO="sim",REFERENCIA.Desonerado,REFERENCIA.NaoDesonerado),2)</f>
        <v>49.37</v>
      </c>
      <c r="AH102" s="429">
        <f t="shared" ca="1" si="14"/>
        <v>0.22470000000000001</v>
      </c>
      <c r="AJ102" s="431">
        <v>96.75</v>
      </c>
      <c r="AL102" s="439"/>
      <c r="AM102" s="336">
        <f t="shared" ref="AM102" ca="1" si="34">$X102</f>
        <v>5849.51</v>
      </c>
      <c r="AN102" s="470" cm="1">
        <f t="array" aca="1" ref="AN102" ca="1">ROUND(ORÇAMENTO.CustoUnitario*(1+$AH102),2)</f>
        <v>60.46</v>
      </c>
    </row>
    <row r="103" spans="1:40" x14ac:dyDescent="0.2">
      <c r="A103">
        <f t="shared" si="1"/>
        <v>2</v>
      </c>
      <c r="B103">
        <f t="shared" ca="1" si="2"/>
        <v>2</v>
      </c>
      <c r="C103">
        <f t="shared" ca="1" si="3"/>
        <v>2</v>
      </c>
      <c r="D103">
        <f t="shared" ca="1" si="4"/>
        <v>8</v>
      </c>
      <c r="E103">
        <f ca="1">IF($C103=1,OFFSET(E103,-1,0)+MAX(1,COUNTIF(QCI!$A$13:$A$24,OFFSET(ORÇAMENTO!E103,-1,0))),OFFSET(E103,-1,0))</f>
        <v>1</v>
      </c>
      <c r="F103">
        <f t="shared" ca="1" si="5"/>
        <v>5</v>
      </c>
      <c r="G103">
        <f t="shared" ca="1" si="6"/>
        <v>0</v>
      </c>
      <c r="H103">
        <f t="shared" ca="1" si="7"/>
        <v>0</v>
      </c>
      <c r="I103">
        <f t="shared" ca="1" si="8"/>
        <v>0</v>
      </c>
      <c r="J103">
        <f t="shared" ca="1" si="29"/>
        <v>137</v>
      </c>
      <c r="K103">
        <f ca="1">IF(OR($C103="S",$C103=0),0,MATCH(OFFSET($D103,0,$C103)+IF($C103&lt;&gt;1,1,COUNTIF(QCI!$A$13:$A$24,ORÇAMENTO!E103)),OFFSET($D103,1,$C103,ROW($C$240)-ROW($C103)),0))</f>
        <v>8</v>
      </c>
      <c r="L103" s="114" t="str">
        <f t="shared" ca="1" si="10"/>
        <v>F</v>
      </c>
      <c r="M103" s="115" t="s">
        <v>702</v>
      </c>
      <c r="N103" s="116" t="str">
        <f t="shared" ca="1" si="11"/>
        <v>Nível 2</v>
      </c>
      <c r="O103" s="117" t="str">
        <f t="shared" ca="1" si="12"/>
        <v>1.5.</v>
      </c>
      <c r="P103" s="118" t="s">
        <v>750</v>
      </c>
      <c r="Q103" s="119"/>
      <c r="R103" s="120" t="s">
        <v>1018</v>
      </c>
      <c r="S103" s="121" t="str" cm="1">
        <f t="array" aca="1" ref="S103" ca="1">REFERENCIA.Unidade</f>
        <v>-</v>
      </c>
      <c r="T103" s="122">
        <f ca="1">OFFSET(CÁLCULO!H$15,ROW($T103)-ROW(T$15),0)</f>
        <v>0</v>
      </c>
      <c r="U103" s="123"/>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IF($C103="S",IF(OR(Import.TipoArredondamento&lt;&gt;"TransfereGOV",ACOMPANHAMENTO="BM"),VTOTAL1,SUM(OFFSET(CÁLCULO!$AA$15,ROW($X103)-ROW($X$15),1):OFFSET(CÁLCULO!$AL$15,ROW($X103)-ROW($X$15),-1))),IF($C103=0,0,ROUND(SomaAgrup,15-13*$AF$11)))</f>
        <v>545054.98</v>
      </c>
      <c r="Y103" s="126" t="s">
        <v>751</v>
      </c>
      <c r="Z103" t="str">
        <f t="shared" ca="1" si="13"/>
        <v/>
      </c>
      <c r="AA103" s="127" cm="1">
        <f t="array" aca="1" ref="AA103" ca="1">IF($C103="S",IF($Z103="CP",$X103,IF($Z103="RA",(($X103)*QCI!$AA$3),0)),SomaAgrup)</f>
        <v>254773.83081190218</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f ca="1">IF(C103&lt;=CRONO.NivelExibicao,MAX($AD$15:OFFSET(AD103,-1,0))+IF($C103&lt;&gt;1,1,MAX(1,COUNTIF(QCI!$A$13:$A$24,OFFSET($E103,-1,0)))),"")</f>
        <v>6</v>
      </c>
      <c r="AE103" s="7" t="b" cm="1">
        <f t="array" aca="1" ref="AE103" ca="1">IF(AND($C103="S",ORÇAMENTO.CodBarra&lt;&gt;""),IF(ORÇAMENTO.Fonte="",ORÇAMENTO.CodBarra,CONCATENATE(ORÇAMENTO.Fonte," ",ORÇAMENTO.CodBarra)))</f>
        <v>0</v>
      </c>
      <c r="AF103" s="12"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(Sem Código)</v>
      </c>
      <c r="AG103" s="428" cm="1">
        <f t="array" aca="1" ref="AG103" ca="1">ROUND(IF(DESONERACAO="sim",REFERENCIA.Desonerado,REFERENCIA.NaoDesonerado),2)</f>
        <v>0</v>
      </c>
      <c r="AH103" s="429">
        <f t="shared" ca="1" si="14"/>
        <v>0.22470000000000001</v>
      </c>
      <c r="AJ103" s="431"/>
      <c r="AL103" s="439"/>
      <c r="AM103" s="336">
        <f t="shared" ca="1" si="0"/>
        <v>545054.98</v>
      </c>
      <c r="AN103" s="470" cm="1">
        <f t="array" aca="1" ref="AN103" ca="1">ROUND(ORÇAMENTO.CustoUnitario*(1+$AH103),2)</f>
        <v>0</v>
      </c>
    </row>
    <row r="104" spans="1:40" x14ac:dyDescent="0.2">
      <c r="A104">
        <f t="shared" si="1"/>
        <v>3</v>
      </c>
      <c r="B104">
        <f t="shared" ca="1" si="2"/>
        <v>3</v>
      </c>
      <c r="C104">
        <f t="shared" ca="1" si="3"/>
        <v>3</v>
      </c>
      <c r="D104">
        <f t="shared" ca="1" si="4"/>
        <v>2</v>
      </c>
      <c r="E104">
        <f ca="1">IF($C104=1,OFFSET(E104,-1,0)+MAX(1,COUNTIF(QCI!$A$13:$A$24,OFFSET(ORÇAMENTO!E104,-1,0))),OFFSET(E104,-1,0))</f>
        <v>1</v>
      </c>
      <c r="F104">
        <f t="shared" ca="1" si="5"/>
        <v>5</v>
      </c>
      <c r="G104">
        <f t="shared" ca="1" si="6"/>
        <v>1</v>
      </c>
      <c r="H104">
        <f t="shared" ca="1" si="7"/>
        <v>0</v>
      </c>
      <c r="I104">
        <f t="shared" ca="1" si="8"/>
        <v>0</v>
      </c>
      <c r="J104">
        <f t="shared" ca="1" si="29"/>
        <v>7</v>
      </c>
      <c r="K104">
        <f ca="1">IF(OR($C104="S",$C104=0),0,MATCH(OFFSET($D104,0,$C104)+IF($C104&lt;&gt;1,1,COUNTIF(QCI!$A$13:$A$24,ORÇAMENTO!E104)),OFFSET($D104,1,$C104,ROW($C$240)-ROW($C104)),0))</f>
        <v>2</v>
      </c>
      <c r="L104" s="114" t="str">
        <f t="shared" ca="1" si="10"/>
        <v>F</v>
      </c>
      <c r="M104" s="115" t="s">
        <v>703</v>
      </c>
      <c r="N104" s="116" t="str">
        <f t="shared" ca="1" si="11"/>
        <v>Nível 3</v>
      </c>
      <c r="O104" s="117" t="str">
        <f t="shared" ca="1" si="12"/>
        <v>1.5.1.</v>
      </c>
      <c r="P104" s="118" t="s">
        <v>750</v>
      </c>
      <c r="Q104" s="119"/>
      <c r="R104" s="120" t="s">
        <v>1186</v>
      </c>
      <c r="S104" s="121" t="str" cm="1">
        <f t="array" aca="1" ref="S104" ca="1">REFERENCIA.Unidade</f>
        <v>-</v>
      </c>
      <c r="T104" s="122">
        <f ca="1">OFFSET(CÁLCULO!H$15,ROW($T104)-ROW(T$15),0)</f>
        <v>0</v>
      </c>
      <c r="U104" s="123"/>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IF($C104="S",IF(OR(Import.TipoArredondamento&lt;&gt;"TransfereGOV",ACOMPANHAMENTO="BM"),VTOTAL1,SUM(OFFSET(CÁLCULO!$AA$15,ROW($X104)-ROW($X$15),1):OFFSET(CÁLCULO!$AL$15,ROW($X104)-ROW($X$15),-1))),IF($C104=0,0,ROUND(SomaAgrup,15-13*$AF$11)))</f>
        <v>16144.8</v>
      </c>
      <c r="Y104" s="126" t="s">
        <v>751</v>
      </c>
      <c r="Z104" t="str">
        <f t="shared" ca="1" si="13"/>
        <v/>
      </c>
      <c r="AA104" s="127" cm="1">
        <f t="array" aca="1" ref="AA104" ca="1">IF($C104="S",IF($Z104="CP",$X104,IF($Z104="RA",(($X104)*QCI!$AA$3),0)),SomaAgrup)</f>
        <v>7546.5277717341442</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b" cm="1">
        <f t="array" aca="1" ref="AE104" ca="1">IF(AND($C104="S",ORÇAMENTO.CodBarra&lt;&gt;""),IF(ORÇAMENTO.Fonte="",ORÇAMENTO.CodBarra,CONCATENATE(ORÇAMENTO.Fonte," ",ORÇAMENTO.CodBarra)))</f>
        <v>0</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ca="1" si="14"/>
        <v>0.22470000000000001</v>
      </c>
      <c r="AJ104" s="431"/>
      <c r="AL104" s="439"/>
      <c r="AM104" s="336">
        <f t="shared" ref="AM104:AM105" ca="1" si="35">$X104</f>
        <v>16144.8</v>
      </c>
      <c r="AN104" s="470" cm="1">
        <f t="array" aca="1" ref="AN104" ca="1">ROUND(ORÇAMENTO.CustoUnitario*(1+$AH104),2)</f>
        <v>0</v>
      </c>
    </row>
    <row r="105" spans="1:40" ht="38.25" x14ac:dyDescent="0.2">
      <c r="A105" t="str">
        <f t="shared" si="1"/>
        <v>S</v>
      </c>
      <c r="B105">
        <f t="shared" ca="1" si="2"/>
        <v>3</v>
      </c>
      <c r="C105" t="str">
        <f t="shared" ca="1" si="3"/>
        <v>S</v>
      </c>
      <c r="D105">
        <f t="shared" ca="1" si="4"/>
        <v>0</v>
      </c>
      <c r="E105">
        <f ca="1">IF($C105=1,OFFSET(E105,-1,0)+MAX(1,COUNTIF(QCI!$A$13:$A$24,OFFSET(ORÇAMENTO!E105,-1,0))),OFFSET(E105,-1,0))</f>
        <v>1</v>
      </c>
      <c r="F105">
        <f t="shared" ca="1" si="5"/>
        <v>5</v>
      </c>
      <c r="G105">
        <f t="shared" ca="1" si="6"/>
        <v>1</v>
      </c>
      <c r="H105">
        <f t="shared" ca="1" si="7"/>
        <v>0</v>
      </c>
      <c r="I105">
        <f t="shared" ca="1" si="8"/>
        <v>1</v>
      </c>
      <c r="J105">
        <f t="shared" ca="1" si="29"/>
        <v>0</v>
      </c>
      <c r="K105">
        <f ca="1">IF(OR($C105="S",$C105=0),0,MATCH(OFFSET($D105,0,$C105)+IF($C105&lt;&gt;1,1,COUNTIF(QCI!$A$13:$A$24,ORÇAMENTO!E105)),OFFSET($D105,1,$C105,ROW($C$240)-ROW($C105)),0))</f>
        <v>0</v>
      </c>
      <c r="L105" s="114" t="str">
        <f t="shared" ca="1" si="10"/>
        <v>F</v>
      </c>
      <c r="M105" s="115" t="s">
        <v>705</v>
      </c>
      <c r="N105" s="116" t="str">
        <f t="shared" ca="1" si="11"/>
        <v>Serviço</v>
      </c>
      <c r="O105" s="117" t="str">
        <f t="shared" ca="1" si="12"/>
        <v>1.5.1.0.1.</v>
      </c>
      <c r="P105" s="118" t="s">
        <v>750</v>
      </c>
      <c r="Q105" s="119" t="s">
        <v>1187</v>
      </c>
      <c r="R105" s="120" t="str" cm="1">
        <f t="array" aca="1" ref="R105" ca="1">IF($C105="S",REFERENCIA.Descricao,"(digite a descrição aqui)")</f>
        <v>ALVENARIA DE VEDAÇÃO DE BLOCOS CERÂMICOS MACIÇOS DE 5X10X20CM (ESPESSURA 10CM) E ARGAMASSA DE ASSENTAMENTO COM PREPARO EM BETONEIRA. AF_05/2020</v>
      </c>
      <c r="S105" s="121" t="str" cm="1">
        <f t="array" aca="1" ref="S105" ca="1">REFERENCIA.Unidade</f>
        <v>M2</v>
      </c>
      <c r="T105" s="122">
        <f ca="1">OFFSET(CÁLCULO!H$15,ROW($T105)-ROW(T$15),0)</f>
        <v>93</v>
      </c>
      <c r="U105" s="123">
        <f ca="1">AG105</f>
        <v>141.75</v>
      </c>
      <c r="V105" s="124" t="s">
        <v>663</v>
      </c>
      <c r="W105" s="122" cm="1">
        <f t="array" aca="1" ref="W105" ca="1">IF($C105="S",ROUND(IF(TIPOORCAMENTO="Proposto",ORÇAMENTO.CustoUnitario*(1+$AH105),ORÇAMENTO.PrecoUnitarioLicitado),15-13*$AF$10),0)</f>
        <v>173.6</v>
      </c>
      <c r="X105" s="125" cm="1">
        <f t="array" aca="1" ref="X105" ca="1">IF($C105="S",IF(OR(Import.TipoArredondamento&lt;&gt;"TransfereGOV",ACOMPANHAMENTO="BM"),VTOTAL1,SUM(OFFSET(CÁLCULO!$AA$15,ROW($X105)-ROW($X$15),1):OFFSET(CÁLCULO!$AL$15,ROW($X105)-ROW($X$15),-1))),IF($C105=0,0,ROUND(SomaAgrup,15-13*$AF$11)))</f>
        <v>16144.8</v>
      </c>
      <c r="Y105" s="126" t="s">
        <v>751</v>
      </c>
      <c r="Z105" t="str">
        <f t="shared" ca="1" si="13"/>
        <v>RA</v>
      </c>
      <c r="AA105" s="127" cm="1">
        <f t="array" aca="1" ref="AA105" ca="1">IF($C105="S",IF($Z105="CP",$X105,IF($Z105="RA",(($X105)*QCI!$AA$3),0)),SomaAgrup)</f>
        <v>7546.5277717341442</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str" cm="1">
        <f t="array" aca="1" ref="AE105" ca="1">IF(AND($C105="S",ORÇAMENTO.CodBarra&lt;&gt;""),IF(ORÇAMENTO.Fonte="",ORÇAMENTO.CodBarra,CONCATENATE(ORÇAMENTO.Fonte," ",ORÇAMENTO.CodBarra)))</f>
        <v>SINAPI 101159</v>
      </c>
      <c r="AF105" s="12"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6122</v>
      </c>
      <c r="AG105" s="428" cm="1">
        <f t="array" aca="1" ref="AG105" ca="1">ROUND(IF(DESONERACAO="sim",REFERENCIA.Desonerado,REFERENCIA.NaoDesonerado),2)</f>
        <v>141.75</v>
      </c>
      <c r="AH105" s="429">
        <f t="shared" ca="1" si="14"/>
        <v>0.22470000000000001</v>
      </c>
      <c r="AJ105" s="431">
        <v>93</v>
      </c>
      <c r="AL105" s="439"/>
      <c r="AM105" s="336">
        <f t="shared" ca="1" si="35"/>
        <v>16144.8</v>
      </c>
      <c r="AN105" s="470" cm="1">
        <f t="array" aca="1" ref="AN105" ca="1">ROUND(ORÇAMENTO.CustoUnitario*(1+$AH105),2)</f>
        <v>173.6</v>
      </c>
    </row>
    <row r="106" spans="1:40" x14ac:dyDescent="0.2">
      <c r="A106">
        <f t="shared" si="1"/>
        <v>3</v>
      </c>
      <c r="B106">
        <f t="shared" ca="1" si="2"/>
        <v>3</v>
      </c>
      <c r="C106">
        <f t="shared" ca="1" si="3"/>
        <v>3</v>
      </c>
      <c r="D106">
        <f t="shared" ca="1" si="4"/>
        <v>2</v>
      </c>
      <c r="E106">
        <f ca="1">IF($C106=1,OFFSET(E106,-1,0)+MAX(1,COUNTIF(QCI!$A$13:$A$24,OFFSET(ORÇAMENTO!E106,-1,0))),OFFSET(E106,-1,0))</f>
        <v>1</v>
      </c>
      <c r="F106">
        <f t="shared" ca="1" si="5"/>
        <v>5</v>
      </c>
      <c r="G106">
        <f t="shared" ca="1" si="6"/>
        <v>2</v>
      </c>
      <c r="H106">
        <f t="shared" ca="1" si="7"/>
        <v>0</v>
      </c>
      <c r="I106">
        <f t="shared" ca="1" si="8"/>
        <v>0</v>
      </c>
      <c r="J106">
        <f t="shared" ca="1" si="29"/>
        <v>5</v>
      </c>
      <c r="K106">
        <f ca="1">IF(OR($C106="S",$C106=0),0,MATCH(OFFSET($D106,0,$C106)+IF($C106&lt;&gt;1,1,COUNTIF(QCI!$A$13:$A$24,ORÇAMENTO!E106)),OFFSET($D106,1,$C106,ROW($C$240)-ROW($C106)),0))</f>
        <v>2</v>
      </c>
      <c r="L106" s="114" t="str">
        <f t="shared" ca="1" si="10"/>
        <v>F</v>
      </c>
      <c r="M106" s="115" t="s">
        <v>703</v>
      </c>
      <c r="N106" s="116" t="str">
        <f t="shared" ca="1" si="11"/>
        <v>Nível 3</v>
      </c>
      <c r="O106" s="117" t="str">
        <f t="shared" ca="1" si="12"/>
        <v>1.5.2.</v>
      </c>
      <c r="P106" s="118" t="s">
        <v>750</v>
      </c>
      <c r="Q106" s="119"/>
      <c r="R106" s="120" t="s">
        <v>1035</v>
      </c>
      <c r="S106" s="121" t="str" cm="1">
        <f t="array" aca="1" ref="S106" ca="1">REFERENCIA.Unidade</f>
        <v>-</v>
      </c>
      <c r="T106" s="122">
        <f ca="1">OFFSET(CÁLCULO!H$15,ROW($T106)-ROW(T$15),0)</f>
        <v>0</v>
      </c>
      <c r="U106" s="123"/>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IF($C106="S",IF(OR(Import.TipoArredondamento&lt;&gt;"TransfereGOV",ACOMPANHAMENTO="BM"),VTOTAL1,SUM(OFFSET(CÁLCULO!$AA$15,ROW($X106)-ROW($X$15),1):OFFSET(CÁLCULO!$AL$15,ROW($X106)-ROW($X$15),-1))),IF($C106=0,0,ROUND(SomaAgrup,15-13*$AF$11)))</f>
        <v>527728.29</v>
      </c>
      <c r="Y106" s="126" t="s">
        <v>751</v>
      </c>
      <c r="Z106" t="str">
        <f t="shared" ca="1" si="13"/>
        <v/>
      </c>
      <c r="AA106" s="127" cm="1">
        <f t="array" aca="1" ref="AA106" ca="1">IF($C106="S",IF($Z106="CP",$X106,IF($Z106="RA",(($X106)*QCI!$AA$3),0)),SomaAgrup)</f>
        <v>246674.85483962455</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b" cm="1">
        <f t="array" aca="1" ref="AE106" ca="1">IF(AND($C106="S",ORÇAMENTO.CodBarra&lt;&gt;""),IF(ORÇAMENTO.Fonte="",ORÇAMENTO.CodBarra,CONCATENATE(ORÇAMENTO.Fonte," ",ORÇAMENTO.CodBarra)))</f>
        <v>0</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cm="1">
        <f t="array" aca="1" ref="AG106" ca="1">ROUND(IF(DESONERACAO="sim",REFERENCIA.Desonerado,REFERENCIA.NaoDesonerado),2)</f>
        <v>0</v>
      </c>
      <c r="AH106" s="429">
        <f t="shared" ca="1" si="14"/>
        <v>0.22470000000000001</v>
      </c>
      <c r="AJ106" s="431"/>
      <c r="AL106" s="439"/>
      <c r="AM106" s="336">
        <f t="shared" ca="1" si="0"/>
        <v>527728.29</v>
      </c>
      <c r="AN106" s="470" cm="1">
        <f t="array" aca="1" ref="AN106" ca="1">ROUND(ORÇAMENTO.CustoUnitario*(1+$AH106),2)</f>
        <v>0</v>
      </c>
    </row>
    <row r="107" spans="1:40" ht="51" x14ac:dyDescent="0.2">
      <c r="A107" t="str">
        <f t="shared" si="1"/>
        <v>S</v>
      </c>
      <c r="B107">
        <f t="shared" ca="1" si="2"/>
        <v>3</v>
      </c>
      <c r="C107" t="str">
        <f t="shared" ca="1" si="3"/>
        <v>S</v>
      </c>
      <c r="D107">
        <f t="shared" ca="1" si="4"/>
        <v>0</v>
      </c>
      <c r="E107">
        <f ca="1">IF($C107=1,OFFSET(E107,-1,0)+MAX(1,COUNTIF(QCI!$A$13:$A$24,OFFSET(ORÇAMENTO!E107,-1,0))),OFFSET(E107,-1,0))</f>
        <v>1</v>
      </c>
      <c r="F107">
        <f t="shared" ca="1" si="5"/>
        <v>5</v>
      </c>
      <c r="G107">
        <f t="shared" ca="1" si="6"/>
        <v>2</v>
      </c>
      <c r="H107">
        <f t="shared" ca="1" si="7"/>
        <v>0</v>
      </c>
      <c r="I107">
        <f t="shared" ca="1" si="8"/>
        <v>1</v>
      </c>
      <c r="J107">
        <f t="shared" ca="1" si="29"/>
        <v>0</v>
      </c>
      <c r="K107">
        <f ca="1">IF(OR($C107="S",$C107=0),0,MATCH(OFFSET($D107,0,$C107)+IF($C107&lt;&gt;1,1,COUNTIF(QCI!$A$13:$A$24,ORÇAMENTO!E107)),OFFSET($D107,1,$C107,ROW($C$240)-ROW($C107)),0))</f>
        <v>0</v>
      </c>
      <c r="L107" s="114" t="str">
        <f t="shared" ca="1" si="10"/>
        <v>F</v>
      </c>
      <c r="M107" s="115" t="s">
        <v>705</v>
      </c>
      <c r="N107" s="116" t="str">
        <f t="shared" ca="1" si="11"/>
        <v>Serviço</v>
      </c>
      <c r="O107" s="117" t="str">
        <f t="shared" ca="1" si="12"/>
        <v>1.5.2.0.1.</v>
      </c>
      <c r="P107" s="118" t="s">
        <v>750</v>
      </c>
      <c r="Q107" s="119" t="s">
        <v>1160</v>
      </c>
      <c r="R107" s="120" t="str" cm="1">
        <f t="array" aca="1" ref="R107" ca="1">IF($C107="S",REFERENCIA.Descricao,"(digite a descrição aqui)")</f>
        <v>ALVENARIA DE VEDAÇÃO DE BLOCOS CERÂMICOS FURADOS NA HORIZONTAL DE 11,5X14X24 CM (ESPESSURA 11,5 CM) E ARGAMASSA DE ASSENTAMENTO COM PREPARO MANUAL. AF_12/2021</v>
      </c>
      <c r="S107" s="121" t="str" cm="1">
        <f t="array" aca="1" ref="S107" ca="1">REFERENCIA.Unidade</f>
        <v>M2</v>
      </c>
      <c r="T107" s="122">
        <f ca="1">OFFSET(CÁLCULO!H$15,ROW($T107)-ROW(T$15),0)</f>
        <v>4583.76</v>
      </c>
      <c r="U107" s="123">
        <f ca="1">AG107</f>
        <v>94.01</v>
      </c>
      <c r="V107" s="124" t="s">
        <v>663</v>
      </c>
      <c r="W107" s="122" cm="1">
        <f t="array" aca="1" ref="W107" ca="1">IF($C107="S",ROUND(IF(TIPOORCAMENTO="Proposto",ORÇAMENTO.CustoUnitario*(1+$AH107),ORÇAMENTO.PrecoUnitarioLicitado),15-13*$AF$10),0)</f>
        <v>115.13</v>
      </c>
      <c r="X107" s="125" cm="1">
        <f t="array" aca="1" ref="X107" ca="1">IF($C107="S",IF(OR(Import.TipoArredondamento&lt;&gt;"TransfereGOV",ACOMPANHAMENTO="BM"),VTOTAL1,SUM(OFFSET(CÁLCULO!$AA$15,ROW($X107)-ROW($X$15),1):OFFSET(CÁLCULO!$AL$15,ROW($X107)-ROW($X$15),-1))),IF($C107=0,0,ROUND(SomaAgrup,15-13*$AF$11)))</f>
        <v>527728.29</v>
      </c>
      <c r="Y107" s="126" t="s">
        <v>751</v>
      </c>
      <c r="Z107" t="str">
        <f t="shared" ca="1" si="13"/>
        <v>RA</v>
      </c>
      <c r="AA107" s="127" cm="1">
        <f t="array" aca="1" ref="AA107" ca="1">IF($C107="S",IF($Z107="CP",$X107,IF($Z107="RA",(($X107)*QCI!$AA$3),0)),SomaAgrup)</f>
        <v>246674.85483962455</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SINAPI 103355</v>
      </c>
      <c r="AF107" s="12"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6060</v>
      </c>
      <c r="AG107" s="428" cm="1">
        <f t="array" aca="1" ref="AG107" ca="1">ROUND(IF(DESONERACAO="sim",REFERENCIA.Desonerado,REFERENCIA.NaoDesonerado),2)</f>
        <v>94.01</v>
      </c>
      <c r="AH107" s="429">
        <f t="shared" ca="1" si="14"/>
        <v>0.22470000000000001</v>
      </c>
      <c r="AJ107" s="431">
        <v>4583.76</v>
      </c>
      <c r="AL107" s="439"/>
      <c r="AM107" s="336">
        <f t="shared" ref="AM107:AM110" ca="1" si="36">$X107</f>
        <v>527728.29</v>
      </c>
      <c r="AN107" s="470" cm="1">
        <f t="array" aca="1" ref="AN107" ca="1">ROUND(ORÇAMENTO.CustoUnitario*(1+$AH107),2)</f>
        <v>115.13</v>
      </c>
    </row>
    <row r="108" spans="1:40" x14ac:dyDescent="0.2">
      <c r="A108">
        <f t="shared" si="1"/>
        <v>3</v>
      </c>
      <c r="B108">
        <f t="shared" ca="1" si="2"/>
        <v>3</v>
      </c>
      <c r="C108">
        <f t="shared" ca="1" si="3"/>
        <v>3</v>
      </c>
      <c r="D108">
        <f t="shared" ca="1" si="4"/>
        <v>3</v>
      </c>
      <c r="E108">
        <f ca="1">IF($C108=1,OFFSET(E108,-1,0)+MAX(1,COUNTIF(QCI!$A$13:$A$24,OFFSET(ORÇAMENTO!E108,-1,0))),OFFSET(E108,-1,0))</f>
        <v>1</v>
      </c>
      <c r="F108">
        <f t="shared" ca="1" si="5"/>
        <v>5</v>
      </c>
      <c r="G108">
        <f t="shared" ca="1" si="6"/>
        <v>3</v>
      </c>
      <c r="H108">
        <f t="shared" ca="1" si="7"/>
        <v>0</v>
      </c>
      <c r="I108">
        <f t="shared" ca="1" si="8"/>
        <v>0</v>
      </c>
      <c r="J108">
        <f t="shared" ca="1" si="29"/>
        <v>3</v>
      </c>
      <c r="K108">
        <f ca="1">IF(OR($C108="S",$C108=0),0,MATCH(OFFSET($D108,0,$C108)+IF($C108&lt;&gt;1,1,COUNTIF(QCI!$A$13:$A$24,ORÇAMENTO!E108)),OFFSET($D108,1,$C108,ROW($C$240)-ROW($C108)),0))</f>
        <v>50</v>
      </c>
      <c r="L108" s="114" t="str">
        <f t="shared" ca="1" si="10"/>
        <v>F</v>
      </c>
      <c r="M108" s="115" t="s">
        <v>703</v>
      </c>
      <c r="N108" s="116" t="str">
        <f t="shared" ca="1" si="11"/>
        <v>Nível 3</v>
      </c>
      <c r="O108" s="117" t="str">
        <f t="shared" ca="1" si="12"/>
        <v>1.5.3.</v>
      </c>
      <c r="P108" s="118" t="s">
        <v>750</v>
      </c>
      <c r="Q108" s="119"/>
      <c r="R108" s="120" t="s">
        <v>1036</v>
      </c>
      <c r="S108" s="121" t="str" cm="1">
        <f t="array" aca="1" ref="S108" ca="1">REFERENCIA.Unidade</f>
        <v>-</v>
      </c>
      <c r="T108" s="122">
        <f ca="1">OFFSET(CÁLCULO!H$15,ROW($T108)-ROW(T$15),0)</f>
        <v>0</v>
      </c>
      <c r="U108" s="123"/>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IF($C108="S",IF(OR(Import.TipoArredondamento&lt;&gt;"TransfereGOV",ACOMPANHAMENTO="BM"),VTOTAL1,SUM(OFFSET(CÁLCULO!$AA$15,ROW($X108)-ROW($X$15),1):OFFSET(CÁLCULO!$AL$15,ROW($X108)-ROW($X$15),-1))),IF($C108=0,0,ROUND(SomaAgrup,15-13*$AF$11)))</f>
        <v>1181.8900000000001</v>
      </c>
      <c r="Y108" s="126" t="s">
        <v>751</v>
      </c>
      <c r="Z108" t="str">
        <f t="shared" ca="1" si="13"/>
        <v/>
      </c>
      <c r="AA108" s="127" cm="1">
        <f t="array" aca="1" ref="AA108" ca="1">IF($C108="S",IF($Z108="CP",$X108,IF($Z108="RA",(($X108)*QCI!$AA$3),0)),SomaAgrup)</f>
        <v>552.44820054351044</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b" cm="1">
        <f t="array" aca="1" ref="AE108" ca="1">IF(AND($C108="S",ORÇAMENTO.CodBarra&lt;&gt;""),IF(ORÇAMENTO.Fonte="",ORÇAMENTO.CodBarra,CONCATENATE(ORÇAMENTO.Fonte," ",ORÇAMENTO.CodBarra)))</f>
        <v>0</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(Sem Código)</v>
      </c>
      <c r="AG108" s="428" cm="1">
        <f t="array" aca="1" ref="AG108" ca="1">ROUND(IF(DESONERACAO="sim",REFERENCIA.Desonerado,REFERENCIA.NaoDesonerado),2)</f>
        <v>0</v>
      </c>
      <c r="AH108" s="429">
        <f t="shared" ca="1" si="14"/>
        <v>0.22470000000000001</v>
      </c>
      <c r="AJ108" s="431"/>
      <c r="AL108" s="439"/>
      <c r="AM108" s="336">
        <f t="shared" ca="1" si="36"/>
        <v>1181.8900000000001</v>
      </c>
      <c r="AN108" s="470" cm="1">
        <f t="array" aca="1" ref="AN108" ca="1">ROUND(ORÇAMENTO.CustoUnitario*(1+$AH108),2)</f>
        <v>0</v>
      </c>
    </row>
    <row r="109" spans="1:40" ht="25.5" x14ac:dyDescent="0.2">
      <c r="A109" t="str">
        <f t="shared" si="1"/>
        <v>S</v>
      </c>
      <c r="B109">
        <f t="shared" ca="1" si="2"/>
        <v>3</v>
      </c>
      <c r="C109" t="str">
        <f t="shared" ca="1" si="3"/>
        <v>S</v>
      </c>
      <c r="D109">
        <f t="shared" ca="1" si="4"/>
        <v>0</v>
      </c>
      <c r="E109">
        <f ca="1">IF($C109=1,OFFSET(E109,-1,0)+MAX(1,COUNTIF(QCI!$A$13:$A$24,OFFSET(ORÇAMENTO!E109,-1,0))),OFFSET(E109,-1,0))</f>
        <v>1</v>
      </c>
      <c r="F109">
        <f t="shared" ca="1" si="5"/>
        <v>5</v>
      </c>
      <c r="G109">
        <f t="shared" ca="1" si="6"/>
        <v>3</v>
      </c>
      <c r="H109">
        <f t="shared" ca="1" si="7"/>
        <v>0</v>
      </c>
      <c r="I109">
        <f t="shared" ca="1" si="8"/>
        <v>1</v>
      </c>
      <c r="J109">
        <f t="shared" ca="1" si="29"/>
        <v>0</v>
      </c>
      <c r="K109">
        <f ca="1">IF(OR($C109="S",$C109=0),0,MATCH(OFFSET($D109,0,$C109)+IF($C109&lt;&gt;1,1,COUNTIF(QCI!$A$13:$A$24,ORÇAMENTO!E109)),OFFSET($D109,1,$C109,ROW($C$240)-ROW($C109)),0))</f>
        <v>0</v>
      </c>
      <c r="L109" s="114" t="str">
        <f t="shared" ca="1" si="10"/>
        <v>F</v>
      </c>
      <c r="M109" s="115" t="s">
        <v>705</v>
      </c>
      <c r="N109" s="116" t="str">
        <f t="shared" ca="1" si="11"/>
        <v>Serviço</v>
      </c>
      <c r="O109" s="117" t="str">
        <f t="shared" ca="1" si="12"/>
        <v>1.5.3.0.1.</v>
      </c>
      <c r="P109" s="118" t="s">
        <v>750</v>
      </c>
      <c r="Q109" s="119" t="s">
        <v>1161</v>
      </c>
      <c r="R109" s="120" t="str" cm="1">
        <f t="array" aca="1" ref="R109" ca="1">IF($C109="S",REFERENCIA.Descricao,"(digite a descrição aqui)")</f>
        <v>VERGA MOLDADA IN LOCO EM CONCRETO, ESPESSURA DE *10* CM. AF_03/2024</v>
      </c>
      <c r="S109" s="121" t="str" cm="1">
        <f t="array" aca="1" ref="S109" ca="1">REFERENCIA.Unidade</f>
        <v>M</v>
      </c>
      <c r="T109" s="122">
        <f ca="1">OFFSET(CÁLCULO!H$15,ROW($T109)-ROW(T$15),0)</f>
        <v>12.8</v>
      </c>
      <c r="U109" s="123">
        <f t="shared" ref="U109:U110" ca="1" si="37">AG109</f>
        <v>53.59</v>
      </c>
      <c r="V109" s="124" t="s">
        <v>663</v>
      </c>
      <c r="W109" s="122" cm="1">
        <f t="array" aca="1" ref="W109" ca="1">IF($C109="S",ROUND(IF(TIPOORCAMENTO="Proposto",ORÇAMENTO.CustoUnitario*(1+$AH109),ORÇAMENTO.PrecoUnitarioLicitado),15-13*$AF$10),0)</f>
        <v>65.63</v>
      </c>
      <c r="X109" s="125" cm="1">
        <f t="array" aca="1" ref="X109" ca="1">IF($C109="S",IF(OR(Import.TipoArredondamento&lt;&gt;"TransfereGOV",ACOMPANHAMENTO="BM"),VTOTAL1,SUM(OFFSET(CÁLCULO!$AA$15,ROW($X109)-ROW($X$15),1):OFFSET(CÁLCULO!$AL$15,ROW($X109)-ROW($X$15),-1))),IF($C109=0,0,ROUND(SomaAgrup,15-13*$AF$11)))</f>
        <v>840.06</v>
      </c>
      <c r="Y109" s="126" t="s">
        <v>751</v>
      </c>
      <c r="Z109" t="str">
        <f t="shared" ca="1" si="13"/>
        <v>RA</v>
      </c>
      <c r="AA109" s="127" cm="1">
        <f t="array" aca="1" ref="AA109" ca="1">IF($C109="S",IF($Z109="CP",$X109,IF($Z109="RA",(($X109)*QCI!$AA$3),0)),SomaAgrup)</f>
        <v>392.66736781644767</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SINAPI 105024</v>
      </c>
      <c r="AF109" s="12"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16092</v>
      </c>
      <c r="AG109" s="428" cm="1">
        <f t="array" aca="1" ref="AG109" ca="1">ROUND(IF(DESONERACAO="sim",REFERENCIA.Desonerado,REFERENCIA.NaoDesonerado),2)</f>
        <v>53.59</v>
      </c>
      <c r="AH109" s="429">
        <f t="shared" ca="1" si="14"/>
        <v>0.22470000000000001</v>
      </c>
      <c r="AJ109" s="431">
        <v>12.8</v>
      </c>
      <c r="AL109" s="439"/>
      <c r="AM109" s="336">
        <f t="shared" ca="1" si="36"/>
        <v>840.06</v>
      </c>
      <c r="AN109" s="470" cm="1">
        <f t="array" aca="1" ref="AN109" ca="1">ROUND(ORÇAMENTO.CustoUnitario*(1+$AH109),2)</f>
        <v>65.63</v>
      </c>
    </row>
    <row r="110" spans="1:40" ht="25.5" x14ac:dyDescent="0.2">
      <c r="A110" t="str">
        <f t="shared" si="1"/>
        <v>S</v>
      </c>
      <c r="B110">
        <f t="shared" ca="1" si="2"/>
        <v>3</v>
      </c>
      <c r="C110" t="str">
        <f t="shared" ca="1" si="3"/>
        <v>S</v>
      </c>
      <c r="D110">
        <f t="shared" ca="1" si="4"/>
        <v>0</v>
      </c>
      <c r="E110">
        <f ca="1">IF($C110=1,OFFSET(E110,-1,0)+MAX(1,COUNTIF(QCI!$A$13:$A$24,OFFSET(ORÇAMENTO!E110,-1,0))),OFFSET(E110,-1,0))</f>
        <v>1</v>
      </c>
      <c r="F110">
        <f t="shared" ca="1" si="5"/>
        <v>5</v>
      </c>
      <c r="G110">
        <f t="shared" ca="1" si="6"/>
        <v>3</v>
      </c>
      <c r="H110">
        <f t="shared" ca="1" si="7"/>
        <v>0</v>
      </c>
      <c r="I110">
        <f t="shared" ca="1" si="8"/>
        <v>2</v>
      </c>
      <c r="J110">
        <f t="shared" ca="1" si="29"/>
        <v>0</v>
      </c>
      <c r="K110">
        <f ca="1">IF(OR($C110="S",$C110=0),0,MATCH(OFFSET($D110,0,$C110)+IF($C110&lt;&gt;1,1,COUNTIF(QCI!$A$13:$A$24,ORÇAMENTO!E110)),OFFSET($D110,1,$C110,ROW($C$240)-ROW($C110)),0))</f>
        <v>0</v>
      </c>
      <c r="L110" s="114" t="str">
        <f t="shared" ca="1" si="10"/>
        <v>F</v>
      </c>
      <c r="M110" s="115" t="s">
        <v>705</v>
      </c>
      <c r="N110" s="116" t="str">
        <f t="shared" ca="1" si="11"/>
        <v>Serviço</v>
      </c>
      <c r="O110" s="117" t="str">
        <f t="shared" ca="1" si="12"/>
        <v>1.5.3.0.2.</v>
      </c>
      <c r="P110" s="118" t="s">
        <v>750</v>
      </c>
      <c r="Q110" s="119" t="s">
        <v>1162</v>
      </c>
      <c r="R110" s="120" t="str" cm="1">
        <f t="array" aca="1" ref="R110" ca="1">IF($C110="S",REFERENCIA.Descricao,"(digite a descrição aqui)")</f>
        <v>CONTRAVERGA MOLDADA IN LOCO EM CONCRETO, ESPESSURA DE *10* CM. AF_03/2024</v>
      </c>
      <c r="S110" s="121" t="str" cm="1">
        <f t="array" aca="1" ref="S110" ca="1">REFERENCIA.Unidade</f>
        <v>M</v>
      </c>
      <c r="T110" s="122">
        <f ca="1">OFFSET(CÁLCULO!H$15,ROW($T110)-ROW(T$15),0)</f>
        <v>6.7</v>
      </c>
      <c r="U110" s="123">
        <f t="shared" ca="1" si="37"/>
        <v>41.66</v>
      </c>
      <c r="V110" s="124" t="s">
        <v>663</v>
      </c>
      <c r="W110" s="122" cm="1">
        <f t="array" aca="1" ref="W110" ca="1">IF($C110="S",ROUND(IF(TIPOORCAMENTO="Proposto",ORÇAMENTO.CustoUnitario*(1+$AH110),ORÇAMENTO.PrecoUnitarioLicitado),15-13*$AF$10),0)</f>
        <v>51.02</v>
      </c>
      <c r="X110" s="125" cm="1">
        <f t="array" aca="1" ref="X110" ca="1">IF($C110="S",IF(OR(Import.TipoArredondamento&lt;&gt;"TransfereGOV",ACOMPANHAMENTO="BM"),VTOTAL1,SUM(OFFSET(CÁLCULO!$AA$15,ROW($X110)-ROW($X$15),1):OFFSET(CÁLCULO!$AL$15,ROW($X110)-ROW($X$15),-1))),IF($C110=0,0,ROUND(SomaAgrup,15-13*$AF$11)))</f>
        <v>341.83</v>
      </c>
      <c r="Y110" s="126" t="s">
        <v>751</v>
      </c>
      <c r="Z110" t="str">
        <f t="shared" ca="1" si="13"/>
        <v>RA</v>
      </c>
      <c r="AA110" s="127" cm="1">
        <f t="array" aca="1" ref="AA110" ca="1">IF($C110="S",IF($Z110="CP",$X110,IF($Z110="RA",(($X110)*QCI!$AA$3),0)),SomaAgrup)</f>
        <v>159.78083272706272</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str" cm="1">
        <f t="array" aca="1" ref="AE110" ca="1">IF(AND($C110="S",ORÇAMENTO.CodBarra&lt;&gt;""),IF(ORÇAMENTO.Fonte="",ORÇAMENTO.CodBarra,CONCATENATE(ORÇAMENTO.Fonte," ",ORÇAMENTO.CodBarra)))</f>
        <v>SINAPI 105030</v>
      </c>
      <c r="AF110" s="12"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16077</v>
      </c>
      <c r="AG110" s="428" cm="1">
        <f t="array" aca="1" ref="AG110" ca="1">ROUND(IF(DESONERACAO="sim",REFERENCIA.Desonerado,REFERENCIA.NaoDesonerado),2)</f>
        <v>41.66</v>
      </c>
      <c r="AH110" s="429">
        <f t="shared" ca="1" si="14"/>
        <v>0.22470000000000001</v>
      </c>
      <c r="AJ110" s="431">
        <v>6.7</v>
      </c>
      <c r="AL110" s="439"/>
      <c r="AM110" s="336">
        <f t="shared" ca="1" si="36"/>
        <v>341.83</v>
      </c>
      <c r="AN110" s="470" cm="1">
        <f t="array" aca="1" ref="AN110" ca="1">ROUND(ORÇAMENTO.CustoUnitario*(1+$AH110),2)</f>
        <v>51.02</v>
      </c>
    </row>
    <row r="111" spans="1:40" x14ac:dyDescent="0.2">
      <c r="A111">
        <f t="shared" si="1"/>
        <v>2</v>
      </c>
      <c r="B111">
        <f t="shared" ca="1" si="2"/>
        <v>2</v>
      </c>
      <c r="C111">
        <f t="shared" ca="1" si="3"/>
        <v>2</v>
      </c>
      <c r="D111">
        <f t="shared" ca="1" si="4"/>
        <v>10</v>
      </c>
      <c r="E111">
        <f ca="1">IF($C111=1,OFFSET(E111,-1,0)+MAX(1,COUNTIF(QCI!$A$13:$A$24,OFFSET(ORÇAMENTO!E111,-1,0))),OFFSET(E111,-1,0))</f>
        <v>1</v>
      </c>
      <c r="F111">
        <f t="shared" ca="1" si="5"/>
        <v>6</v>
      </c>
      <c r="G111">
        <f t="shared" ca="1" si="6"/>
        <v>0</v>
      </c>
      <c r="H111">
        <f t="shared" ca="1" si="7"/>
        <v>0</v>
      </c>
      <c r="I111">
        <f t="shared" ca="1" si="8"/>
        <v>0</v>
      </c>
      <c r="J111">
        <f t="shared" ref="J111:J137" ca="1" si="38">IF(OR($C111="S",$C111=0),0,MATCH(0,OFFSET($D111,1,$C111,ROW($C$240)-ROW($C111)),0))</f>
        <v>129</v>
      </c>
      <c r="K111">
        <f ca="1">IF(OR($C111="S",$C111=0),0,MATCH(OFFSET($D111,0,$C111)+IF($C111&lt;&gt;1,1,COUNTIF(QCI!$A$13:$A$24,ORÇAMENTO!E111)),OFFSET($D111,1,$C111,ROW($C$240)-ROW($C111)),0))</f>
        <v>10</v>
      </c>
      <c r="L111" s="114" t="str">
        <f t="shared" ca="1" si="10"/>
        <v>F</v>
      </c>
      <c r="M111" s="115" t="s">
        <v>702</v>
      </c>
      <c r="N111" s="116" t="str">
        <f t="shared" ca="1" si="11"/>
        <v>Nível 2</v>
      </c>
      <c r="O111" s="117" t="str">
        <f t="shared" ca="1" si="12"/>
        <v>1.6.</v>
      </c>
      <c r="P111" s="118" t="s">
        <v>750</v>
      </c>
      <c r="Q111" s="119"/>
      <c r="R111" s="120" t="s">
        <v>1017</v>
      </c>
      <c r="S111" s="121" t="str" cm="1">
        <f t="array" aca="1" ref="S111" ca="1">REFERENCIA.Unidade</f>
        <v>-</v>
      </c>
      <c r="T111" s="122">
        <f ca="1">OFFSET(CÁLCULO!H$15,ROW($T111)-ROW(T$15),0)</f>
        <v>0</v>
      </c>
      <c r="U111" s="123"/>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IF($C111="S",IF(OR(Import.TipoArredondamento&lt;&gt;"TransfereGOV",ACOMPANHAMENTO="BM"),VTOTAL1,SUM(OFFSET(CÁLCULO!$AA$15,ROW($X111)-ROW($X$15),1):OFFSET(CÁLCULO!$AL$15,ROW($X111)-ROW($X$15),-1))),IF($C111=0,0,ROUND(SomaAgrup,15-13*$AF$11)))</f>
        <v>754994.29</v>
      </c>
      <c r="Y111" s="126" t="s">
        <v>751</v>
      </c>
      <c r="Z111" t="str">
        <f t="shared" ca="1" si="13"/>
        <v/>
      </c>
      <c r="AA111" s="127" cm="1">
        <f t="array" aca="1" ref="AA111" ca="1">IF($C111="S",IF($Z111="CP",$X111,IF($Z111="RA",(($X111)*QCI!$AA$3),0)),SomaAgrup)</f>
        <v>352905.29315852182</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f ca="1">IF(C111&lt;=CRONO.NivelExibicao,MAX($AD$15:OFFSET(AD111,-1,0))+IF($C111&lt;&gt;1,1,MAX(1,COUNTIF(QCI!$A$13:$A$24,OFFSET($E111,-1,0)))),"")</f>
        <v>7</v>
      </c>
      <c r="AE111" s="7" t="b" cm="1">
        <f t="array" aca="1" ref="AE111" ca="1">IF(AND($C111="S",ORÇAMENTO.CodBarra&lt;&gt;""),IF(ORÇAMENTO.Fonte="",ORÇAMENTO.CodBarra,CONCATENATE(ORÇAMENTO.Fonte," ",ORÇAMENTO.CodBarra)))</f>
        <v>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8" cm="1">
        <f t="array" aca="1" ref="AG111" ca="1">ROUND(IF(DESONERACAO="sim",REFERENCIA.Desonerado,REFERENCIA.NaoDesonerado),2)</f>
        <v>0</v>
      </c>
      <c r="AH111" s="429">
        <f t="shared" ca="1" si="14"/>
        <v>0.22470000000000001</v>
      </c>
      <c r="AJ111" s="431"/>
      <c r="AL111" s="439"/>
      <c r="AM111" s="336">
        <f t="shared" ca="1" si="0"/>
        <v>754994.29</v>
      </c>
      <c r="AN111" s="470" cm="1">
        <f t="array" aca="1" ref="AN111" ca="1">ROUND(ORÇAMENTO.CustoUnitario*(1+$AH111),2)</f>
        <v>0</v>
      </c>
    </row>
    <row r="112" spans="1:40" x14ac:dyDescent="0.2">
      <c r="A112">
        <f t="shared" si="1"/>
        <v>3</v>
      </c>
      <c r="B112">
        <f t="shared" ca="1" si="2"/>
        <v>3</v>
      </c>
      <c r="C112">
        <f t="shared" ca="1" si="3"/>
        <v>3</v>
      </c>
      <c r="D112">
        <f t="shared" ca="1" si="4"/>
        <v>4</v>
      </c>
      <c r="E112">
        <f ca="1">IF($C112=1,OFFSET(E112,-1,0)+MAX(1,COUNTIF(QCI!$A$13:$A$24,OFFSET(ORÇAMENTO!E112,-1,0))),OFFSET(E112,-1,0))</f>
        <v>1</v>
      </c>
      <c r="F112">
        <f t="shared" ca="1" si="5"/>
        <v>6</v>
      </c>
      <c r="G112">
        <f t="shared" ca="1" si="6"/>
        <v>1</v>
      </c>
      <c r="H112">
        <f t="shared" ca="1" si="7"/>
        <v>0</v>
      </c>
      <c r="I112">
        <f t="shared" ca="1" si="8"/>
        <v>0</v>
      </c>
      <c r="J112">
        <f t="shared" ca="1" si="38"/>
        <v>9</v>
      </c>
      <c r="K112">
        <f ca="1">IF(OR($C112="S",$C112=0),0,MATCH(OFFSET($D112,0,$C112)+IF($C112&lt;&gt;1,1,COUNTIF(QCI!$A$13:$A$24,ORÇAMENTO!E112)),OFFSET($D112,1,$C112,ROW($C$240)-ROW($C112)),0))</f>
        <v>4</v>
      </c>
      <c r="L112" s="114" t="str">
        <f t="shared" ca="1" si="10"/>
        <v>F</v>
      </c>
      <c r="M112" s="115" t="s">
        <v>703</v>
      </c>
      <c r="N112" s="116" t="str">
        <f t="shared" ca="1" si="11"/>
        <v>Nível 3</v>
      </c>
      <c r="O112" s="117" t="str">
        <f t="shared" ca="1" si="12"/>
        <v>1.6.1.</v>
      </c>
      <c r="P112" s="118" t="s">
        <v>750</v>
      </c>
      <c r="Q112" s="119"/>
      <c r="R112" s="120" t="s">
        <v>1042</v>
      </c>
      <c r="S112" s="121" t="str" cm="1">
        <f t="array" aca="1" ref="S112" ca="1">REFERENCIA.Unidade</f>
        <v>-</v>
      </c>
      <c r="T112" s="122">
        <f ca="1">OFFSET(CÁLCULO!H$15,ROW($T112)-ROW(T$15),0)</f>
        <v>0</v>
      </c>
      <c r="U112" s="123"/>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IF($C112="S",IF(OR(Import.TipoArredondamento&lt;&gt;"TransfereGOV",ACOMPANHAMENTO="BM"),VTOTAL1,SUM(OFFSET(CÁLCULO!$AA$15,ROW($X112)-ROW($X$15),1):OFFSET(CÁLCULO!$AL$15,ROW($X112)-ROW($X$15),-1))),IF($C112=0,0,ROUND(SomaAgrup,15-13*$AF$11)))</f>
        <v>604286.59</v>
      </c>
      <c r="Y112" s="126" t="s">
        <v>751</v>
      </c>
      <c r="Z112" t="str">
        <f t="shared" ca="1" si="13"/>
        <v/>
      </c>
      <c r="AA112" s="127" cm="1">
        <f t="array" aca="1" ref="AA112" ca="1">IF($C112="S",IF($Z112="CP",$X112,IF($Z112="RA",(($X112)*QCI!$AA$3),0)),SomaAgrup)</f>
        <v>282460.32985986356</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cm="1">
        <f t="array" aca="1" ref="AE112" ca="1">IF(AND($C112="S",ORÇAMENTO.CodBarra&lt;&gt;""),IF(ORÇAMENTO.Fonte="",ORÇAMENTO.CodBarra,CONCATENATE(ORÇAMENTO.Fonte," ",ORÇAMENTO.CodBarra)))</f>
        <v>0</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cm="1">
        <f t="array" aca="1" ref="AG112" ca="1">ROUND(IF(DESONERACAO="sim",REFERENCIA.Desonerado,REFERENCIA.NaoDesonerado),2)</f>
        <v>0</v>
      </c>
      <c r="AH112" s="429">
        <f t="shared" ca="1" si="14"/>
        <v>0.22470000000000001</v>
      </c>
      <c r="AJ112" s="431"/>
      <c r="AL112" s="439"/>
      <c r="AM112" s="336">
        <f t="shared" ca="1" si="0"/>
        <v>604286.59</v>
      </c>
      <c r="AN112" s="470" cm="1">
        <f t="array" aca="1" ref="AN112" ca="1">ROUND(ORÇAMENTO.CustoUnitario*(1+$AH112),2)</f>
        <v>0</v>
      </c>
    </row>
    <row r="113" spans="1:40" ht="51" x14ac:dyDescent="0.2">
      <c r="A113" t="str">
        <f t="shared" si="1"/>
        <v>S</v>
      </c>
      <c r="B113">
        <f t="shared" ca="1" si="2"/>
        <v>3</v>
      </c>
      <c r="C113" t="str">
        <f t="shared" ca="1" si="3"/>
        <v>S</v>
      </c>
      <c r="D113">
        <f t="shared" ca="1" si="4"/>
        <v>0</v>
      </c>
      <c r="E113">
        <f ca="1">IF($C113=1,OFFSET(E113,-1,0)+MAX(1,COUNTIF(QCI!$A$13:$A$24,OFFSET(ORÇAMENTO!E113,-1,0))),OFFSET(E113,-1,0))</f>
        <v>1</v>
      </c>
      <c r="F113">
        <f t="shared" ca="1" si="5"/>
        <v>6</v>
      </c>
      <c r="G113">
        <f t="shared" ca="1" si="6"/>
        <v>1</v>
      </c>
      <c r="H113">
        <f t="shared" ca="1" si="7"/>
        <v>0</v>
      </c>
      <c r="I113">
        <f t="shared" ca="1" si="8"/>
        <v>1</v>
      </c>
      <c r="J113">
        <f t="shared" ca="1" si="38"/>
        <v>0</v>
      </c>
      <c r="K113">
        <f ca="1">IF(OR($C113="S",$C113=0),0,MATCH(OFFSET($D113,0,$C113)+IF($C113&lt;&gt;1,1,COUNTIF(QCI!$A$13:$A$24,ORÇAMENTO!E113)),OFFSET($D113,1,$C113,ROW($C$240)-ROW($C113)),0))</f>
        <v>0</v>
      </c>
      <c r="L113" s="114" t="str">
        <f t="shared" ca="1" si="10"/>
        <v>F</v>
      </c>
      <c r="M113" s="115" t="s">
        <v>705</v>
      </c>
      <c r="N113" s="116" t="str">
        <f t="shared" ca="1" si="11"/>
        <v>Serviço</v>
      </c>
      <c r="O113" s="117" t="str">
        <f t="shared" ca="1" si="12"/>
        <v>1.6.1.0.1.</v>
      </c>
      <c r="P113" s="118" t="s">
        <v>750</v>
      </c>
      <c r="Q113" s="119" t="s">
        <v>1153</v>
      </c>
      <c r="R113" s="120" t="str" cm="1">
        <f t="array" aca="1" ref="R113" ca="1">IF($C113="S",REFERENCIA.Descricao,"(digite a descrição aqui)")</f>
        <v>FABRICAÇÃO E INSTALAÇÃO DE TESOURA INTEIRA EM MADEIRA NÃO APARELHADA, VÃO DE 8 M, PARA TELHA ONDULADA DE FIBROCIMENTO, METÁLICA, PLÁSTICA OU TERMOACÚSTICA, INCLUSO IÇAMENTO. AF_10/2025</v>
      </c>
      <c r="S113" s="121" t="str" cm="1">
        <f t="array" aca="1" ref="S113" ca="1">REFERENCIA.Unidade</f>
        <v>UN</v>
      </c>
      <c r="T113" s="122">
        <f ca="1">OFFSET(CÁLCULO!H$15,ROW($T113)-ROW(T$15),0)</f>
        <v>120</v>
      </c>
      <c r="U113" s="123">
        <f t="shared" ref="U113:U115" ca="1" si="39">AG113</f>
        <v>2314.33</v>
      </c>
      <c r="V113" s="124" t="s">
        <v>663</v>
      </c>
      <c r="W113" s="122" cm="1">
        <f t="array" aca="1" ref="W113" ca="1">IF($C113="S",ROUND(IF(TIPOORCAMENTO="Proposto",ORÇAMENTO.CustoUnitario*(1+$AH113),ORÇAMENTO.PrecoUnitarioLicitado),15-13*$AF$10),0)</f>
        <v>2834.36</v>
      </c>
      <c r="X113" s="125" cm="1">
        <f t="array" aca="1" ref="X113" ca="1">IF($C113="S",IF(OR(Import.TipoArredondamento&lt;&gt;"TransfereGOV",ACOMPANHAMENTO="BM"),VTOTAL1,SUM(OFFSET(CÁLCULO!$AA$15,ROW($X113)-ROW($X$15),1):OFFSET(CÁLCULO!$AL$15,ROW($X113)-ROW($X$15),-1))),IF($C113=0,0,ROUND(SomaAgrup,15-13*$AF$11)))</f>
        <v>340123.2</v>
      </c>
      <c r="Y113" s="126" t="s">
        <v>751</v>
      </c>
      <c r="Z113" t="str">
        <f t="shared" ca="1" si="13"/>
        <v>RA</v>
      </c>
      <c r="AA113" s="127" cm="1">
        <f t="array" aca="1" ref="AA113" ca="1">IF($C113="S",IF($Z113="CP",$X113,IF($Z113="RA",(($X113)*QCI!$AA$3),0)),SomaAgrup)</f>
        <v>158983.02701867392</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92560</v>
      </c>
      <c r="AF113" s="12"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9842</v>
      </c>
      <c r="AG113" s="428" cm="1">
        <f t="array" aca="1" ref="AG113" ca="1">ROUND(IF(DESONERACAO="sim",REFERENCIA.Desonerado,REFERENCIA.NaoDesonerado),2)</f>
        <v>2314.33</v>
      </c>
      <c r="AH113" s="429">
        <f t="shared" ca="1" si="14"/>
        <v>0.22470000000000001</v>
      </c>
      <c r="AJ113" s="431">
        <v>120</v>
      </c>
      <c r="AL113" s="439"/>
      <c r="AM113" s="336">
        <f t="shared" ref="AM113:AM120" ca="1" si="40">$X113</f>
        <v>340123.2</v>
      </c>
      <c r="AN113" s="470" cm="1">
        <f t="array" aca="1" ref="AN113" ca="1">ROUND(ORÇAMENTO.CustoUnitario*(1+$AH113),2)</f>
        <v>2834.36</v>
      </c>
    </row>
    <row r="114" spans="1:40" ht="51" x14ac:dyDescent="0.2">
      <c r="A114" t="str">
        <f t="shared" si="1"/>
        <v>S</v>
      </c>
      <c r="B114">
        <f t="shared" ca="1" si="2"/>
        <v>3</v>
      </c>
      <c r="C114" t="str">
        <f t="shared" ca="1" si="3"/>
        <v>S</v>
      </c>
      <c r="D114">
        <f t="shared" ca="1" si="4"/>
        <v>0</v>
      </c>
      <c r="E114">
        <f ca="1">IF($C114=1,OFFSET(E114,-1,0)+MAX(1,COUNTIF(QCI!$A$13:$A$24,OFFSET(ORÇAMENTO!E114,-1,0))),OFFSET(E114,-1,0))</f>
        <v>1</v>
      </c>
      <c r="F114">
        <f t="shared" ca="1" si="5"/>
        <v>6</v>
      </c>
      <c r="G114">
        <f t="shared" ca="1" si="6"/>
        <v>1</v>
      </c>
      <c r="H114">
        <f t="shared" ca="1" si="7"/>
        <v>0</v>
      </c>
      <c r="I114">
        <f t="shared" ca="1" si="8"/>
        <v>2</v>
      </c>
      <c r="J114">
        <f t="shared" ca="1" si="38"/>
        <v>0</v>
      </c>
      <c r="K114">
        <f ca="1">IF(OR($C114="S",$C114=0),0,MATCH(OFFSET($D114,0,$C114)+IF($C114&lt;&gt;1,1,COUNTIF(QCI!$A$13:$A$24,ORÇAMENTO!E114)),OFFSET($D114,1,$C114,ROW($C$240)-ROW($C114)),0))</f>
        <v>0</v>
      </c>
      <c r="L114" s="114" t="str">
        <f t="shared" ca="1" si="10"/>
        <v>F</v>
      </c>
      <c r="M114" s="115" t="s">
        <v>705</v>
      </c>
      <c r="N114" s="116" t="str">
        <f t="shared" ca="1" si="11"/>
        <v>Serviço</v>
      </c>
      <c r="O114" s="117" t="str">
        <f t="shared" ca="1" si="12"/>
        <v>1.6.1.0.2.</v>
      </c>
      <c r="P114" s="118" t="s">
        <v>750</v>
      </c>
      <c r="Q114" s="119" t="s">
        <v>1154</v>
      </c>
      <c r="R114" s="120" t="str" cm="1">
        <f t="array" aca="1" ref="R114" ca="1">IF($C114="S",REFERENCIA.Descricao,"(digite a descrição aqui)")</f>
        <v>FABRICAÇÃO E INSTALAÇÃO DE MEIA TESOURA DE MADEIRA NÃO APARELHADA, COM VÃO DE 4 M, PARA TELHA ONDULADA DE FIBROCIMENTO, ALUMÍNIO, PLÁSTICA OU TERMOACÚSTICA, INCLUSO IÇAMENTO. AF_10/2025</v>
      </c>
      <c r="S114" s="121" t="str" cm="1">
        <f t="array" aca="1" ref="S114" ca="1">REFERENCIA.Unidade</f>
        <v>UN</v>
      </c>
      <c r="T114" s="122">
        <f ca="1">OFFSET(CÁLCULO!H$15,ROW($T114)-ROW(T$15),0)</f>
        <v>120</v>
      </c>
      <c r="U114" s="123">
        <f t="shared" ca="1" si="39"/>
        <v>1465.92</v>
      </c>
      <c r="V114" s="124" t="s">
        <v>663</v>
      </c>
      <c r="W114" s="122" cm="1">
        <f t="array" aca="1" ref="W114" ca="1">IF($C114="S",ROUND(IF(TIPOORCAMENTO="Proposto",ORÇAMENTO.CustoUnitario*(1+$AH114),ORÇAMENTO.PrecoUnitarioLicitado),15-13*$AF$10),0)</f>
        <v>1795.31</v>
      </c>
      <c r="X114" s="125" cm="1">
        <f t="array" aca="1" ref="X114" ca="1">IF($C114="S",IF(OR(Import.TipoArredondamento&lt;&gt;"TransfereGOV",ACOMPANHAMENTO="BM"),VTOTAL1,SUM(OFFSET(CÁLCULO!$AA$15,ROW($X114)-ROW($X$15),1):OFFSET(CÁLCULO!$AL$15,ROW($X114)-ROW($X$15),-1))),IF($C114=0,0,ROUND(SomaAgrup,15-13*$AF$11)))</f>
        <v>215437.2</v>
      </c>
      <c r="Y114" s="126" t="s">
        <v>751</v>
      </c>
      <c r="Z114" t="str">
        <f t="shared" ca="1" si="13"/>
        <v>RA</v>
      </c>
      <c r="AA114" s="127" cm="1">
        <f t="array" aca="1" ref="AA114" ca="1">IF($C114="S",IF($Z114="CP",$X114,IF($Z114="RA",(($X114)*QCI!$AA$3),0)),SomaAgrup)</f>
        <v>100701.32877859393</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str" cm="1">
        <f t="array" aca="1" ref="AE114" ca="1">IF(AND($C114="S",ORÇAMENTO.CodBarra&lt;&gt;""),IF(ORÇAMENTO.Fonte="",ORÇAMENTO.CodBarra,CONCATENATE(ORÇAMENTO.Fonte," ",ORÇAMENTO.CodBarra)))</f>
        <v>SINAPI 100368</v>
      </c>
      <c r="AF114" s="12"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9771</v>
      </c>
      <c r="AG114" s="428" cm="1">
        <f t="array" aca="1" ref="AG114" ca="1">ROUND(IF(DESONERACAO="sim",REFERENCIA.Desonerado,REFERENCIA.NaoDesonerado),2)</f>
        <v>1465.92</v>
      </c>
      <c r="AH114" s="429">
        <f t="shared" ca="1" si="14"/>
        <v>0.22470000000000001</v>
      </c>
      <c r="AJ114" s="431">
        <v>120</v>
      </c>
      <c r="AL114" s="439"/>
      <c r="AM114" s="336">
        <f t="shared" ca="1" si="40"/>
        <v>215437.2</v>
      </c>
      <c r="AN114" s="470" cm="1">
        <f t="array" aca="1" ref="AN114" ca="1">ROUND(ORÇAMENTO.CustoUnitario*(1+$AH114),2)</f>
        <v>1795.31</v>
      </c>
    </row>
    <row r="115" spans="1:40" ht="51" x14ac:dyDescent="0.2">
      <c r="A115" t="str">
        <f t="shared" si="1"/>
        <v>S</v>
      </c>
      <c r="B115">
        <f t="shared" ca="1" si="2"/>
        <v>3</v>
      </c>
      <c r="C115" t="str">
        <f t="shared" ca="1" si="3"/>
        <v>S</v>
      </c>
      <c r="D115">
        <f t="shared" ca="1" si="4"/>
        <v>0</v>
      </c>
      <c r="E115">
        <f ca="1">IF($C115=1,OFFSET(E115,-1,0)+MAX(1,COUNTIF(QCI!$A$13:$A$24,OFFSET(ORÇAMENTO!E115,-1,0))),OFFSET(E115,-1,0))</f>
        <v>1</v>
      </c>
      <c r="F115">
        <f t="shared" ca="1" si="5"/>
        <v>6</v>
      </c>
      <c r="G115">
        <f t="shared" ca="1" si="6"/>
        <v>1</v>
      </c>
      <c r="H115">
        <f t="shared" ca="1" si="7"/>
        <v>0</v>
      </c>
      <c r="I115">
        <f t="shared" ca="1" si="8"/>
        <v>3</v>
      </c>
      <c r="J115">
        <f t="shared" ca="1" si="38"/>
        <v>0</v>
      </c>
      <c r="K115">
        <f ca="1">IF(OR($C115="S",$C115=0),0,MATCH(OFFSET($D115,0,$C115)+IF($C115&lt;&gt;1,1,COUNTIF(QCI!$A$13:$A$24,ORÇAMENTO!E115)),OFFSET($D115,1,$C115,ROW($C$240)-ROW($C115)),0))</f>
        <v>0</v>
      </c>
      <c r="L115" s="114" t="str">
        <f t="shared" ca="1" si="10"/>
        <v>F</v>
      </c>
      <c r="M115" s="115" t="s">
        <v>705</v>
      </c>
      <c r="N115" s="116" t="str">
        <f t="shared" ca="1" si="11"/>
        <v>Serviço</v>
      </c>
      <c r="O115" s="117" t="str">
        <f t="shared" ca="1" si="12"/>
        <v>1.6.1.0.3.</v>
      </c>
      <c r="P115" s="118" t="s">
        <v>750</v>
      </c>
      <c r="Q115" s="119" t="s">
        <v>1155</v>
      </c>
      <c r="R115" s="120" t="str" cm="1">
        <f t="array" aca="1" ref="R115" ca="1">IF($C115="S",REFERENCIA.Descricao,"(digite a descrição aqui)")</f>
        <v>TRAMA DE MADEIRA COMPOSTA POR TERÇAS PARA TELHADOS DE ATÉ 2 ÁGUAS PARA TELHA ONDULADA DE FIBROCIMENTO, METÁLICA, PLÁSTICA OU TERMOACÚSTICA, INCLUSO TRANSPORTE VERTICAL. AF_10/2025</v>
      </c>
      <c r="S115" s="121" t="str" cm="1">
        <f t="array" aca="1" ref="S115" ca="1">REFERENCIA.Unidade</f>
        <v>M2</v>
      </c>
      <c r="T115" s="122">
        <f ca="1">OFFSET(CÁLCULO!H$15,ROW($T115)-ROW(T$15),0)</f>
        <v>1534.2</v>
      </c>
      <c r="U115" s="123">
        <f t="shared" ca="1" si="39"/>
        <v>25.93</v>
      </c>
      <c r="V115" s="124" t="s">
        <v>663</v>
      </c>
      <c r="W115" s="122" cm="1">
        <f t="array" aca="1" ref="W115" ca="1">IF($C115="S",ROUND(IF(TIPOORCAMENTO="Proposto",ORÇAMENTO.CustoUnitario*(1+$AH115),ORÇAMENTO.PrecoUnitarioLicitado),15-13*$AF$10),0)</f>
        <v>31.76</v>
      </c>
      <c r="X115" s="125" cm="1">
        <f t="array" aca="1" ref="X115" ca="1">IF($C115="S",IF(OR(Import.TipoArredondamento&lt;&gt;"TransfereGOV",ACOMPANHAMENTO="BM"),VTOTAL1,SUM(OFFSET(CÁLCULO!$AA$15,ROW($X115)-ROW($X$15),1):OFFSET(CÁLCULO!$AL$15,ROW($X115)-ROW($X$15),-1))),IF($C115=0,0,ROUND(SomaAgrup,15-13*$AF$11)))</f>
        <v>48726.19</v>
      </c>
      <c r="Y115" s="126" t="s">
        <v>751</v>
      </c>
      <c r="Z115" t="str">
        <f t="shared" ca="1" si="13"/>
        <v>RA</v>
      </c>
      <c r="AA115" s="127" cm="1">
        <f t="array" aca="1" ref="AA115" ca="1">IF($C115="S",IF($Z115="CP",$X115,IF($Z115="RA",(($X115)*QCI!$AA$3),0)),SomaAgrup)</f>
        <v>22775.974062595669</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SINAPI 92543</v>
      </c>
      <c r="AF115" s="12"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9882</v>
      </c>
      <c r="AG115" s="428" cm="1">
        <f t="array" aca="1" ref="AG115" ca="1">ROUND(IF(DESONERACAO="sim",REFERENCIA.Desonerado,REFERENCIA.NaoDesonerado),2)</f>
        <v>25.93</v>
      </c>
      <c r="AH115" s="429">
        <f t="shared" ca="1" si="14"/>
        <v>0.22470000000000001</v>
      </c>
      <c r="AJ115" s="431">
        <v>1534.2</v>
      </c>
      <c r="AL115" s="439"/>
      <c r="AM115" s="336">
        <f t="shared" ca="1" si="40"/>
        <v>48726.19</v>
      </c>
      <c r="AN115" s="470" cm="1">
        <f t="array" aca="1" ref="AN115" ca="1">ROUND(ORÇAMENTO.CustoUnitario*(1+$AH115),2)</f>
        <v>31.76</v>
      </c>
    </row>
    <row r="116" spans="1:40" x14ac:dyDescent="0.2">
      <c r="A116">
        <f t="shared" si="1"/>
        <v>3</v>
      </c>
      <c r="B116">
        <f t="shared" ca="1" si="2"/>
        <v>3</v>
      </c>
      <c r="C116">
        <f t="shared" ca="1" si="3"/>
        <v>3</v>
      </c>
      <c r="D116">
        <f t="shared" ca="1" si="4"/>
        <v>5</v>
      </c>
      <c r="E116">
        <f ca="1">IF($C116=1,OFFSET(E116,-1,0)+MAX(1,COUNTIF(QCI!$A$13:$A$24,OFFSET(ORÇAMENTO!E116,-1,0))),OFFSET(E116,-1,0))</f>
        <v>1</v>
      </c>
      <c r="F116">
        <f t="shared" ca="1" si="5"/>
        <v>6</v>
      </c>
      <c r="G116">
        <f t="shared" ca="1" si="6"/>
        <v>2</v>
      </c>
      <c r="H116">
        <f t="shared" ca="1" si="7"/>
        <v>0</v>
      </c>
      <c r="I116">
        <f t="shared" ca="1" si="8"/>
        <v>0</v>
      </c>
      <c r="J116">
        <f t="shared" ca="1" si="38"/>
        <v>5</v>
      </c>
      <c r="K116">
        <f ca="1">IF(OR($C116="S",$C116=0),0,MATCH(OFFSET($D116,0,$C116)+IF($C116&lt;&gt;1,1,COUNTIF(QCI!$A$13:$A$24,ORÇAMENTO!E116)),OFFSET($D116,1,$C116,ROW($C$240)-ROW($C116)),0))</f>
        <v>37</v>
      </c>
      <c r="L116" s="114" t="str">
        <f t="shared" ca="1" si="10"/>
        <v>F</v>
      </c>
      <c r="M116" s="115" t="s">
        <v>703</v>
      </c>
      <c r="N116" s="116" t="str">
        <f t="shared" ca="1" si="11"/>
        <v>Nível 3</v>
      </c>
      <c r="O116" s="117" t="str">
        <f t="shared" ca="1" si="12"/>
        <v>1.6.2.</v>
      </c>
      <c r="P116" s="118" t="s">
        <v>750</v>
      </c>
      <c r="Q116" s="119"/>
      <c r="R116" s="120" t="s">
        <v>1043</v>
      </c>
      <c r="S116" s="121" t="str" cm="1">
        <f t="array" aca="1" ref="S116" ca="1">REFERENCIA.Unidade</f>
        <v>-</v>
      </c>
      <c r="T116" s="122">
        <f ca="1">OFFSET(CÁLCULO!H$15,ROW($T116)-ROW(T$15),0)</f>
        <v>0</v>
      </c>
      <c r="U116" s="123"/>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IF($C116="S",IF(OR(Import.TipoArredondamento&lt;&gt;"TransfereGOV",ACOMPANHAMENTO="BM"),VTOTAL1,SUM(OFFSET(CÁLCULO!$AA$15,ROW($X116)-ROW($X$15),1):OFFSET(CÁLCULO!$AL$15,ROW($X116)-ROW($X$15),-1))),IF($C116=0,0,ROUND(SomaAgrup,15-13*$AF$11)))</f>
        <v>150707.70000000001</v>
      </c>
      <c r="Y116" s="126" t="s">
        <v>751</v>
      </c>
      <c r="Z116" t="str">
        <f t="shared" ca="1" si="13"/>
        <v/>
      </c>
      <c r="AA116" s="127" cm="1">
        <f t="array" aca="1" ref="AA116" ca="1">IF($C116="S",IF($Z116="CP",$X116,IF($Z116="RA",(($X116)*QCI!$AA$3),0)),SomaAgrup)</f>
        <v>70444.963298658258</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b" cm="1">
        <f t="array" aca="1" ref="AE116" ca="1">IF(AND($C116="S",ORÇAMENTO.CodBarra&lt;&gt;""),IF(ORÇAMENTO.Fonte="",ORÇAMENTO.CodBarra,CONCATENATE(ORÇAMENTO.Fonte," ",ORÇAMENTO.CodBarra)))</f>
        <v>0</v>
      </c>
      <c r="AF116" s="12"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428" cm="1">
        <f t="array" aca="1" ref="AG116" ca="1">ROUND(IF(DESONERACAO="sim",REFERENCIA.Desonerado,REFERENCIA.NaoDesonerado),2)</f>
        <v>0</v>
      </c>
      <c r="AH116" s="429">
        <f t="shared" ca="1" si="14"/>
        <v>0.22470000000000001</v>
      </c>
      <c r="AJ116" s="431"/>
      <c r="AL116" s="439"/>
      <c r="AM116" s="336">
        <f t="shared" ca="1" si="40"/>
        <v>150707.70000000001</v>
      </c>
      <c r="AN116" s="470" cm="1">
        <f t="array" aca="1" ref="AN116" ca="1">ROUND(ORÇAMENTO.CustoUnitario*(1+$AH116),2)</f>
        <v>0</v>
      </c>
    </row>
    <row r="117" spans="1:40" ht="51" x14ac:dyDescent="0.2">
      <c r="A117" t="str">
        <f t="shared" si="1"/>
        <v>S</v>
      </c>
      <c r="B117">
        <f t="shared" ca="1" si="2"/>
        <v>3</v>
      </c>
      <c r="C117" t="str">
        <f t="shared" ca="1" si="3"/>
        <v>S</v>
      </c>
      <c r="D117">
        <f t="shared" ca="1" si="4"/>
        <v>0</v>
      </c>
      <c r="E117">
        <f ca="1">IF($C117=1,OFFSET(E117,-1,0)+MAX(1,COUNTIF(QCI!$A$13:$A$24,OFFSET(ORÇAMENTO!E117,-1,0))),OFFSET(E117,-1,0))</f>
        <v>1</v>
      </c>
      <c r="F117">
        <f t="shared" ca="1" si="5"/>
        <v>6</v>
      </c>
      <c r="G117">
        <f t="shared" ca="1" si="6"/>
        <v>2</v>
      </c>
      <c r="H117">
        <f t="shared" ca="1" si="7"/>
        <v>0</v>
      </c>
      <c r="I117">
        <f t="shared" ca="1" si="8"/>
        <v>1</v>
      </c>
      <c r="J117">
        <f t="shared" ca="1" si="38"/>
        <v>0</v>
      </c>
      <c r="K117">
        <f ca="1">IF(OR($C117="S",$C117=0),0,MATCH(OFFSET($D117,0,$C117)+IF($C117&lt;&gt;1,1,COUNTIF(QCI!$A$13:$A$24,ORÇAMENTO!E117)),OFFSET($D117,1,$C117,ROW($C$240)-ROW($C117)),0))</f>
        <v>0</v>
      </c>
      <c r="L117" s="114" t="str">
        <f t="shared" ca="1" si="10"/>
        <v>F</v>
      </c>
      <c r="M117" s="115" t="s">
        <v>705</v>
      </c>
      <c r="N117" s="116" t="str">
        <f t="shared" ca="1" si="11"/>
        <v>Serviço</v>
      </c>
      <c r="O117" s="117" t="str">
        <f t="shared" ca="1" si="12"/>
        <v>1.6.2.0.1.</v>
      </c>
      <c r="P117" s="118" t="s">
        <v>750</v>
      </c>
      <c r="Q117" s="119" t="s">
        <v>1156</v>
      </c>
      <c r="R117" s="120" t="str" cm="1">
        <f t="array" aca="1" ref="R117" ca="1">IF($C117="S",REFERENCIA.Descricao,"(digite a descrição aqui)")</f>
        <v>TELHAMENTO COM TELHA ONDULADA DE FIBROCIMENTO E = 6 MM, COM RECOBRIMENTO LATERAL DE 1/4 DE ONDA PARA TELHADO COM INCLINAÇÃO MAIOR QUE 10°, COM ATÉ 2 ÁGUAS, INCLUSO IÇAMENTO. AF_07/2019</v>
      </c>
      <c r="S117" s="121" t="str" cm="1">
        <f t="array" aca="1" ref="S117" ca="1">REFERENCIA.Unidade</f>
        <v>M2</v>
      </c>
      <c r="T117" s="122">
        <f ca="1">OFFSET(CÁLCULO!H$15,ROW($T117)-ROW(T$15),0)</f>
        <v>1665.9</v>
      </c>
      <c r="U117" s="123">
        <f t="shared" ref="U117:U120" ca="1" si="41">AG117</f>
        <v>49.61</v>
      </c>
      <c r="V117" s="124" t="s">
        <v>663</v>
      </c>
      <c r="W117" s="122" cm="1">
        <f t="array" aca="1" ref="W117" ca="1">IF($C117="S",ROUND(IF(TIPOORCAMENTO="Proposto",ORÇAMENTO.CustoUnitario*(1+$AH117),ORÇAMENTO.PrecoUnitarioLicitado),15-13*$AF$10),0)</f>
        <v>60.76</v>
      </c>
      <c r="X117" s="125" cm="1">
        <f t="array" aca="1" ref="X117" ca="1">IF($C117="S",IF(OR(Import.TipoArredondamento&lt;&gt;"TransfereGOV",ACOMPANHAMENTO="BM"),VTOTAL1,SUM(OFFSET(CÁLCULO!$AA$15,ROW($X117)-ROW($X$15),1):OFFSET(CÁLCULO!$AL$15,ROW($X117)-ROW($X$15),-1))),IF($C117=0,0,ROUND(SomaAgrup,15-13*$AF$11)))</f>
        <v>101220.08</v>
      </c>
      <c r="Y117" s="126" t="s">
        <v>751</v>
      </c>
      <c r="Z117" t="str">
        <f t="shared" ca="1" si="13"/>
        <v>RA</v>
      </c>
      <c r="AA117" s="127" cm="1">
        <f t="array" aca="1" ref="AA117" ca="1">IF($C117="S",IF($Z117="CP",$X117,IF($Z117="RA",(($X117)*QCI!$AA$3),0)),SomaAgrup)</f>
        <v>47313.075713366023</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SINAPI 94207</v>
      </c>
      <c r="AF117" s="12"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15467</v>
      </c>
      <c r="AG117" s="428" cm="1">
        <f t="array" aca="1" ref="AG117" ca="1">ROUND(IF(DESONERACAO="sim",REFERENCIA.Desonerado,REFERENCIA.NaoDesonerado),2)</f>
        <v>49.61</v>
      </c>
      <c r="AH117" s="429">
        <f t="shared" ca="1" si="14"/>
        <v>0.22470000000000001</v>
      </c>
      <c r="AJ117" s="431">
        <v>1665.9</v>
      </c>
      <c r="AL117" s="439"/>
      <c r="AM117" s="336">
        <f t="shared" ca="1" si="40"/>
        <v>101220.08</v>
      </c>
      <c r="AN117" s="470" cm="1">
        <f t="array" aca="1" ref="AN117" ca="1">ROUND(ORÇAMENTO.CustoUnitario*(1+$AH117),2)</f>
        <v>60.76</v>
      </c>
    </row>
    <row r="118" spans="1:40" ht="25.5" x14ac:dyDescent="0.2">
      <c r="A118" t="str">
        <f t="shared" si="1"/>
        <v>S</v>
      </c>
      <c r="B118">
        <f t="shared" ca="1" si="2"/>
        <v>3</v>
      </c>
      <c r="C118" t="str">
        <f t="shared" ca="1" si="3"/>
        <v>S</v>
      </c>
      <c r="D118">
        <f t="shared" ca="1" si="4"/>
        <v>0</v>
      </c>
      <c r="E118">
        <f ca="1">IF($C118=1,OFFSET(E118,-1,0)+MAX(1,COUNTIF(QCI!$A$13:$A$24,OFFSET(ORÇAMENTO!E118,-1,0))),OFFSET(E118,-1,0))</f>
        <v>1</v>
      </c>
      <c r="F118">
        <f t="shared" ca="1" si="5"/>
        <v>6</v>
      </c>
      <c r="G118">
        <f t="shared" ca="1" si="6"/>
        <v>2</v>
      </c>
      <c r="H118">
        <f t="shared" ca="1" si="7"/>
        <v>0</v>
      </c>
      <c r="I118">
        <f t="shared" ca="1" si="8"/>
        <v>2</v>
      </c>
      <c r="J118">
        <f t="shared" ca="1" si="38"/>
        <v>0</v>
      </c>
      <c r="K118">
        <f ca="1">IF(OR($C118="S",$C118=0),0,MATCH(OFFSET($D118,0,$C118)+IF($C118&lt;&gt;1,1,COUNTIF(QCI!$A$13:$A$24,ORÇAMENTO!E118)),OFFSET($D118,1,$C118,ROW($C$240)-ROW($C118)),0))</f>
        <v>0</v>
      </c>
      <c r="L118" s="114" t="str">
        <f t="shared" ca="1" si="10"/>
        <v>F</v>
      </c>
      <c r="M118" s="115" t="s">
        <v>705</v>
      </c>
      <c r="N118" s="116" t="str">
        <f t="shared" ca="1" si="11"/>
        <v>Serviço</v>
      </c>
      <c r="O118" s="117" t="str">
        <f t="shared" ca="1" si="12"/>
        <v>1.6.2.0.2.</v>
      </c>
      <c r="P118" s="118" t="s">
        <v>750</v>
      </c>
      <c r="Q118" s="119" t="s">
        <v>1157</v>
      </c>
      <c r="R118" s="120" t="str" cm="1">
        <f t="array" aca="1" ref="R118" ca="1">IF($C118="S",REFERENCIA.Descricao,"(digite a descrição aqui)")</f>
        <v>CUMEEIRA PARA TELHA DE FIBROCIMENTO ONDULADA E = 6 MM, INCLUSO ACESSÓRIOS DE FIXAÇÃO E IÇAMENTO. AF_07/2019</v>
      </c>
      <c r="S118" s="121" t="str" cm="1">
        <f t="array" aca="1" ref="S118" ca="1">REFERENCIA.Unidade</f>
        <v>M</v>
      </c>
      <c r="T118" s="122">
        <f ca="1">OFFSET(CÁLCULO!H$15,ROW($T118)-ROW(T$15),0)</f>
        <v>126</v>
      </c>
      <c r="U118" s="123">
        <f t="shared" ca="1" si="41"/>
        <v>83.07</v>
      </c>
      <c r="V118" s="124" t="s">
        <v>663</v>
      </c>
      <c r="W118" s="122" cm="1">
        <f t="array" aca="1" ref="W118" ca="1">IF($C118="S",ROUND(IF(TIPOORCAMENTO="Proposto",ORÇAMENTO.CustoUnitario*(1+$AH118),ORÇAMENTO.PrecoUnitarioLicitado),15-13*$AF$10),0)</f>
        <v>101.74</v>
      </c>
      <c r="X118" s="125" cm="1">
        <f t="array" aca="1" ref="X118" ca="1">IF($C118="S",IF(OR(Import.TipoArredondamento&lt;&gt;"TransfereGOV",ACOMPANHAMENTO="BM"),VTOTAL1,SUM(OFFSET(CÁLCULO!$AA$15,ROW($X118)-ROW($X$15),1):OFFSET(CÁLCULO!$AL$15,ROW($X118)-ROW($X$15),-1))),IF($C118=0,0,ROUND(SomaAgrup,15-13*$AF$11)))</f>
        <v>12819.24</v>
      </c>
      <c r="Y118" s="126" t="s">
        <v>751</v>
      </c>
      <c r="Z118" t="str">
        <f t="shared" ca="1" si="13"/>
        <v>RA</v>
      </c>
      <c r="AA118" s="127" cm="1">
        <f t="array" aca="1" ref="AA118" ca="1">IF($C118="S",IF($Z118="CP",$X118,IF($Z118="RA",(($X118)*QCI!$AA$3),0)),SomaAgrup)</f>
        <v>5992.0686953399982</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 94223</v>
      </c>
      <c r="AF118" s="12"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15435</v>
      </c>
      <c r="AG118" s="428" cm="1">
        <f t="array" aca="1" ref="AG118" ca="1">ROUND(IF(DESONERACAO="sim",REFERENCIA.Desonerado,REFERENCIA.NaoDesonerado),2)</f>
        <v>83.07</v>
      </c>
      <c r="AH118" s="429">
        <f t="shared" ca="1" si="14"/>
        <v>0.22470000000000001</v>
      </c>
      <c r="AJ118" s="431">
        <v>126</v>
      </c>
      <c r="AL118" s="439"/>
      <c r="AM118" s="336">
        <f t="shared" ca="1" si="40"/>
        <v>12819.24</v>
      </c>
      <c r="AN118" s="470" cm="1">
        <f t="array" aca="1" ref="AN118" ca="1">ROUND(ORÇAMENTO.CustoUnitario*(1+$AH118),2)</f>
        <v>101.74</v>
      </c>
    </row>
    <row r="119" spans="1:40" ht="25.5" x14ac:dyDescent="0.2">
      <c r="A119" t="str">
        <f t="shared" si="1"/>
        <v>S</v>
      </c>
      <c r="B119">
        <f t="shared" ca="1" si="2"/>
        <v>3</v>
      </c>
      <c r="C119" t="str">
        <f t="shared" ca="1" si="3"/>
        <v>S</v>
      </c>
      <c r="D119">
        <f t="shared" ca="1" si="4"/>
        <v>0</v>
      </c>
      <c r="E119">
        <f ca="1">IF($C119=1,OFFSET(E119,-1,0)+MAX(1,COUNTIF(QCI!$A$13:$A$24,OFFSET(ORÇAMENTO!E119,-1,0))),OFFSET(E119,-1,0))</f>
        <v>1</v>
      </c>
      <c r="F119">
        <f t="shared" ca="1" si="5"/>
        <v>6</v>
      </c>
      <c r="G119">
        <f t="shared" ca="1" si="6"/>
        <v>2</v>
      </c>
      <c r="H119">
        <f t="shared" ca="1" si="7"/>
        <v>0</v>
      </c>
      <c r="I119">
        <f t="shared" ca="1" si="8"/>
        <v>3</v>
      </c>
      <c r="J119">
        <f t="shared" ca="1" si="38"/>
        <v>0</v>
      </c>
      <c r="K119">
        <f ca="1">IF(OR($C119="S",$C119=0),0,MATCH(OFFSET($D119,0,$C119)+IF($C119&lt;&gt;1,1,COUNTIF(QCI!$A$13:$A$24,ORÇAMENTO!E119)),OFFSET($D119,1,$C119,ROW($C$240)-ROW($C119)),0))</f>
        <v>0</v>
      </c>
      <c r="L119" s="114" t="str">
        <f t="shared" ca="1" si="10"/>
        <v>F</v>
      </c>
      <c r="M119" s="115" t="s">
        <v>705</v>
      </c>
      <c r="N119" s="116" t="str">
        <f t="shared" ca="1" si="11"/>
        <v>Serviço</v>
      </c>
      <c r="O119" s="117" t="str">
        <f t="shared" ca="1" si="12"/>
        <v>1.6.2.0.3.</v>
      </c>
      <c r="P119" s="118" t="s">
        <v>750</v>
      </c>
      <c r="Q119" s="119" t="s">
        <v>1158</v>
      </c>
      <c r="R119" s="120" t="str" cm="1">
        <f t="array" aca="1" ref="R119" ca="1">IF($C119="S",REFERENCIA.Descricao,"(digite a descrição aqui)")</f>
        <v>RUFO EM CHAPA DE AÇO GALVANIZADO NÚMERO 24, CORTE DE 25 CM, INCLUSO TRANSPORTE VERTICAL. AF_07/2019</v>
      </c>
      <c r="S119" s="121" t="str" cm="1">
        <f t="array" aca="1" ref="S119" ca="1">REFERENCIA.Unidade</f>
        <v>M</v>
      </c>
      <c r="T119" s="122">
        <f ca="1">OFFSET(CÁLCULO!H$15,ROW($T119)-ROW(T$15),0)</f>
        <v>256.2</v>
      </c>
      <c r="U119" s="123">
        <f t="shared" ca="1" si="41"/>
        <v>59.31</v>
      </c>
      <c r="V119" s="124" t="s">
        <v>663</v>
      </c>
      <c r="W119" s="122" cm="1">
        <f t="array" aca="1" ref="W119" ca="1">IF($C119="S",ROUND(IF(TIPOORCAMENTO="Proposto",ORÇAMENTO.CustoUnitario*(1+$AH119),ORÇAMENTO.PrecoUnitarioLicitado),15-13*$AF$10),0)</f>
        <v>72.64</v>
      </c>
      <c r="X119" s="125" cm="1">
        <f t="array" aca="1" ref="X119" ca="1">IF($C119="S",IF(OR(Import.TipoArredondamento&lt;&gt;"TransfereGOV",ACOMPANHAMENTO="BM"),VTOTAL1,SUM(OFFSET(CÁLCULO!$AA$15,ROW($X119)-ROW($X$15),1):OFFSET(CÁLCULO!$AL$15,ROW($X119)-ROW($X$15),-1))),IF($C119=0,0,ROUND(SomaAgrup,15-13*$AF$11)))</f>
        <v>18610.37</v>
      </c>
      <c r="Y119" s="126" t="s">
        <v>751</v>
      </c>
      <c r="Z119" t="str">
        <f t="shared" ca="1" si="13"/>
        <v>RA</v>
      </c>
      <c r="AA119" s="127" cm="1">
        <f t="array" aca="1" ref="AA119" ca="1">IF($C119="S",IF($Z119="CP",$X119,IF($Z119="RA",(($X119)*QCI!$AA$3),0)),SomaAgrup)</f>
        <v>8699.0036449660547</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SINAPI 94231</v>
      </c>
      <c r="AF119" s="12"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15443</v>
      </c>
      <c r="AG119" s="428" cm="1">
        <f t="array" aca="1" ref="AG119" ca="1">ROUND(IF(DESONERACAO="sim",REFERENCIA.Desonerado,REFERENCIA.NaoDesonerado),2)</f>
        <v>59.31</v>
      </c>
      <c r="AH119" s="429">
        <f t="shared" ca="1" si="14"/>
        <v>0.22470000000000001</v>
      </c>
      <c r="AJ119" s="431">
        <v>256.2</v>
      </c>
      <c r="AL119" s="439"/>
      <c r="AM119" s="336">
        <f t="shared" ca="1" si="40"/>
        <v>18610.37</v>
      </c>
      <c r="AN119" s="470" cm="1">
        <f t="array" aca="1" ref="AN119" ca="1">ROUND(ORÇAMENTO.CustoUnitario*(1+$AH119),2)</f>
        <v>72.64</v>
      </c>
    </row>
    <row r="120" spans="1:40" ht="25.5" x14ac:dyDescent="0.2">
      <c r="A120" t="str">
        <f>CHOOSE(1+LOG(1+2*(ORÇAMENTO.Nivel="Meta")+4*(ORÇAMENTO.Nivel="Nível 2")+8*(ORÇAMENTO.Nivel="Nível 3")+16*(ORÇAMENTO.Nivel="Nível 4")+32*(ORÇAMENTO.Nivel="Serviço"),2),0,1,2,3,4,"S")</f>
        <v>S</v>
      </c>
      <c r="B120">
        <f ca="1">IF(OR(C120="s",C120=0),OFFSET(B120,-1,0),C120)</f>
        <v>3</v>
      </c>
      <c r="C120" t="str">
        <f ca="1">IF(OFFSET(C120,-1,0)="L",1,IF(OFFSET(C120,-1,0)=1,2,IF(OR(A120="s",A120=0),"S",IF(AND(OFFSET(C120,-1,0)=2,A120=4),3,IF(AND(OR(OFFSET(C120,-1,0)="s",OFFSET(C120,-1,0)=0),A120&lt;&gt;"s",A120&gt;OFFSET(B120,-1,0)),OFFSET(B120,-1,0),A120)))))</f>
        <v>S</v>
      </c>
      <c r="D120">
        <f ca="1">IF(OR(C120="S",C120=0),0,IF(ISERROR(K120),J120,SMALL(J120:K120,1)))</f>
        <v>0</v>
      </c>
      <c r="E120">
        <f ca="1">IF($C120=1,OFFSET(E120,-1,0)+MAX(1,COUNTIF(QCI!$A$13:$A$24,OFFSET(ORÇAMENTO!E120,-1,0))),OFFSET(E120,-1,0))</f>
        <v>1</v>
      </c>
      <c r="F120">
        <f ca="1">IF($C120=1,0,IF($C120=2,OFFSET(F120,-1,0)+1,OFFSET(F120,-1,0)))</f>
        <v>6</v>
      </c>
      <c r="G120">
        <f ca="1">IF(AND($C120&lt;=2,$C120&lt;&gt;0),0,IF($C120=3,OFFSET(G120,-1,0)+1,OFFSET(G120,-1,0)))</f>
        <v>2</v>
      </c>
      <c r="H120">
        <f ca="1">IF(AND($C120&lt;=3,$C120&lt;&gt;0),0,IF($C120=4,OFFSET(H120,-1,0)+1,OFFSET(H120,-1,0)))</f>
        <v>0</v>
      </c>
      <c r="I120">
        <f ca="1">IF(AND($C120&lt;=4,$C120&lt;&gt;0),0,IF(AND($C120="S",$X120&gt;0),OFFSET(I120,-1,0)+1,OFFSET(I120,-1,0)))</f>
        <v>4</v>
      </c>
      <c r="J120">
        <f t="shared" ca="1" si="38"/>
        <v>0</v>
      </c>
      <c r="K120">
        <f ca="1">IF(OR($C120="S",$C120=0),0,MATCH(OFFSET($D120,0,$C120)+IF($C120&lt;&gt;1,1,COUNTIF(QCI!$A$13:$A$24,ORÇAMENTO!E120)),OFFSET($D120,1,$C120,ROW($C$240)-ROW($C120)),0))</f>
        <v>0</v>
      </c>
      <c r="L120" s="114" t="str">
        <f ca="1">IF(OR($X120&gt;0,$C120=1,$C120=2,$C120=3,$C120=4),"F","")</f>
        <v>F</v>
      </c>
      <c r="M120" s="115" t="s">
        <v>705</v>
      </c>
      <c r="N120" s="116" t="str">
        <f ca="1">CHOOSE(1+LOG(1+2*(C120=1)+4*(C120=2)+8*(C120=3)+16*(C120=4)+32*(C120="S"),2),"","Meta","Nível 2","Nível 3","Nível 4","Serviço")</f>
        <v>Serviço</v>
      </c>
      <c r="O120" s="117" t="str">
        <f ca="1">IF(OR($C120=0,$L120=""),"-",CONCATENATE(E120&amp;".",IF(AND($A$5&gt;=2,$C120&gt;=2),F120&amp;".",""),IF(AND($A$5&gt;=3,$C120&gt;=3),G120&amp;".",""),IF(AND($A$5&gt;=4,$C120&gt;=4),H120&amp;".",""),IF($C120="S",I120&amp;".","")))</f>
        <v>1.6.2.0.4.</v>
      </c>
      <c r="P120" s="118" t="s">
        <v>750</v>
      </c>
      <c r="Q120" s="119" t="s">
        <v>1159</v>
      </c>
      <c r="R120" s="120" t="str" cm="1">
        <f t="array" aca="1" ref="R120" ca="1">IF($C120="S",REFERENCIA.Descricao,"(digite a descrição aqui)")</f>
        <v>RUFO EXTERNO/INTERNO EM CHAPA DE AÇO GALVANIZADO NÚMERO 26, CORTE DE 33 CM, INCLUSO IÇAMENTO. AF_07/2019</v>
      </c>
      <c r="S120" s="121" t="str" cm="1">
        <f t="array" aca="1" ref="S120" ca="1">REFERENCIA.Unidade</f>
        <v>M</v>
      </c>
      <c r="T120" s="122">
        <f ca="1">OFFSET(CÁLCULO!H$15,ROW($T120)-ROW(T$15),0)</f>
        <v>217.2</v>
      </c>
      <c r="U120" s="123">
        <f t="shared" ca="1" si="41"/>
        <v>67.89</v>
      </c>
      <c r="V120" s="124" t="s">
        <v>663</v>
      </c>
      <c r="W120" s="122" cm="1">
        <f t="array" aca="1" ref="W120" ca="1">IF($C120="S",ROUND(IF(TIPOORCAMENTO="Proposto",ORÇAMENTO.CustoUnitario*(1+$AH120),ORÇAMENTO.PrecoUnitarioLicitado),15-13*$AF$10),0)</f>
        <v>83.14</v>
      </c>
      <c r="X120" s="125" cm="1">
        <f t="array" aca="1" ref="X120" ca="1">IF($C120="S",IF(OR(Import.TipoArredondamento&lt;&gt;"TransfereGOV",ACOMPANHAMENTO="BM"),VTOTAL1,SUM(OFFSET(CÁLCULO!$AA$15,ROW($X120)-ROW($X$15),1):OFFSET(CÁLCULO!$AL$15,ROW($X120)-ROW($X$15),-1))),IF($C120=0,0,ROUND(SomaAgrup,15-13*$AF$11)))</f>
        <v>18058.009999999998</v>
      </c>
      <c r="Y120" s="126" t="s">
        <v>751</v>
      </c>
      <c r="Z120" t="str">
        <f ca="1">IF(AND($C120="S",$X120&gt;0),IF(ISBLANK($Y120),"RA",LEFT($Y120,2)),"")</f>
        <v>RA</v>
      </c>
      <c r="AA120" s="127" cm="1">
        <f t="array" aca="1" ref="AA120" ca="1">IF($C120="S",IF($Z120="CP",$X120,IF($Z120="RA",(($X120)*QCI!$AA$3),0)),SomaAgrup)</f>
        <v>8440.8152449861791</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 100327</v>
      </c>
      <c r="AF120" s="12"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15445</v>
      </c>
      <c r="AG120" s="428" cm="1">
        <f t="array" aca="1" ref="AG120" ca="1">ROUND(IF(DESONERACAO="sim",REFERENCIA.Desonerado,REFERENCIA.NaoDesonerado),2)</f>
        <v>67.89</v>
      </c>
      <c r="AH120" s="429">
        <f ca="1">ROUND(IF(ISNUMBER(ORÇAMENTO.OpcaoBDI),ORÇAMENTO.OpcaoBDI,IF(LEFT(ORÇAMENTO.OpcaoBDI,3)="BDI",HLOOKUP(ORÇAMENTO.OpcaoBDI,$F$4:$H$5,2,FALSE),0)),15-11*$AF$9)</f>
        <v>0.22470000000000001</v>
      </c>
      <c r="AJ120" s="431">
        <v>217.2</v>
      </c>
      <c r="AL120" s="439"/>
      <c r="AM120" s="336">
        <f t="shared" ca="1" si="40"/>
        <v>18058.009999999998</v>
      </c>
      <c r="AN120" s="470" cm="1">
        <f t="array" aca="1" ref="AN120" ca="1">ROUND(ORÇAMENTO.CustoUnitario*(1+$AH120),2)</f>
        <v>83.14</v>
      </c>
    </row>
    <row r="121" spans="1:40" x14ac:dyDescent="0.2">
      <c r="A121">
        <f t="shared" si="1"/>
        <v>2</v>
      </c>
      <c r="B121">
        <f t="shared" ca="1" si="2"/>
        <v>2</v>
      </c>
      <c r="C121">
        <f t="shared" ca="1" si="3"/>
        <v>2</v>
      </c>
      <c r="D121">
        <f t="shared" ca="1" si="4"/>
        <v>11</v>
      </c>
      <c r="E121">
        <f ca="1">IF($C121=1,OFFSET(E121,-1,0)+MAX(1,COUNTIF(QCI!$A$13:$A$24,OFFSET(ORÇAMENTO!E121,-1,0))),OFFSET(E121,-1,0))</f>
        <v>1</v>
      </c>
      <c r="F121">
        <f t="shared" ca="1" si="5"/>
        <v>7</v>
      </c>
      <c r="G121">
        <f t="shared" ca="1" si="6"/>
        <v>0</v>
      </c>
      <c r="H121">
        <f t="shared" ca="1" si="7"/>
        <v>0</v>
      </c>
      <c r="I121">
        <f t="shared" ca="1" si="8"/>
        <v>0</v>
      </c>
      <c r="J121">
        <f t="shared" ca="1" si="38"/>
        <v>119</v>
      </c>
      <c r="K121">
        <f ca="1">IF(OR($C121="S",$C121=0),0,MATCH(OFFSET($D121,0,$C121)+IF($C121&lt;&gt;1,1,COUNTIF(QCI!$A$13:$A$24,ORÇAMENTO!E121)),OFFSET($D121,1,$C121,ROW($C$240)-ROW($C121)),0))</f>
        <v>11</v>
      </c>
      <c r="L121" s="114" t="str">
        <f t="shared" ca="1" si="10"/>
        <v>F</v>
      </c>
      <c r="M121" s="115" t="s">
        <v>702</v>
      </c>
      <c r="N121" s="116" t="str">
        <f t="shared" ca="1" si="11"/>
        <v>Nível 2</v>
      </c>
      <c r="O121" s="117" t="str">
        <f t="shared" ca="1" si="12"/>
        <v>1.7.</v>
      </c>
      <c r="P121" s="118" t="s">
        <v>750</v>
      </c>
      <c r="Q121" s="119"/>
      <c r="R121" s="120" t="s">
        <v>1019</v>
      </c>
      <c r="S121" s="121" t="str" cm="1">
        <f t="array" aca="1" ref="S121" ca="1">REFERENCIA.Unidade</f>
        <v>-</v>
      </c>
      <c r="T121" s="122">
        <f ca="1">OFFSET(CÁLCULO!H$15,ROW($T121)-ROW(T$15),0)</f>
        <v>0</v>
      </c>
      <c r="U121" s="123"/>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IF($C121="S",IF(OR(Import.TipoArredondamento&lt;&gt;"TransfereGOV",ACOMPANHAMENTO="BM"),VTOTAL1,SUM(OFFSET(CÁLCULO!$AA$15,ROW($X121)-ROW($X$15),1):OFFSET(CÁLCULO!$AL$15,ROW($X121)-ROW($X$15),-1))),IF($C121=0,0,ROUND(SomaAgrup,15-13*$AF$11)))</f>
        <v>417408.74</v>
      </c>
      <c r="Y121" s="126" t="s">
        <v>751</v>
      </c>
      <c r="Z121" t="str">
        <f t="shared" ca="1" si="13"/>
        <v/>
      </c>
      <c r="AA121" s="127" cm="1">
        <f t="array" aca="1" ref="AA121" ca="1">IF($C121="S",IF($Z121="CP",$X121,IF($Z121="RA",(($X121)*QCI!$AA$3),0)),SomaAgrup)</f>
        <v>195108.43420634238</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f ca="1">IF(C121&lt;=CRONO.NivelExibicao,MAX($AD$15:OFFSET(AD121,-1,0))+IF($C121&lt;&gt;1,1,MAX(1,COUNTIF(QCI!$A$13:$A$24,OFFSET($E121,-1,0)))),"")</f>
        <v>8</v>
      </c>
      <c r="AE121" s="7" t="b" cm="1">
        <f t="array" aca="1" ref="AE121" ca="1">IF(AND($C121="S",ORÇAMENTO.CodBarra&lt;&gt;""),IF(ORÇAMENTO.Fonte="",ORÇAMENTO.CodBarra,CONCATENATE(ORÇAMENTO.Fonte," ",ORÇAMENTO.CodBarra)))</f>
        <v>0</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(Sem Código)</v>
      </c>
      <c r="AG121" s="428" cm="1">
        <f t="array" aca="1" ref="AG121" ca="1">ROUND(IF(DESONERACAO="sim",REFERENCIA.Desonerado,REFERENCIA.NaoDesonerado),2)</f>
        <v>0</v>
      </c>
      <c r="AH121" s="429">
        <f t="shared" ca="1" si="14"/>
        <v>0.22470000000000001</v>
      </c>
      <c r="AJ121" s="431"/>
      <c r="AL121" s="439"/>
      <c r="AM121" s="336">
        <f t="shared" ca="1" si="0"/>
        <v>417408.74</v>
      </c>
      <c r="AN121" s="470" cm="1">
        <f t="array" aca="1" ref="AN121" ca="1">ROUND(ORÇAMENTO.CustoUnitario*(1+$AH121),2)</f>
        <v>0</v>
      </c>
    </row>
    <row r="122" spans="1:40" x14ac:dyDescent="0.2">
      <c r="A122">
        <f t="shared" si="1"/>
        <v>3</v>
      </c>
      <c r="B122">
        <f t="shared" ca="1" si="2"/>
        <v>3</v>
      </c>
      <c r="C122">
        <f t="shared" ca="1" si="3"/>
        <v>3</v>
      </c>
      <c r="D122">
        <f t="shared" ca="1" si="4"/>
        <v>5</v>
      </c>
      <c r="E122">
        <f ca="1">IF($C122=1,OFFSET(E122,-1,0)+MAX(1,COUNTIF(QCI!$A$13:$A$24,OFFSET(ORÇAMENTO!E122,-1,0))),OFFSET(E122,-1,0))</f>
        <v>1</v>
      </c>
      <c r="F122">
        <f t="shared" ca="1" si="5"/>
        <v>7</v>
      </c>
      <c r="G122">
        <f t="shared" ca="1" si="6"/>
        <v>1</v>
      </c>
      <c r="H122">
        <f t="shared" ca="1" si="7"/>
        <v>0</v>
      </c>
      <c r="I122">
        <f t="shared" ca="1" si="8"/>
        <v>0</v>
      </c>
      <c r="J122">
        <f t="shared" ca="1" si="38"/>
        <v>10</v>
      </c>
      <c r="K122">
        <f ca="1">IF(OR($C122="S",$C122=0),0,MATCH(OFFSET($D122,0,$C122)+IF($C122&lt;&gt;1,1,COUNTIF(QCI!$A$13:$A$24,ORÇAMENTO!E122)),OFFSET($D122,1,$C122,ROW($C$240)-ROW($C122)),0))</f>
        <v>5</v>
      </c>
      <c r="L122" s="114" t="str">
        <f t="shared" ca="1" si="10"/>
        <v>F</v>
      </c>
      <c r="M122" s="115" t="s">
        <v>703</v>
      </c>
      <c r="N122" s="116" t="str">
        <f t="shared" ca="1" si="11"/>
        <v>Nível 3</v>
      </c>
      <c r="O122" s="117" t="str">
        <f t="shared" ca="1" si="12"/>
        <v>1.7.1.</v>
      </c>
      <c r="P122" s="118" t="s">
        <v>750</v>
      </c>
      <c r="Q122" s="119"/>
      <c r="R122" s="120" t="s">
        <v>1044</v>
      </c>
      <c r="S122" s="121" t="str" cm="1">
        <f t="array" aca="1" ref="S122" ca="1">REFERENCIA.Unidade</f>
        <v>-</v>
      </c>
      <c r="T122" s="122">
        <f ca="1">OFFSET(CÁLCULO!H$15,ROW($T122)-ROW(T$15),0)</f>
        <v>0</v>
      </c>
      <c r="U122" s="123"/>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IF($C122="S",IF(OR(Import.TipoArredondamento&lt;&gt;"TransfereGOV",ACOMPANHAMENTO="BM"),VTOTAL1,SUM(OFFSET(CÁLCULO!$AA$15,ROW($X122)-ROW($X$15),1):OFFSET(CÁLCULO!$AL$15,ROW($X122)-ROW($X$15),-1))),IF($C122=0,0,ROUND(SomaAgrup,15-13*$AF$11)))</f>
        <v>266860.46000000002</v>
      </c>
      <c r="Y122" s="126" t="s">
        <v>751</v>
      </c>
      <c r="Z122" t="str">
        <f t="shared" ca="1" si="13"/>
        <v/>
      </c>
      <c r="AA122" s="127" cm="1">
        <f t="array" aca="1" ref="AA122" ca="1">IF($C122="S",IF($Z122="CP",$X122,IF($Z122="RA",(($X122)*QCI!$AA$3),0)),SomaAgrup)</f>
        <v>124737.98824189513</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b" cm="1">
        <f t="array" aca="1" ref="AE122" ca="1">IF(AND($C122="S",ORÇAMENTO.CodBarra&lt;&gt;""),IF(ORÇAMENTO.Fonte="",ORÇAMENTO.CodBarra,CONCATENATE(ORÇAMENTO.Fonte," ",ORÇAMENTO.CodBarra)))</f>
        <v>0</v>
      </c>
      <c r="AF122" s="12"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(Sem Código)</v>
      </c>
      <c r="AG122" s="428" cm="1">
        <f t="array" aca="1" ref="AG122" ca="1">ROUND(IF(DESONERACAO="sim",REFERENCIA.Desonerado,REFERENCIA.NaoDesonerado),2)</f>
        <v>0</v>
      </c>
      <c r="AH122" s="429">
        <f t="shared" ca="1" si="14"/>
        <v>0.22470000000000001</v>
      </c>
      <c r="AJ122" s="431"/>
      <c r="AL122" s="439"/>
      <c r="AM122" s="336">
        <f t="shared" ca="1" si="0"/>
        <v>266860.46000000002</v>
      </c>
      <c r="AN122" s="470" cm="1">
        <f t="array" aca="1" ref="AN122" ca="1">ROUND(ORÇAMENTO.CustoUnitario*(1+$AH122),2)</f>
        <v>0</v>
      </c>
    </row>
    <row r="123" spans="1:40" ht="63.75" x14ac:dyDescent="0.2">
      <c r="A123" t="str">
        <f t="shared" si="1"/>
        <v>S</v>
      </c>
      <c r="B123">
        <f t="shared" ca="1" si="2"/>
        <v>3</v>
      </c>
      <c r="C123" t="str">
        <f t="shared" ca="1" si="3"/>
        <v>S</v>
      </c>
      <c r="D123">
        <f t="shared" ca="1" si="4"/>
        <v>0</v>
      </c>
      <c r="E123">
        <f ca="1">IF($C123=1,OFFSET(E123,-1,0)+MAX(1,COUNTIF(QCI!$A$13:$A$24,OFFSET(ORÇAMENTO!E123,-1,0))),OFFSET(E123,-1,0))</f>
        <v>1</v>
      </c>
      <c r="F123">
        <f t="shared" ca="1" si="5"/>
        <v>7</v>
      </c>
      <c r="G123">
        <f t="shared" ca="1" si="6"/>
        <v>1</v>
      </c>
      <c r="H123">
        <f t="shared" ca="1" si="7"/>
        <v>0</v>
      </c>
      <c r="I123">
        <f t="shared" ca="1" si="8"/>
        <v>1</v>
      </c>
      <c r="J123">
        <f t="shared" ca="1" si="38"/>
        <v>0</v>
      </c>
      <c r="K123">
        <f ca="1">IF(OR($C123="S",$C123=0),0,MATCH(OFFSET($D123,0,$C123)+IF($C123&lt;&gt;1,1,COUNTIF(QCI!$A$13:$A$24,ORÇAMENTO!E123)),OFFSET($D123,1,$C123,ROW($C$240)-ROW($C123)),0))</f>
        <v>0</v>
      </c>
      <c r="L123" s="114" t="str">
        <f t="shared" ca="1" si="10"/>
        <v>F</v>
      </c>
      <c r="M123" s="115" t="s">
        <v>705</v>
      </c>
      <c r="N123" s="116" t="str">
        <f t="shared" ca="1" si="11"/>
        <v>Serviço</v>
      </c>
      <c r="O123" s="117" t="str">
        <f t="shared" ca="1" si="12"/>
        <v>1.7.1.0.1.</v>
      </c>
      <c r="P123" s="118" t="s">
        <v>750</v>
      </c>
      <c r="Q123" s="119" t="s">
        <v>1149</v>
      </c>
      <c r="R123" s="120" t="str" cm="1">
        <f t="array" aca="1" ref="R123" ca="1">IF($C123="S",REFERENCIA.Descricao,"(digite a descrição aqui)")</f>
        <v>KIT DE PORTA DE MADEIRA PARA PINTURA, SEMI-OCA (LEVE OU MÉDIA), PADRÃO POPULAR, 80X210CM, ESPESSURA DE 3,5CM, ITENS INCLUSOS: DOBRADIÇAS, MONTAGEM E INSTALAÇÃO DO BATENTE, FECHADURA COM EXECUÇÃO DO FURO - FORNECIMENTO E INSTALAÇÃO. AF_10/2025</v>
      </c>
      <c r="S123" s="121" t="str" cm="1">
        <f t="array" aca="1" ref="S123" ca="1">REFERENCIA.Unidade</f>
        <v>UN</v>
      </c>
      <c r="T123" s="122">
        <f ca="1">OFFSET(CÁLCULO!H$15,ROW($T123)-ROW(T$15),0)</f>
        <v>90</v>
      </c>
      <c r="U123" s="123">
        <f t="shared" ref="U123:U126" ca="1" si="42">AG123</f>
        <v>1183.54</v>
      </c>
      <c r="V123" s="124" t="s">
        <v>663</v>
      </c>
      <c r="W123" s="122" cm="1">
        <f t="array" aca="1" ref="W123" ca="1">IF($C123="S",ROUND(IF(TIPOORCAMENTO="Proposto",ORÇAMENTO.CustoUnitario*(1+$AH123),ORÇAMENTO.PrecoUnitarioLicitado),15-13*$AF$10),0)</f>
        <v>1449.48</v>
      </c>
      <c r="X123" s="125" cm="1">
        <f t="array" aca="1" ref="X123" ca="1">IF($C123="S",IF(OR(Import.TipoArredondamento&lt;&gt;"TransfereGOV",ACOMPANHAMENTO="BM"),VTOTAL1,SUM(OFFSET(CÁLCULO!$AA$15,ROW($X123)-ROW($X$15),1):OFFSET(CÁLCULO!$AL$15,ROW($X123)-ROW($X$15),-1))),IF($C123=0,0,ROUND(SomaAgrup,15-13*$AF$11)))</f>
        <v>130453.2</v>
      </c>
      <c r="Y123" s="126" t="s">
        <v>751</v>
      </c>
      <c r="Z123" t="str">
        <f t="shared" ca="1" si="13"/>
        <v>RA</v>
      </c>
      <c r="AA123" s="127" cm="1">
        <f t="array" aca="1" ref="AA123" ca="1">IF($C123="S",IF($Z123="CP",$X123,IF($Z123="RA",(($X123)*QCI!$AA$3),0)),SomaAgrup)</f>
        <v>60977.447643302403</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SINAPI 91314</v>
      </c>
      <c r="AF123" s="12"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9621</v>
      </c>
      <c r="AG123" s="428" cm="1">
        <f t="array" aca="1" ref="AG123" ca="1">ROUND(IF(DESONERACAO="sim",REFERENCIA.Desonerado,REFERENCIA.NaoDesonerado),2)</f>
        <v>1183.54</v>
      </c>
      <c r="AH123" s="429">
        <f t="shared" ca="1" si="14"/>
        <v>0.22470000000000001</v>
      </c>
      <c r="AJ123" s="431">
        <v>90</v>
      </c>
      <c r="AL123" s="439"/>
      <c r="AM123" s="336">
        <f t="shared" ref="AM123:AM131" ca="1" si="43">$X123</f>
        <v>130453.2</v>
      </c>
      <c r="AN123" s="470" cm="1">
        <f t="array" aca="1" ref="AN123" ca="1">ROUND(ORÇAMENTO.CustoUnitario*(1+$AH123),2)</f>
        <v>1449.48</v>
      </c>
    </row>
    <row r="124" spans="1:40" ht="38.25" x14ac:dyDescent="0.2">
      <c r="A124" t="str">
        <f t="shared" si="1"/>
        <v>S</v>
      </c>
      <c r="B124">
        <f t="shared" ca="1" si="2"/>
        <v>3</v>
      </c>
      <c r="C124" t="str">
        <f t="shared" ca="1" si="3"/>
        <v>S</v>
      </c>
      <c r="D124">
        <f t="shared" ca="1" si="4"/>
        <v>0</v>
      </c>
      <c r="E124">
        <f ca="1">IF($C124=1,OFFSET(E124,-1,0)+MAX(1,COUNTIF(QCI!$A$13:$A$24,OFFSET(ORÇAMENTO!E124,-1,0))),OFFSET(E124,-1,0))</f>
        <v>1</v>
      </c>
      <c r="F124">
        <f t="shared" ca="1" si="5"/>
        <v>7</v>
      </c>
      <c r="G124">
        <f t="shared" ca="1" si="6"/>
        <v>1</v>
      </c>
      <c r="H124">
        <f t="shared" ca="1" si="7"/>
        <v>0</v>
      </c>
      <c r="I124">
        <f t="shared" ca="1" si="8"/>
        <v>2</v>
      </c>
      <c r="J124">
        <f t="shared" ca="1" si="38"/>
        <v>0</v>
      </c>
      <c r="K124">
        <f ca="1">IF(OR($C124="S",$C124=0),0,MATCH(OFFSET($D124,0,$C124)+IF($C124&lt;&gt;1,1,COUNTIF(QCI!$A$13:$A$24,ORÇAMENTO!E124)),OFFSET($D124,1,$C124,ROW($C$240)-ROW($C124)),0))</f>
        <v>0</v>
      </c>
      <c r="L124" s="114" t="str">
        <f t="shared" ca="1" si="10"/>
        <v>F</v>
      </c>
      <c r="M124" s="115" t="s">
        <v>705</v>
      </c>
      <c r="N124" s="116" t="str">
        <f t="shared" ca="1" si="11"/>
        <v>Serviço</v>
      </c>
      <c r="O124" s="117" t="str">
        <f t="shared" ca="1" si="12"/>
        <v>1.7.1.0.2.</v>
      </c>
      <c r="P124" s="118" t="s">
        <v>750</v>
      </c>
      <c r="Q124" s="119" t="s">
        <v>1150</v>
      </c>
      <c r="R124" s="120" t="str" cm="1">
        <f t="array" aca="1" ref="R124" ca="1">IF($C124="S",REFERENCIA.Descricao,"(digite a descrição aqui)")</f>
        <v>PORTA DE ALUMÍNIO DE ABRIR PARA VIDRO SEM GUARNIÇÃO, 87X210CM, FIXAÇÃO COM PARAFUSOS, INCLUSIVE VIDROS - FORNECIMENTO E INSTALAÇÃO. AF_10/2025</v>
      </c>
      <c r="S124" s="121" t="str" cm="1">
        <f t="array" aca="1" ref="S124" ca="1">REFERENCIA.Unidade</f>
        <v>UN</v>
      </c>
      <c r="T124" s="122">
        <f ca="1">OFFSET(CÁLCULO!H$15,ROW($T124)-ROW(T$15),0)</f>
        <v>30</v>
      </c>
      <c r="U124" s="123">
        <f t="shared" ca="1" si="42"/>
        <v>1291.18</v>
      </c>
      <c r="V124" s="124" t="s">
        <v>663</v>
      </c>
      <c r="W124" s="122" cm="1">
        <f t="array" aca="1" ref="W124" ca="1">IF($C124="S",ROUND(IF(TIPOORCAMENTO="Proposto",ORÇAMENTO.CustoUnitario*(1+$AH124),ORÇAMENTO.PrecoUnitarioLicitado),15-13*$AF$10),0)</f>
        <v>1581.31</v>
      </c>
      <c r="X124" s="125" cm="1">
        <f t="array" aca="1" ref="X124" ca="1">IF($C124="S",IF(OR(Import.TipoArredondamento&lt;&gt;"TransfereGOV",ACOMPANHAMENTO="BM"),VTOTAL1,SUM(OFFSET(CÁLCULO!$AA$15,ROW($X124)-ROW($X$15),1):OFFSET(CÁLCULO!$AL$15,ROW($X124)-ROW($X$15),-1))),IF($C124=0,0,ROUND(SomaAgrup,15-13*$AF$11)))</f>
        <v>47439.3</v>
      </c>
      <c r="Y124" s="126" t="s">
        <v>751</v>
      </c>
      <c r="Z124" t="str">
        <f t="shared" ca="1" si="13"/>
        <v>RA</v>
      </c>
      <c r="AA124" s="127" cm="1">
        <f t="array" aca="1" ref="AA124" ca="1">IF($C124="S",IF($Z124="CP",$X124,IF($Z124="RA",(($X124)*QCI!$AA$3),0)),SomaAgrup)</f>
        <v>22174.445946783337</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str" cm="1">
        <f t="array" aca="1" ref="AE124" ca="1">IF(AND($C124="S",ORÇAMENTO.CodBarra&lt;&gt;""),IF(ORÇAMENTO.Fonte="",ORÇAMENTO.CodBarra,CONCATENATE(ORÇAMENTO.Fonte," ",ORÇAMENTO.CodBarra)))</f>
        <v>SINAPI 94805</v>
      </c>
      <c r="AF124" s="12"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9669</v>
      </c>
      <c r="AG124" s="428" cm="1">
        <f t="array" aca="1" ref="AG124" ca="1">ROUND(IF(DESONERACAO="sim",REFERENCIA.Desonerado,REFERENCIA.NaoDesonerado),2)</f>
        <v>1291.18</v>
      </c>
      <c r="AH124" s="429">
        <f t="shared" ca="1" si="14"/>
        <v>0.22470000000000001</v>
      </c>
      <c r="AJ124" s="431">
        <v>30</v>
      </c>
      <c r="AL124" s="439"/>
      <c r="AM124" s="336">
        <f t="shared" ca="1" si="43"/>
        <v>47439.3</v>
      </c>
      <c r="AN124" s="470" cm="1">
        <f t="array" aca="1" ref="AN124" ca="1">ROUND(ORÇAMENTO.CustoUnitario*(1+$AH124),2)</f>
        <v>1581.31</v>
      </c>
    </row>
    <row r="125" spans="1:40" ht="38.25" x14ac:dyDescent="0.2">
      <c r="A125" t="str">
        <f t="shared" si="1"/>
        <v>S</v>
      </c>
      <c r="B125">
        <f t="shared" ca="1" si="2"/>
        <v>3</v>
      </c>
      <c r="C125" t="str">
        <f t="shared" ca="1" si="3"/>
        <v>S</v>
      </c>
      <c r="D125">
        <f t="shared" ca="1" si="4"/>
        <v>0</v>
      </c>
      <c r="E125">
        <f ca="1">IF($C125=1,OFFSET(E125,-1,0)+MAX(1,COUNTIF(QCI!$A$13:$A$24,OFFSET(ORÇAMENTO!E125,-1,0))),OFFSET(E125,-1,0))</f>
        <v>1</v>
      </c>
      <c r="F125">
        <f t="shared" ca="1" si="5"/>
        <v>7</v>
      </c>
      <c r="G125">
        <f t="shared" ca="1" si="6"/>
        <v>1</v>
      </c>
      <c r="H125">
        <f t="shared" ca="1" si="7"/>
        <v>0</v>
      </c>
      <c r="I125">
        <f t="shared" ca="1" si="8"/>
        <v>3</v>
      </c>
      <c r="J125">
        <f t="shared" ca="1" si="38"/>
        <v>0</v>
      </c>
      <c r="K125">
        <f ca="1">IF(OR($C125="S",$C125=0),0,MATCH(OFFSET($D125,0,$C125)+IF($C125&lt;&gt;1,1,COUNTIF(QCI!$A$13:$A$24,ORÇAMENTO!E125)),OFFSET($D125,1,$C125,ROW($C$240)-ROW($C125)),0))</f>
        <v>0</v>
      </c>
      <c r="L125" s="114" t="str">
        <f t="shared" ca="1" si="10"/>
        <v>F</v>
      </c>
      <c r="M125" s="115" t="s">
        <v>705</v>
      </c>
      <c r="N125" s="116" t="str">
        <f t="shared" ca="1" si="11"/>
        <v>Serviço</v>
      </c>
      <c r="O125" s="117" t="str">
        <f t="shared" ca="1" si="12"/>
        <v>1.7.1.0.3.</v>
      </c>
      <c r="P125" s="118" t="s">
        <v>954</v>
      </c>
      <c r="Q125" s="119" t="s">
        <v>1151</v>
      </c>
      <c r="R125" s="120" t="str" cm="1">
        <f t="array" aca="1" ref="R125" ca="1">IF($C125="S",REFERENCIA.Descricao,"(digite a descrição aqui)")</f>
        <v>PORTA DE ABRIR EM ALUMINIO COM LAMBRI HORIZONTAL/LAMINADA, ACABAMENTO ANODIZADO NATURAL, SEM GUARNICAO/ALIZAR/VISTA</v>
      </c>
      <c r="S125" s="121" t="str" cm="1">
        <f t="array" aca="1" ref="S125" ca="1">REFERENCIA.Unidade</f>
        <v>M2</v>
      </c>
      <c r="T125" s="122">
        <f ca="1">OFFSET(CÁLCULO!H$15,ROW($T125)-ROW(T$15),0)</f>
        <v>69.900000000000006</v>
      </c>
      <c r="U125" s="123">
        <f t="shared" ca="1" si="42"/>
        <v>962.19</v>
      </c>
      <c r="V125" s="124" t="s">
        <v>663</v>
      </c>
      <c r="W125" s="122" cm="1">
        <f t="array" aca="1" ref="W125" ca="1">IF($C125="S",ROUND(IF(TIPOORCAMENTO="Proposto",ORÇAMENTO.CustoUnitario*(1+$AH125),ORÇAMENTO.PrecoUnitarioLicitado),15-13*$AF$10),0)</f>
        <v>1178.3900000000001</v>
      </c>
      <c r="X125" s="125" cm="1">
        <f t="array" aca="1" ref="X125" ca="1">IF($C125="S",IF(OR(Import.TipoArredondamento&lt;&gt;"TransfereGOV",ACOMPANHAMENTO="BM"),VTOTAL1,SUM(OFFSET(CÁLCULO!$AA$15,ROW($X125)-ROW($X$15),1):OFFSET(CÁLCULO!$AL$15,ROW($X125)-ROW($X$15),-1))),IF($C125=0,0,ROUND(SomaAgrup,15-13*$AF$11)))</f>
        <v>82369.460000000006</v>
      </c>
      <c r="Y125" s="126" t="s">
        <v>751</v>
      </c>
      <c r="Z125" t="str">
        <f t="shared" ca="1" si="13"/>
        <v>RA</v>
      </c>
      <c r="AA125" s="127" cm="1">
        <f t="array" aca="1" ref="AA125" ca="1">IF($C125="S",IF($Z125="CP",$X125,IF($Z125="RA",(($X125)*QCI!$AA$3),0)),SomaAgrup)</f>
        <v>38501.772547987261</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str" cm="1">
        <f t="array" aca="1" ref="AE125" ca="1">IF(AND($C125="S",ORÇAMENTO.CodBarra&lt;&gt;""),IF(ORÇAMENTO.Fonte="",ORÇAMENTO.CodBarra,CONCATENATE(ORÇAMENTO.Fonte," ",ORÇAMENTO.CodBarra)))</f>
        <v>SINAPI-I 4914</v>
      </c>
      <c r="AF125" s="12"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3470</v>
      </c>
      <c r="AG125" s="428" cm="1">
        <f t="array" aca="1" ref="AG125" ca="1">ROUND(IF(DESONERACAO="sim",REFERENCIA.Desonerado,REFERENCIA.NaoDesonerado),2)</f>
        <v>962.19</v>
      </c>
      <c r="AH125" s="429">
        <f t="shared" ca="1" si="14"/>
        <v>0.22470000000000001</v>
      </c>
      <c r="AJ125" s="431">
        <v>69.900000000000006</v>
      </c>
      <c r="AL125" s="439"/>
      <c r="AM125" s="336">
        <f t="shared" ca="1" si="43"/>
        <v>82369.460000000006</v>
      </c>
      <c r="AN125" s="470" cm="1">
        <f t="array" aca="1" ref="AN125" ca="1">ROUND(ORÇAMENTO.CustoUnitario*(1+$AH125),2)</f>
        <v>1178.3900000000001</v>
      </c>
    </row>
    <row r="126" spans="1:40" ht="38.25" x14ac:dyDescent="0.2">
      <c r="A126" t="str">
        <f t="shared" si="1"/>
        <v>S</v>
      </c>
      <c r="B126">
        <f t="shared" ca="1" si="2"/>
        <v>3</v>
      </c>
      <c r="C126" t="str">
        <f t="shared" ca="1" si="3"/>
        <v>S</v>
      </c>
      <c r="D126">
        <f t="shared" ca="1" si="4"/>
        <v>0</v>
      </c>
      <c r="E126">
        <f ca="1">IF($C126=1,OFFSET(E126,-1,0)+MAX(1,COUNTIF(QCI!$A$13:$A$24,OFFSET(ORÇAMENTO!E126,-1,0))),OFFSET(E126,-1,0))</f>
        <v>1</v>
      </c>
      <c r="F126">
        <f t="shared" ca="1" si="5"/>
        <v>7</v>
      </c>
      <c r="G126">
        <f t="shared" ca="1" si="6"/>
        <v>1</v>
      </c>
      <c r="H126">
        <f t="shared" ca="1" si="7"/>
        <v>0</v>
      </c>
      <c r="I126">
        <f t="shared" ca="1" si="8"/>
        <v>4</v>
      </c>
      <c r="J126">
        <f t="shared" ca="1" si="38"/>
        <v>0</v>
      </c>
      <c r="K126">
        <f ca="1">IF(OR($C126="S",$C126=0),0,MATCH(OFFSET($D126,0,$C126)+IF($C126&lt;&gt;1,1,COUNTIF(QCI!$A$13:$A$24,ORÇAMENTO!E126)),OFFSET($D126,1,$C126,ROW($C$240)-ROW($C126)),0))</f>
        <v>0</v>
      </c>
      <c r="L126" s="114" t="str">
        <f t="shared" ca="1" si="10"/>
        <v>F</v>
      </c>
      <c r="M126" s="115" t="s">
        <v>705</v>
      </c>
      <c r="N126" s="116" t="str">
        <f t="shared" ca="1" si="11"/>
        <v>Serviço</v>
      </c>
      <c r="O126" s="117" t="str">
        <f t="shared" ca="1" si="12"/>
        <v>1.7.1.0.4.</v>
      </c>
      <c r="P126" s="118" t="s">
        <v>954</v>
      </c>
      <c r="Q126" s="119" t="s">
        <v>1148</v>
      </c>
      <c r="R126" s="120" t="str" cm="1">
        <f t="array" aca="1" ref="R126" ca="1">IF($C126="S",REFERENCIA.Descricao,"(digite a descrição aqui)")</f>
        <v>GUARNICAO / MOLDURA / ARREMATE DE ACABAMENTO PARA ESQUADRIA, EM ALUMINIO PERFIL 25, ACABAMENTO ANODIZADO BRANCO OU BRILHANTE, PARA 1 FACE</v>
      </c>
      <c r="S126" s="121" t="str" cm="1">
        <f t="array" aca="1" ref="S126" ca="1">REFERENCIA.Unidade</f>
        <v>M</v>
      </c>
      <c r="T126" s="122">
        <f ca="1">OFFSET(CÁLCULO!H$15,ROW($T126)-ROW(T$15),0)</f>
        <v>150</v>
      </c>
      <c r="U126" s="123">
        <f t="shared" ca="1" si="42"/>
        <v>35.92</v>
      </c>
      <c r="V126" s="124" t="s">
        <v>663</v>
      </c>
      <c r="W126" s="122" cm="1">
        <f t="array" aca="1" ref="W126" ca="1">IF($C126="S",ROUND(IF(TIPOORCAMENTO="Proposto",ORÇAMENTO.CustoUnitario*(1+$AH126),ORÇAMENTO.PrecoUnitarioLicitado),15-13*$AF$10),0)</f>
        <v>43.99</v>
      </c>
      <c r="X126" s="125" cm="1">
        <f t="array" aca="1" ref="X126" ca="1">IF($C126="S",IF(OR(Import.TipoArredondamento&lt;&gt;"TransfereGOV",ACOMPANHAMENTO="BM"),VTOTAL1,SUM(OFFSET(CÁLCULO!$AA$15,ROW($X126)-ROW($X$15),1):OFFSET(CÁLCULO!$AL$15,ROW($X126)-ROW($X$15),-1))),IF($C126=0,0,ROUND(SomaAgrup,15-13*$AF$11)))</f>
        <v>6598.5</v>
      </c>
      <c r="Y126" s="126" t="s">
        <v>751</v>
      </c>
      <c r="Z126" t="str">
        <f t="shared" ca="1" si="13"/>
        <v>RA</v>
      </c>
      <c r="AA126" s="127" cm="1">
        <f t="array" aca="1" ref="AA126" ca="1">IF($C126="S",IF($Z126="CP",$X126,IF($Z126="RA",(($X126)*QCI!$AA$3),0)),SomaAgrup)</f>
        <v>3084.3221038221441</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SINAPI-I 36888</v>
      </c>
      <c r="AF126" s="12"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2244</v>
      </c>
      <c r="AG126" s="428" cm="1">
        <f t="array" aca="1" ref="AG126" ca="1">ROUND(IF(DESONERACAO="sim",REFERENCIA.Desonerado,REFERENCIA.NaoDesonerado),2)</f>
        <v>35.92</v>
      </c>
      <c r="AH126" s="429">
        <f t="shared" ca="1" si="14"/>
        <v>0.22470000000000001</v>
      </c>
      <c r="AJ126" s="431">
        <v>150</v>
      </c>
      <c r="AL126" s="439"/>
      <c r="AM126" s="336">
        <f t="shared" ca="1" si="43"/>
        <v>6598.5</v>
      </c>
      <c r="AN126" s="470" cm="1">
        <f t="array" aca="1" ref="AN126" ca="1">ROUND(ORÇAMENTO.CustoUnitario*(1+$AH126),2)</f>
        <v>43.99</v>
      </c>
    </row>
    <row r="127" spans="1:40" x14ac:dyDescent="0.2">
      <c r="A127">
        <f t="shared" si="1"/>
        <v>3</v>
      </c>
      <c r="B127">
        <f t="shared" ca="1" si="2"/>
        <v>3</v>
      </c>
      <c r="C127">
        <f t="shared" ca="1" si="3"/>
        <v>3</v>
      </c>
      <c r="D127">
        <f t="shared" ca="1" si="4"/>
        <v>5</v>
      </c>
      <c r="E127">
        <f ca="1">IF($C127=1,OFFSET(E127,-1,0)+MAX(1,COUNTIF(QCI!$A$13:$A$24,OFFSET(ORÇAMENTO!E127,-1,0))),OFFSET(E127,-1,0))</f>
        <v>1</v>
      </c>
      <c r="F127">
        <f t="shared" ca="1" si="5"/>
        <v>7</v>
      </c>
      <c r="G127">
        <f t="shared" ca="1" si="6"/>
        <v>2</v>
      </c>
      <c r="H127">
        <f t="shared" ca="1" si="7"/>
        <v>0</v>
      </c>
      <c r="I127">
        <f t="shared" ca="1" si="8"/>
        <v>0</v>
      </c>
      <c r="J127">
        <f t="shared" ca="1" si="38"/>
        <v>5</v>
      </c>
      <c r="K127">
        <f ca="1">IF(OR($C127="S",$C127=0),0,MATCH(OFFSET($D127,0,$C127)+IF($C127&lt;&gt;1,1,COUNTIF(QCI!$A$13:$A$24,ORÇAMENTO!E127)),OFFSET($D127,1,$C127,ROW($C$240)-ROW($C127)),0))</f>
        <v>26</v>
      </c>
      <c r="L127" s="114" t="str">
        <f t="shared" ca="1" si="10"/>
        <v>F</v>
      </c>
      <c r="M127" s="115" t="s">
        <v>703</v>
      </c>
      <c r="N127" s="116" t="str">
        <f t="shared" ca="1" si="11"/>
        <v>Nível 3</v>
      </c>
      <c r="O127" s="117" t="str">
        <f t="shared" ca="1" si="12"/>
        <v>1.7.2.</v>
      </c>
      <c r="P127" s="118" t="s">
        <v>750</v>
      </c>
      <c r="Q127" s="119"/>
      <c r="R127" s="120" t="s">
        <v>1045</v>
      </c>
      <c r="S127" s="121" t="str" cm="1">
        <f t="array" aca="1" ref="S127" ca="1">REFERENCIA.Unidade</f>
        <v>-</v>
      </c>
      <c r="T127" s="122">
        <f ca="1">OFFSET(CÁLCULO!H$15,ROW($T127)-ROW(T$15),0)</f>
        <v>0</v>
      </c>
      <c r="U127" s="123"/>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IF($C127="S",IF(OR(Import.TipoArredondamento&lt;&gt;"TransfereGOV",ACOMPANHAMENTO="BM"),VTOTAL1,SUM(OFFSET(CÁLCULO!$AA$15,ROW($X127)-ROW($X$15),1):OFFSET(CÁLCULO!$AL$15,ROW($X127)-ROW($X$15),-1))),IF($C127=0,0,ROUND(SomaAgrup,15-13*$AF$11)))</f>
        <v>150548.28</v>
      </c>
      <c r="Y127" s="126" t="s">
        <v>751</v>
      </c>
      <c r="Z127" t="str">
        <f t="shared" ca="1" si="13"/>
        <v/>
      </c>
      <c r="AA127" s="127" cm="1">
        <f t="array" aca="1" ref="AA127" ca="1">IF($C127="S",IF($Z127="CP",$X127,IF($Z127="RA",(($X127)*QCI!$AA$3),0)),SomaAgrup)</f>
        <v>70370.445964447252</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cm="1">
        <f t="array" aca="1" ref="AE127" ca="1">IF(AND($C127="S",ORÇAMENTO.CodBarra&lt;&gt;""),IF(ORÇAMENTO.Fonte="",ORÇAMENTO.CodBarra,CONCATENATE(ORÇAMENTO.Fonte," ",ORÇAMENTO.CodBarra)))</f>
        <v>0</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428" cm="1">
        <f t="array" aca="1" ref="AG127" ca="1">ROUND(IF(DESONERACAO="sim",REFERENCIA.Desonerado,REFERENCIA.NaoDesonerado),2)</f>
        <v>0</v>
      </c>
      <c r="AH127" s="429">
        <f t="shared" ca="1" si="14"/>
        <v>0.22470000000000001</v>
      </c>
      <c r="AJ127" s="431"/>
      <c r="AL127" s="439"/>
      <c r="AM127" s="336">
        <f t="shared" ca="1" si="43"/>
        <v>150548.28</v>
      </c>
      <c r="AN127" s="470" cm="1">
        <f t="array" aca="1" ref="AN127" ca="1">ROUND(ORÇAMENTO.CustoUnitario*(1+$AH127),2)</f>
        <v>0</v>
      </c>
    </row>
    <row r="128" spans="1:40" ht="63.75" x14ac:dyDescent="0.2">
      <c r="A128" t="str">
        <f t="shared" si="1"/>
        <v>S</v>
      </c>
      <c r="B128">
        <f t="shared" ca="1" si="2"/>
        <v>3</v>
      </c>
      <c r="C128" t="str">
        <f t="shared" ca="1" si="3"/>
        <v>S</v>
      </c>
      <c r="D128">
        <f t="shared" ca="1" si="4"/>
        <v>0</v>
      </c>
      <c r="E128">
        <f ca="1">IF($C128=1,OFFSET(E128,-1,0)+MAX(1,COUNTIF(QCI!$A$13:$A$24,OFFSET(ORÇAMENTO!E128,-1,0))),OFFSET(E128,-1,0))</f>
        <v>1</v>
      </c>
      <c r="F128">
        <f t="shared" ca="1" si="5"/>
        <v>7</v>
      </c>
      <c r="G128">
        <f t="shared" ca="1" si="6"/>
        <v>2</v>
      </c>
      <c r="H128">
        <f t="shared" ca="1" si="7"/>
        <v>0</v>
      </c>
      <c r="I128">
        <f t="shared" ca="1" si="8"/>
        <v>1</v>
      </c>
      <c r="J128">
        <f t="shared" ca="1" si="38"/>
        <v>0</v>
      </c>
      <c r="K128">
        <f ca="1">IF(OR($C128="S",$C128=0),0,MATCH(OFFSET($D128,0,$C128)+IF($C128&lt;&gt;1,1,COUNTIF(QCI!$A$13:$A$24,ORÇAMENTO!E128)),OFFSET($D128,1,$C128,ROW($C$240)-ROW($C128)),0))</f>
        <v>0</v>
      </c>
      <c r="L128" s="114" t="str">
        <f t="shared" ca="1" si="10"/>
        <v>F</v>
      </c>
      <c r="M128" s="115" t="s">
        <v>705</v>
      </c>
      <c r="N128" s="116" t="str">
        <f t="shared" ca="1" si="11"/>
        <v>Serviço</v>
      </c>
      <c r="O128" s="117" t="str">
        <f t="shared" ca="1" si="12"/>
        <v>1.7.2.0.1.</v>
      </c>
      <c r="P128" s="118" t="s">
        <v>750</v>
      </c>
      <c r="Q128" s="119" t="s">
        <v>1145</v>
      </c>
      <c r="R128" s="120" t="str" cm="1">
        <f t="array" aca="1" ref="R128" ca="1">IF($C128="S",REFERENCIA.Descricao,"(digite a descrição aqui)")</f>
        <v>JANELA DE ALUMÍNIO TIPO MAXIM-AR, BATENTE/ REQUADRO 3 A 14 CM, VIDRO INCLUSO, FIXAÇÃO COM PARAFUSO, SEM GUARNIÇÃO/ ALIZAR, DIMENSÕES 60X80 (A X L) CM, SEM ACABAMENTO, VEDAÇÃO COM SILICONE, EXCLUSIVE CONTRAMARCO - FORNECIMENTO E INSTALAÇÃO. AF_11/2024</v>
      </c>
      <c r="S128" s="121" t="str" cm="1">
        <f t="array" aca="1" ref="S128" ca="1">REFERENCIA.Unidade</f>
        <v>M2</v>
      </c>
      <c r="T128" s="122">
        <f ca="1">OFFSET(CÁLCULO!H$15,ROW($T128)-ROW(T$15),0)</f>
        <v>10.8</v>
      </c>
      <c r="U128" s="123">
        <f t="shared" ref="U128:U131" ca="1" si="44">AG128</f>
        <v>825.12</v>
      </c>
      <c r="V128" s="124" t="s">
        <v>663</v>
      </c>
      <c r="W128" s="122" cm="1">
        <f t="array" aca="1" ref="W128" ca="1">IF($C128="S",ROUND(IF(TIPOORCAMENTO="Proposto",ORÇAMENTO.CustoUnitario*(1+$AH128),ORÇAMENTO.PrecoUnitarioLicitado),15-13*$AF$10),0)</f>
        <v>1010.52</v>
      </c>
      <c r="X128" s="125" cm="1">
        <f t="array" aca="1" ref="X128" ca="1">IF($C128="S",IF(OR(Import.TipoArredondamento&lt;&gt;"TransfereGOV",ACOMPANHAMENTO="BM"),VTOTAL1,SUM(OFFSET(CÁLCULO!$AA$15,ROW($X128)-ROW($X$15),1):OFFSET(CÁLCULO!$AL$15,ROW($X128)-ROW($X$15),-1))),IF($C128=0,0,ROUND(SomaAgrup,15-13*$AF$11)))</f>
        <v>10913.62</v>
      </c>
      <c r="Y128" s="126" t="s">
        <v>751</v>
      </c>
      <c r="Z128" t="str">
        <f t="shared" ca="1" si="13"/>
        <v>RA</v>
      </c>
      <c r="AA128" s="127" cm="1">
        <f t="array" aca="1" ref="AA128" ca="1">IF($C128="S",IF($Z128="CP",$X128,IF($Z128="RA",(($X128)*QCI!$AA$3),0)),SomaAgrup)</f>
        <v>5101.3289988202514</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str" cm="1">
        <f t="array" aca="1" ref="AE128" ca="1">IF(AND($C128="S",ORÇAMENTO.CodBarra&lt;&gt;""),IF(ORÇAMENTO.Fonte="",ORÇAMENTO.CodBarra,CONCATENATE(ORÇAMENTO.Fonte," ",ORÇAMENTO.CodBarra)))</f>
        <v>SINAPI 94569</v>
      </c>
      <c r="AF128" s="12"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9555</v>
      </c>
      <c r="AG128" s="428" cm="1">
        <f t="array" aca="1" ref="AG128" ca="1">ROUND(IF(DESONERACAO="sim",REFERENCIA.Desonerado,REFERENCIA.NaoDesonerado),2)</f>
        <v>825.12</v>
      </c>
      <c r="AH128" s="429">
        <f t="shared" ca="1" si="14"/>
        <v>0.22470000000000001</v>
      </c>
      <c r="AJ128" s="431">
        <v>10.8</v>
      </c>
      <c r="AL128" s="439"/>
      <c r="AM128" s="336">
        <f t="shared" ca="1" si="43"/>
        <v>10913.62</v>
      </c>
      <c r="AN128" s="470" cm="1">
        <f t="array" aca="1" ref="AN128" ca="1">ROUND(ORÇAMENTO.CustoUnitario*(1+$AH128),2)</f>
        <v>1010.52</v>
      </c>
    </row>
    <row r="129" spans="1:40" ht="76.5" x14ac:dyDescent="0.2">
      <c r="A129" t="str">
        <f>CHOOSE(1+LOG(1+2*(ORÇAMENTO.Nivel="Meta")+4*(ORÇAMENTO.Nivel="Nível 2")+8*(ORÇAMENTO.Nivel="Nível 3")+16*(ORÇAMENTO.Nivel="Nível 4")+32*(ORÇAMENTO.Nivel="Serviço"),2),0,1,2,3,4,"S")</f>
        <v>S</v>
      </c>
      <c r="B129">
        <f ca="1">IF(OR(C129="s",C129=0),OFFSET(B129,-1,0),C129)</f>
        <v>3</v>
      </c>
      <c r="C129" t="str">
        <f ca="1">IF(OFFSET(C129,-1,0)="L",1,IF(OFFSET(C129,-1,0)=1,2,IF(OR(A129="s",A129=0),"S",IF(AND(OFFSET(C129,-1,0)=2,A129=4),3,IF(AND(OR(OFFSET(C129,-1,0)="s",OFFSET(C129,-1,0)=0),A129&lt;&gt;"s",A129&gt;OFFSET(B129,-1,0)),OFFSET(B129,-1,0),A129)))))</f>
        <v>S</v>
      </c>
      <c r="D129">
        <f ca="1">IF(OR(C129="S",C129=0),0,IF(ISERROR(K129),J129,SMALL(J129:K129,1)))</f>
        <v>0</v>
      </c>
      <c r="E129">
        <f ca="1">IF($C129=1,OFFSET(E129,-1,0)+MAX(1,COUNTIF(QCI!$A$13:$A$24,OFFSET(ORÇAMENTO!E129,-1,0))),OFFSET(E129,-1,0))</f>
        <v>1</v>
      </c>
      <c r="F129">
        <f ca="1">IF($C129=1,0,IF($C129=2,OFFSET(F129,-1,0)+1,OFFSET(F129,-1,0)))</f>
        <v>7</v>
      </c>
      <c r="G129">
        <f ca="1">IF(AND($C129&lt;=2,$C129&lt;&gt;0),0,IF($C129=3,OFFSET(G129,-1,0)+1,OFFSET(G129,-1,0)))</f>
        <v>2</v>
      </c>
      <c r="H129">
        <f ca="1">IF(AND($C129&lt;=3,$C129&lt;&gt;0),0,IF($C129=4,OFFSET(H129,-1,0)+1,OFFSET(H129,-1,0)))</f>
        <v>0</v>
      </c>
      <c r="I129">
        <f ca="1">IF(AND($C129&lt;=4,$C129&lt;&gt;0),0,IF(AND($C129="S",$X129&gt;0),OFFSET(I129,-1,0)+1,OFFSET(I129,-1,0)))</f>
        <v>2</v>
      </c>
      <c r="J129">
        <f t="shared" ca="1" si="38"/>
        <v>0</v>
      </c>
      <c r="K129">
        <f ca="1">IF(OR($C129="S",$C129=0),0,MATCH(OFFSET($D129,0,$C129)+IF($C129&lt;&gt;1,1,COUNTIF(QCI!$A$13:$A$24,ORÇAMENTO!E129)),OFFSET($D129,1,$C129,ROW($C$240)-ROW($C129)),0))</f>
        <v>0</v>
      </c>
      <c r="L129" s="114" t="str">
        <f ca="1">IF(OR($X129&gt;0,$C129=1,$C129=2,$C129=3,$C129=4),"F","")</f>
        <v>F</v>
      </c>
      <c r="M129" s="115" t="s">
        <v>705</v>
      </c>
      <c r="N129" s="116" t="str">
        <f ca="1">CHOOSE(1+LOG(1+2*(C129=1)+4*(C129=2)+8*(C129=3)+16*(C129=4)+32*(C129="S"),2),"","Meta","Nível 2","Nível 3","Nível 4","Serviço")</f>
        <v>Serviço</v>
      </c>
      <c r="O129" s="117" t="str">
        <f ca="1">IF(OR($C129=0,$L129=""),"-",CONCATENATE(E129&amp;".",IF(AND($A$5&gt;=2,$C129&gt;=2),F129&amp;".",""),IF(AND($A$5&gt;=3,$C129&gt;=3),G129&amp;".",""),IF(AND($A$5&gt;=4,$C129&gt;=4),H129&amp;".",""),IF($C129="S",I129&amp;".","")))</f>
        <v>1.7.2.0.2.</v>
      </c>
      <c r="P129" s="118" t="s">
        <v>750</v>
      </c>
      <c r="Q129" s="119" t="s">
        <v>1146</v>
      </c>
      <c r="R129" s="120" t="str" cm="1">
        <f t="array" aca="1" ref="R129" ca="1">IF($C129="S",REFERENCIA.Descricao,"(digite a descrição aqui)")</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S129" s="121" t="str" cm="1">
        <f t="array" aca="1" ref="S129" ca="1">REFERENCIA.Unidade</f>
        <v>M2</v>
      </c>
      <c r="T129" s="122">
        <f ca="1">OFFSET(CÁLCULO!H$15,ROW($T129)-ROW(T$15),0)</f>
        <v>24</v>
      </c>
      <c r="U129" s="123">
        <f t="shared" ca="1" si="44"/>
        <v>438.31</v>
      </c>
      <c r="V129" s="124" t="s">
        <v>663</v>
      </c>
      <c r="W129" s="122" cm="1">
        <f t="array" aca="1" ref="W129" ca="1">IF($C129="S",ROUND(IF(TIPOORCAMENTO="Proposto",ORÇAMENTO.CustoUnitario*(1+$AH129),ORÇAMENTO.PrecoUnitarioLicitado),15-13*$AF$10),0)</f>
        <v>536.79999999999995</v>
      </c>
      <c r="X129" s="125" cm="1">
        <f t="array" aca="1" ref="X129" ca="1">IF($C129="S",IF(OR(Import.TipoArredondamento&lt;&gt;"TransfereGOV",ACOMPANHAMENTO="BM"),VTOTAL1,SUM(OFFSET(CÁLCULO!$AA$15,ROW($X129)-ROW($X$15),1):OFFSET(CÁLCULO!$AL$15,ROW($X129)-ROW($X$15),-1))),IF($C129=0,0,ROUND(SomaAgrup,15-13*$AF$11)))</f>
        <v>12883.2</v>
      </c>
      <c r="Y129" s="126" t="s">
        <v>751</v>
      </c>
      <c r="Z129" t="str">
        <f ca="1">IF(AND($C129="S",$X129&gt;0),IF(ISBLANK($Y129),"RA",LEFT($Y129,2)),"")</f>
        <v>RA</v>
      </c>
      <c r="AA129" s="127" cm="1">
        <f t="array" aca="1" ref="AA129" ca="1">IF($C129="S",IF($Z129="CP",$X129,IF($Z129="RA",(($X129)*QCI!$AA$3),0)),SomaAgrup)</f>
        <v>6021.9653751551787</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94570</v>
      </c>
      <c r="AF129" s="12"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9550</v>
      </c>
      <c r="AG129" s="428" cm="1">
        <f t="array" aca="1" ref="AG129" ca="1">ROUND(IF(DESONERACAO="sim",REFERENCIA.Desonerado,REFERENCIA.NaoDesonerado),2)</f>
        <v>438.31</v>
      </c>
      <c r="AH129" s="429">
        <f ca="1">ROUND(IF(ISNUMBER(ORÇAMENTO.OpcaoBDI),ORÇAMENTO.OpcaoBDI,IF(LEFT(ORÇAMENTO.OpcaoBDI,3)="BDI",HLOOKUP(ORÇAMENTO.OpcaoBDI,$F$4:$H$5,2,FALSE),0)),15-11*$AF$9)</f>
        <v>0.22470000000000001</v>
      </c>
      <c r="AJ129" s="431">
        <v>24</v>
      </c>
      <c r="AL129" s="439"/>
      <c r="AM129" s="336">
        <f t="shared" ca="1" si="43"/>
        <v>12883.2</v>
      </c>
      <c r="AN129" s="470" cm="1">
        <f t="array" aca="1" ref="AN129" ca="1">ROUND(ORÇAMENTO.CustoUnitario*(1+$AH129),2)</f>
        <v>536.79999999999995</v>
      </c>
    </row>
    <row r="130" spans="1:40" ht="76.5" x14ac:dyDescent="0.2">
      <c r="A130" t="str">
        <f t="shared" si="1"/>
        <v>S</v>
      </c>
      <c r="B130">
        <f t="shared" ca="1" si="2"/>
        <v>3</v>
      </c>
      <c r="C130" t="str">
        <f t="shared" ca="1" si="3"/>
        <v>S</v>
      </c>
      <c r="D130">
        <f t="shared" ca="1" si="4"/>
        <v>0</v>
      </c>
      <c r="E130">
        <f ca="1">IF($C130=1,OFFSET(E130,-1,0)+MAX(1,COUNTIF(QCI!$A$13:$A$24,OFFSET(ORÇAMENTO!E130,-1,0))),OFFSET(E130,-1,0))</f>
        <v>1</v>
      </c>
      <c r="F130">
        <f t="shared" ca="1" si="5"/>
        <v>7</v>
      </c>
      <c r="G130">
        <f t="shared" ca="1" si="6"/>
        <v>2</v>
      </c>
      <c r="H130">
        <f t="shared" ca="1" si="7"/>
        <v>0</v>
      </c>
      <c r="I130">
        <f t="shared" ca="1" si="8"/>
        <v>3</v>
      </c>
      <c r="J130">
        <f t="shared" ca="1" si="38"/>
        <v>0</v>
      </c>
      <c r="K130">
        <f ca="1">IF(OR($C130="S",$C130=0),0,MATCH(OFFSET($D130,0,$C130)+IF($C130&lt;&gt;1,1,COUNTIF(QCI!$A$13:$A$24,ORÇAMENTO!E130)),OFFSET($D130,1,$C130,ROW($C$240)-ROW($C130)),0))</f>
        <v>0</v>
      </c>
      <c r="L130" s="114" t="str">
        <f t="shared" ca="1" si="10"/>
        <v>F</v>
      </c>
      <c r="M130" s="115" t="s">
        <v>705</v>
      </c>
      <c r="N130" s="116" t="str">
        <f t="shared" ca="1" si="11"/>
        <v>Serviço</v>
      </c>
      <c r="O130" s="117" t="str">
        <f t="shared" ca="1" si="12"/>
        <v>1.7.2.0.3.</v>
      </c>
      <c r="P130" s="118" t="s">
        <v>750</v>
      </c>
      <c r="Q130" s="119" t="s">
        <v>1147</v>
      </c>
      <c r="R130" s="120" t="str" cm="1">
        <f t="array" aca="1" ref="R130" ca="1">IF($C130="S",REFERENCIA.Descricao,"(digite a descrição aqui)")</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S130" s="121" t="str" cm="1">
        <f t="array" aca="1" ref="S130" ca="1">REFERENCIA.Unidade</f>
        <v>M2</v>
      </c>
      <c r="T130" s="122">
        <f ca="1">OFFSET(CÁLCULO!H$15,ROW($T130)-ROW(T$15),0)</f>
        <v>129.6</v>
      </c>
      <c r="U130" s="123">
        <f t="shared" ca="1" si="44"/>
        <v>628.96</v>
      </c>
      <c r="V130" s="124" t="s">
        <v>663</v>
      </c>
      <c r="W130" s="122" cm="1">
        <f t="array" aca="1" ref="W130" ca="1">IF($C130="S",ROUND(IF(TIPOORCAMENTO="Proposto",ORÇAMENTO.CustoUnitario*(1+$AH130),ORÇAMENTO.PrecoUnitarioLicitado),15-13*$AF$10),0)</f>
        <v>770.29</v>
      </c>
      <c r="X130" s="125" cm="1">
        <f t="array" aca="1" ref="X130" ca="1">IF($C130="S",IF(OR(Import.TipoArredondamento&lt;&gt;"TransfereGOV",ACOMPANHAMENTO="BM"),VTOTAL1,SUM(OFFSET(CÁLCULO!$AA$15,ROW($X130)-ROW($X$15),1):OFFSET(CÁLCULO!$AL$15,ROW($X130)-ROW($X$15),-1))),IF($C130=0,0,ROUND(SomaAgrup,15-13*$AF$11)))</f>
        <v>99829.58</v>
      </c>
      <c r="Y130" s="126" t="s">
        <v>751</v>
      </c>
      <c r="Z130" t="str">
        <f t="shared" ca="1" si="13"/>
        <v>RA</v>
      </c>
      <c r="AA130" s="127" cm="1">
        <f t="array" aca="1" ref="AA130" ca="1">IF($C130="S",IF($Z130="CP",$X130,IF($Z130="RA",(($X130)*QCI!$AA$3),0)),SomaAgrup)</f>
        <v>46663.117406877478</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94572</v>
      </c>
      <c r="AF130" s="12"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9552</v>
      </c>
      <c r="AG130" s="428" cm="1">
        <f t="array" aca="1" ref="AG130" ca="1">ROUND(IF(DESONERACAO="sim",REFERENCIA.Desonerado,REFERENCIA.NaoDesonerado),2)</f>
        <v>628.96</v>
      </c>
      <c r="AH130" s="429">
        <f t="shared" ca="1" si="14"/>
        <v>0.22470000000000001</v>
      </c>
      <c r="AJ130" s="431">
        <v>129.6</v>
      </c>
      <c r="AL130" s="439"/>
      <c r="AM130" s="336">
        <f t="shared" ca="1" si="43"/>
        <v>99829.58</v>
      </c>
      <c r="AN130" s="470" cm="1">
        <f t="array" aca="1" ref="AN130" ca="1">ROUND(ORÇAMENTO.CustoUnitario*(1+$AH130),2)</f>
        <v>770.29</v>
      </c>
    </row>
    <row r="131" spans="1:40" ht="38.25" x14ac:dyDescent="0.2">
      <c r="A131" t="str">
        <f t="shared" si="1"/>
        <v>S</v>
      </c>
      <c r="B131">
        <f t="shared" ca="1" si="2"/>
        <v>3</v>
      </c>
      <c r="C131" t="str">
        <f t="shared" ca="1" si="3"/>
        <v>S</v>
      </c>
      <c r="D131">
        <f t="shared" ca="1" si="4"/>
        <v>0</v>
      </c>
      <c r="E131">
        <f ca="1">IF($C131=1,OFFSET(E131,-1,0)+MAX(1,COUNTIF(QCI!$A$13:$A$24,OFFSET(ORÇAMENTO!E131,-1,0))),OFFSET(E131,-1,0))</f>
        <v>1</v>
      </c>
      <c r="F131">
        <f t="shared" ca="1" si="5"/>
        <v>7</v>
      </c>
      <c r="G131">
        <f t="shared" ca="1" si="6"/>
        <v>2</v>
      </c>
      <c r="H131">
        <f t="shared" ca="1" si="7"/>
        <v>0</v>
      </c>
      <c r="I131">
        <f t="shared" ca="1" si="8"/>
        <v>4</v>
      </c>
      <c r="J131">
        <f t="shared" ca="1" si="38"/>
        <v>0</v>
      </c>
      <c r="K131">
        <f ca="1">IF(OR($C131="S",$C131=0),0,MATCH(OFFSET($D131,0,$C131)+IF($C131&lt;&gt;1,1,COUNTIF(QCI!$A$13:$A$24,ORÇAMENTO!E131)),OFFSET($D131,1,$C131,ROW($C$240)-ROW($C131)),0))</f>
        <v>0</v>
      </c>
      <c r="L131" s="114" t="str">
        <f t="shared" ca="1" si="10"/>
        <v>F</v>
      </c>
      <c r="M131" s="115" t="s">
        <v>705</v>
      </c>
      <c r="N131" s="116" t="str">
        <f t="shared" ca="1" si="11"/>
        <v>Serviço</v>
      </c>
      <c r="O131" s="117" t="str">
        <f t="shared" ca="1" si="12"/>
        <v>1.7.2.0.4.</v>
      </c>
      <c r="P131" s="118" t="s">
        <v>954</v>
      </c>
      <c r="Q131" s="119" t="s">
        <v>1148</v>
      </c>
      <c r="R131" s="120" t="str" cm="1">
        <f t="array" aca="1" ref="R131" ca="1">IF($C131="S",REFERENCIA.Descricao,"(digite a descrição aqui)")</f>
        <v>GUARNICAO / MOLDURA / ARREMATE DE ACABAMENTO PARA ESQUADRIA, EM ALUMINIO PERFIL 25, ACABAMENTO ANODIZADO BRANCO OU BRILHANTE, PARA 1 FACE</v>
      </c>
      <c r="S131" s="121" t="str" cm="1">
        <f t="array" aca="1" ref="S131" ca="1">REFERENCIA.Unidade</f>
        <v>M</v>
      </c>
      <c r="T131" s="122">
        <f ca="1">OFFSET(CÁLCULO!H$15,ROW($T131)-ROW(T$15),0)</f>
        <v>612</v>
      </c>
      <c r="U131" s="123">
        <f t="shared" ca="1" si="44"/>
        <v>35.92</v>
      </c>
      <c r="V131" s="124" t="s">
        <v>663</v>
      </c>
      <c r="W131" s="122" cm="1">
        <f t="array" aca="1" ref="W131" ca="1">IF($C131="S",ROUND(IF(TIPOORCAMENTO="Proposto",ORÇAMENTO.CustoUnitario*(1+$AH131),ORÇAMENTO.PrecoUnitarioLicitado),15-13*$AF$10),0)</f>
        <v>43.99</v>
      </c>
      <c r="X131" s="125" cm="1">
        <f t="array" aca="1" ref="X131" ca="1">IF($C131="S",IF(OR(Import.TipoArredondamento&lt;&gt;"TransfereGOV",ACOMPANHAMENTO="BM"),VTOTAL1,SUM(OFFSET(CÁLCULO!$AA$15,ROW($X131)-ROW($X$15),1):OFFSET(CÁLCULO!$AL$15,ROW($X131)-ROW($X$15),-1))),IF($C131=0,0,ROUND(SomaAgrup,15-13*$AF$11)))</f>
        <v>26921.88</v>
      </c>
      <c r="Y131" s="126" t="s">
        <v>751</v>
      </c>
      <c r="Z131" t="str">
        <f t="shared" ca="1" si="13"/>
        <v>RA</v>
      </c>
      <c r="AA131" s="127" cm="1">
        <f t="array" aca="1" ref="AA131" ca="1">IF($C131="S",IF($Z131="CP",$X131,IF($Z131="RA",(($X131)*QCI!$AA$3),0)),SomaAgrup)</f>
        <v>12584.034183594347</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SINAPI-I 36888</v>
      </c>
      <c r="AF131" s="12"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2244</v>
      </c>
      <c r="AG131" s="428" cm="1">
        <f t="array" aca="1" ref="AG131" ca="1">ROUND(IF(DESONERACAO="sim",REFERENCIA.Desonerado,REFERENCIA.NaoDesonerado),2)</f>
        <v>35.92</v>
      </c>
      <c r="AH131" s="429">
        <f t="shared" ca="1" si="14"/>
        <v>0.22470000000000001</v>
      </c>
      <c r="AJ131" s="431">
        <v>612</v>
      </c>
      <c r="AL131" s="439"/>
      <c r="AM131" s="336">
        <f t="shared" ca="1" si="43"/>
        <v>26921.88</v>
      </c>
      <c r="AN131" s="470" cm="1">
        <f t="array" aca="1" ref="AN131" ca="1">ROUND(ORÇAMENTO.CustoUnitario*(1+$AH131),2)</f>
        <v>43.99</v>
      </c>
    </row>
    <row r="132" spans="1:40" x14ac:dyDescent="0.2">
      <c r="A132">
        <f t="shared" si="1"/>
        <v>2</v>
      </c>
      <c r="B132">
        <f t="shared" ca="1" si="2"/>
        <v>2</v>
      </c>
      <c r="C132">
        <f t="shared" ca="1" si="3"/>
        <v>2</v>
      </c>
      <c r="D132">
        <f t="shared" ca="1" si="4"/>
        <v>43</v>
      </c>
      <c r="E132">
        <f ca="1">IF($C132=1,OFFSET(E132,-1,0)+MAX(1,COUNTIF(QCI!$A$13:$A$24,OFFSET(ORÇAMENTO!E132,-1,0))),OFFSET(E132,-1,0))</f>
        <v>1</v>
      </c>
      <c r="F132">
        <f t="shared" ca="1" si="5"/>
        <v>8</v>
      </c>
      <c r="G132">
        <f t="shared" ca="1" si="6"/>
        <v>0</v>
      </c>
      <c r="H132">
        <f t="shared" ca="1" si="7"/>
        <v>0</v>
      </c>
      <c r="I132">
        <f t="shared" ca="1" si="8"/>
        <v>0</v>
      </c>
      <c r="J132">
        <f t="shared" ca="1" si="38"/>
        <v>108</v>
      </c>
      <c r="K132">
        <f ca="1">IF(OR($C132="S",$C132=0),0,MATCH(OFFSET($D132,0,$C132)+IF($C132&lt;&gt;1,1,COUNTIF(QCI!$A$13:$A$24,ORÇAMENTO!E132)),OFFSET($D132,1,$C132,ROW($C$240)-ROW($C132)),0))</f>
        <v>43</v>
      </c>
      <c r="L132" s="114" t="str">
        <f t="shared" ca="1" si="10"/>
        <v>F</v>
      </c>
      <c r="M132" s="115" t="s">
        <v>702</v>
      </c>
      <c r="N132" s="116" t="str">
        <f t="shared" ca="1" si="11"/>
        <v>Nível 2</v>
      </c>
      <c r="O132" s="117" t="str">
        <f t="shared" ca="1" si="12"/>
        <v>1.8.</v>
      </c>
      <c r="P132" s="118" t="s">
        <v>750</v>
      </c>
      <c r="Q132" s="119"/>
      <c r="R132" s="120" t="s">
        <v>1020</v>
      </c>
      <c r="S132" s="121" t="str" cm="1">
        <f t="array" aca="1" ref="S132" ca="1">REFERENCIA.Unidade</f>
        <v>-</v>
      </c>
      <c r="T132" s="122">
        <f ca="1">OFFSET(CÁLCULO!H$15,ROW($T132)-ROW(T$15),0)</f>
        <v>0</v>
      </c>
      <c r="U132" s="123"/>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IF($C132="S",IF(OR(Import.TipoArredondamento&lt;&gt;"TransfereGOV",ACOMPANHAMENTO="BM"),VTOTAL1,SUM(OFFSET(CÁLCULO!$AA$15,ROW($X132)-ROW($X$15),1):OFFSET(CÁLCULO!$AL$15,ROW($X132)-ROW($X$15),-1))),IF($C132=0,0,ROUND(SomaAgrup,15-13*$AF$11)))</f>
        <v>615007.78</v>
      </c>
      <c r="Y132" s="126" t="s">
        <v>751</v>
      </c>
      <c r="Z132" t="str">
        <f t="shared" ca="1" si="13"/>
        <v/>
      </c>
      <c r="AA132" s="127" cm="1">
        <f t="array" aca="1" ref="AA132" ca="1">IF($C132="S",IF($Z132="CP",$X132,IF($Z132="RA",(($X132)*QCI!$AA$3),0)),SomaAgrup)</f>
        <v>287471.71173396771</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f ca="1">IF(C132&lt;=CRONO.NivelExibicao,MAX($AD$15:OFFSET(AD132,-1,0))+IF($C132&lt;&gt;1,1,MAX(1,COUNTIF(QCI!$A$13:$A$24,OFFSET($E132,-1,0)))),"")</f>
        <v>9</v>
      </c>
      <c r="AE132" s="7" t="b" cm="1">
        <f t="array" aca="1" ref="AE132" ca="1">IF(AND($C132="S",ORÇAMENTO.CodBarra&lt;&gt;""),IF(ORÇAMENTO.Fonte="",ORÇAMENTO.CodBarra,CONCATENATE(ORÇAMENTO.Fonte," ",ORÇAMENTO.CodBarra)))</f>
        <v>0</v>
      </c>
      <c r="AF132" s="12"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(Sem Código)</v>
      </c>
      <c r="AG132" s="428" cm="1">
        <f t="array" aca="1" ref="AG132" ca="1">ROUND(IF(DESONERACAO="sim",REFERENCIA.Desonerado,REFERENCIA.NaoDesonerado),2)</f>
        <v>0</v>
      </c>
      <c r="AH132" s="429">
        <f t="shared" ca="1" si="14"/>
        <v>0.22470000000000001</v>
      </c>
      <c r="AJ132" s="431"/>
      <c r="AL132" s="439"/>
      <c r="AM132" s="336">
        <f t="shared" ca="1" si="0"/>
        <v>615007.78</v>
      </c>
      <c r="AN132" s="470" cm="1">
        <f t="array" aca="1" ref="AN132" ca="1">ROUND(ORÇAMENTO.CustoUnitario*(1+$AH132),2)</f>
        <v>0</v>
      </c>
    </row>
    <row r="133" spans="1:40" x14ac:dyDescent="0.2">
      <c r="A133">
        <f t="shared" si="1"/>
        <v>3</v>
      </c>
      <c r="B133">
        <f t="shared" ca="1" si="2"/>
        <v>3</v>
      </c>
      <c r="C133">
        <f t="shared" ca="1" si="3"/>
        <v>3</v>
      </c>
      <c r="D133">
        <f t="shared" ca="1" si="4"/>
        <v>7</v>
      </c>
      <c r="E133">
        <f ca="1">IF($C133=1,OFFSET(E133,-1,0)+MAX(1,COUNTIF(QCI!$A$13:$A$24,OFFSET(ORÇAMENTO!E133,-1,0))),OFFSET(E133,-1,0))</f>
        <v>1</v>
      </c>
      <c r="F133">
        <f t="shared" ca="1" si="5"/>
        <v>8</v>
      </c>
      <c r="G133">
        <f t="shared" ca="1" si="6"/>
        <v>1</v>
      </c>
      <c r="H133">
        <f t="shared" ca="1" si="7"/>
        <v>0</v>
      </c>
      <c r="I133">
        <f t="shared" ca="1" si="8"/>
        <v>0</v>
      </c>
      <c r="J133">
        <f t="shared" ca="1" si="38"/>
        <v>42</v>
      </c>
      <c r="K133">
        <f ca="1">IF(OR($C133="S",$C133=0),0,MATCH(OFFSET($D133,0,$C133)+IF($C133&lt;&gt;1,1,COUNTIF(QCI!$A$13:$A$24,ORÇAMENTO!E133)),OFFSET($D133,1,$C133,ROW($C$240)-ROW($C133)),0))</f>
        <v>7</v>
      </c>
      <c r="L133" s="114" t="str">
        <f t="shared" ca="1" si="10"/>
        <v>F</v>
      </c>
      <c r="M133" s="115" t="s">
        <v>703</v>
      </c>
      <c r="N133" s="116" t="str">
        <f t="shared" ca="1" si="11"/>
        <v>Nível 3</v>
      </c>
      <c r="O133" s="117" t="str">
        <f t="shared" ca="1" si="12"/>
        <v>1.8.1.</v>
      </c>
      <c r="P133" s="118" t="s">
        <v>750</v>
      </c>
      <c r="Q133" s="119"/>
      <c r="R133" s="120" t="s">
        <v>1046</v>
      </c>
      <c r="S133" s="121" t="str" cm="1">
        <f t="array" aca="1" ref="S133" ca="1">REFERENCIA.Unidade</f>
        <v>-</v>
      </c>
      <c r="T133" s="122">
        <f ca="1">OFFSET(CÁLCULO!H$15,ROW($T133)-ROW(T$15),0)</f>
        <v>0</v>
      </c>
      <c r="U133" s="123"/>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IF($C133="S",IF(OR(Import.TipoArredondamento&lt;&gt;"TransfereGOV",ACOMPANHAMENTO="BM"),VTOTAL1,SUM(OFFSET(CÁLCULO!$AA$15,ROW($X133)-ROW($X$15),1):OFFSET(CÁLCULO!$AL$15,ROW($X133)-ROW($X$15),-1))),IF($C133=0,0,ROUND(SomaAgrup,15-13*$AF$11)))</f>
        <v>321292.96000000002</v>
      </c>
      <c r="Y133" s="126" t="s">
        <v>751</v>
      </c>
      <c r="Z133" t="str">
        <f t="shared" ca="1" si="13"/>
        <v/>
      </c>
      <c r="AA133" s="127" cm="1">
        <f t="array" aca="1" ref="AA133" ca="1">IF($C133="S",IF($Z133="CP",$X133,IF($Z133="RA",(($X133)*QCI!$AA$3),0)),SomaAgrup)</f>
        <v>150181.25003113493</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b" cm="1">
        <f t="array" aca="1" ref="AE133" ca="1">IF(AND($C133="S",ORÇAMENTO.CodBarra&lt;&gt;""),IF(ORÇAMENTO.Fonte="",ORÇAMENTO.CodBarra,CONCATENATE(ORÇAMENTO.Fonte," ",ORÇAMENTO.CodBarra)))</f>
        <v>0</v>
      </c>
      <c r="AF133" s="12"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(Sem Código)</v>
      </c>
      <c r="AG133" s="428" cm="1">
        <f t="array" aca="1" ref="AG133" ca="1">ROUND(IF(DESONERACAO="sim",REFERENCIA.Desonerado,REFERENCIA.NaoDesonerado),2)</f>
        <v>0</v>
      </c>
      <c r="AH133" s="429">
        <f t="shared" ca="1" si="14"/>
        <v>0.22470000000000001</v>
      </c>
      <c r="AJ133" s="431"/>
      <c r="AL133" s="439"/>
      <c r="AM133" s="336">
        <f t="shared" ca="1" si="0"/>
        <v>321292.96000000002</v>
      </c>
      <c r="AN133" s="470" cm="1">
        <f t="array" aca="1" ref="AN133" ca="1">ROUND(ORÇAMENTO.CustoUnitario*(1+$AH133),2)</f>
        <v>0</v>
      </c>
    </row>
    <row r="134" spans="1:40" x14ac:dyDescent="0.2">
      <c r="A134" t="str">
        <f t="shared" si="1"/>
        <v>S</v>
      </c>
      <c r="B134">
        <f t="shared" ca="1" si="2"/>
        <v>3</v>
      </c>
      <c r="C134" t="str">
        <f t="shared" ca="1" si="3"/>
        <v>S</v>
      </c>
      <c r="D134">
        <f t="shared" ca="1" si="4"/>
        <v>0</v>
      </c>
      <c r="E134">
        <f ca="1">IF($C134=1,OFFSET(E134,-1,0)+MAX(1,COUNTIF(QCI!$A$13:$A$24,OFFSET(ORÇAMENTO!E134,-1,0))),OFFSET(E134,-1,0))</f>
        <v>1</v>
      </c>
      <c r="F134">
        <f t="shared" ca="1" si="5"/>
        <v>8</v>
      </c>
      <c r="G134">
        <f t="shared" ca="1" si="6"/>
        <v>1</v>
      </c>
      <c r="H134">
        <f t="shared" ca="1" si="7"/>
        <v>0</v>
      </c>
      <c r="I134">
        <f t="shared" ca="1" si="8"/>
        <v>1</v>
      </c>
      <c r="J134">
        <f t="shared" ca="1" si="38"/>
        <v>0</v>
      </c>
      <c r="K134">
        <f ca="1">IF(OR($C134="S",$C134=0),0,MATCH(OFFSET($D134,0,$C134)+IF($C134&lt;&gt;1,1,COUNTIF(QCI!$A$13:$A$24,ORÇAMENTO!E134)),OFFSET($D134,1,$C134,ROW($C$240)-ROW($C134)),0))</f>
        <v>0</v>
      </c>
      <c r="L134" s="114" t="str">
        <f t="shared" ca="1" si="10"/>
        <v>F</v>
      </c>
      <c r="M134" s="115" t="s">
        <v>705</v>
      </c>
      <c r="N134" s="116" t="str">
        <f t="shared" ca="1" si="11"/>
        <v>Serviço</v>
      </c>
      <c r="O134" s="117" t="str">
        <f t="shared" ca="1" si="12"/>
        <v>1.8.1.0.1.</v>
      </c>
      <c r="P134" s="118" t="s">
        <v>750</v>
      </c>
      <c r="Q134" s="119" t="s">
        <v>1111</v>
      </c>
      <c r="R134" s="120" t="str" cm="1">
        <f t="array" aca="1" ref="R134" ca="1">IF($C134="S",REFERENCIA.Descricao,"(digite a descrição aqui)")</f>
        <v>ESCAVAÇÃO MANUAL DE VALA. AF_09/2024</v>
      </c>
      <c r="S134" s="121" t="str" cm="1">
        <f t="array" aca="1" ref="S134" ca="1">REFERENCIA.Unidade</f>
        <v>M3</v>
      </c>
      <c r="T134" s="122">
        <f ca="1">OFFSET(CÁLCULO!H$15,ROW($T134)-ROW(T$15),0)</f>
        <v>384</v>
      </c>
      <c r="U134" s="123">
        <f t="shared" ref="U134:U139" ca="1" si="45">AG134</f>
        <v>98.22</v>
      </c>
      <c r="V134" s="124" t="s">
        <v>663</v>
      </c>
      <c r="W134" s="122" cm="1">
        <f t="array" aca="1" ref="W134" ca="1">IF($C134="S",ROUND(IF(TIPOORCAMENTO="Proposto",ORÇAMENTO.CustoUnitario*(1+$AH134),ORÇAMENTO.PrecoUnitarioLicitado),15-13*$AF$10),0)</f>
        <v>120.29</v>
      </c>
      <c r="X134" s="125" cm="1">
        <f t="array" aca="1" ref="X134" ca="1">IF($C134="S",IF(OR(Import.TipoArredondamento&lt;&gt;"TransfereGOV",ACOMPANHAMENTO="BM"),VTOTAL1,SUM(OFFSET(CÁLCULO!$AA$15,ROW($X134)-ROW($X$15),1):OFFSET(CÁLCULO!$AL$15,ROW($X134)-ROW($X$15),-1))),IF($C134=0,0,ROUND(SomaAgrup,15-13*$AF$11)))</f>
        <v>46191.360000000001</v>
      </c>
      <c r="Y134" s="126" t="s">
        <v>751</v>
      </c>
      <c r="Z134" t="str">
        <f t="shared" ca="1" si="13"/>
        <v>RA</v>
      </c>
      <c r="AA134" s="127" cm="1">
        <f t="array" aca="1" ref="AA134" ca="1">IF($C134="S",IF($Z134="CP",$X134,IF($Z134="RA",(($X134)*QCI!$AA$3),0)),SomaAgrup)</f>
        <v>21591.124142396911</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str" cm="1">
        <f t="array" aca="1" ref="AE134" ca="1">IF(AND($C134="S",ORÇAMENTO.CodBarra&lt;&gt;""),IF(ORÇAMENTO.Fonte="",ORÇAMENTO.CodBarra,CONCATENATE(ORÇAMENTO.Fonte," ",ORÇAMENTO.CodBarra)))</f>
        <v>SINAPI 93358</v>
      </c>
      <c r="AF134" s="12"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9387</v>
      </c>
      <c r="AG134" s="428" cm="1">
        <f t="array" aca="1" ref="AG134" ca="1">ROUND(IF(DESONERACAO="sim",REFERENCIA.Desonerado,REFERENCIA.NaoDesonerado),2)</f>
        <v>98.22</v>
      </c>
      <c r="AH134" s="429">
        <f t="shared" ca="1" si="14"/>
        <v>0.22470000000000001</v>
      </c>
      <c r="AJ134" s="431">
        <v>384</v>
      </c>
      <c r="AL134" s="439"/>
      <c r="AM134" s="336">
        <f t="shared" ref="AM134:AM174" ca="1" si="46">$X134</f>
        <v>46191.360000000001</v>
      </c>
      <c r="AN134" s="470" cm="1">
        <f t="array" aca="1" ref="AN134" ca="1">ROUND(ORÇAMENTO.CustoUnitario*(1+$AH134),2)</f>
        <v>120.29</v>
      </c>
    </row>
    <row r="135" spans="1:40" ht="38.25" x14ac:dyDescent="0.2">
      <c r="A135" t="str">
        <f t="shared" si="1"/>
        <v>S</v>
      </c>
      <c r="B135">
        <f t="shared" ca="1" si="2"/>
        <v>3</v>
      </c>
      <c r="C135" t="str">
        <f t="shared" ca="1" si="3"/>
        <v>S</v>
      </c>
      <c r="D135">
        <f t="shared" ca="1" si="4"/>
        <v>0</v>
      </c>
      <c r="E135">
        <f ca="1">IF($C135=1,OFFSET(E135,-1,0)+MAX(1,COUNTIF(QCI!$A$13:$A$24,OFFSET(ORÇAMENTO!E135,-1,0))),OFFSET(E135,-1,0))</f>
        <v>1</v>
      </c>
      <c r="F135">
        <f t="shared" ca="1" si="5"/>
        <v>8</v>
      </c>
      <c r="G135">
        <f t="shared" ca="1" si="6"/>
        <v>1</v>
      </c>
      <c r="H135">
        <f t="shared" ca="1" si="7"/>
        <v>0</v>
      </c>
      <c r="I135">
        <f t="shared" ca="1" si="8"/>
        <v>2</v>
      </c>
      <c r="J135">
        <f t="shared" ca="1" si="38"/>
        <v>0</v>
      </c>
      <c r="K135">
        <f ca="1">IF(OR($C135="S",$C135=0),0,MATCH(OFFSET($D135,0,$C135)+IF($C135&lt;&gt;1,1,COUNTIF(QCI!$A$13:$A$24,ORÇAMENTO!E135)),OFFSET($D135,1,$C135,ROW($C$240)-ROW($C135)),0))</f>
        <v>0</v>
      </c>
      <c r="L135" s="114" t="str">
        <f t="shared" ca="1" si="10"/>
        <v>F</v>
      </c>
      <c r="M135" s="115" t="s">
        <v>705</v>
      </c>
      <c r="N135" s="116" t="str">
        <f t="shared" ca="1" si="11"/>
        <v>Serviço</v>
      </c>
      <c r="O135" s="117" t="str">
        <f t="shared" ca="1" si="12"/>
        <v>1.8.1.0.2.</v>
      </c>
      <c r="P135" s="118" t="s">
        <v>750</v>
      </c>
      <c r="Q135" s="119" t="s">
        <v>1112</v>
      </c>
      <c r="R135" s="120" t="str" cm="1">
        <f t="array" aca="1" ref="R135" ca="1">IF($C135="S",REFERENCIA.Descricao,"(digite a descrição aqui)")</f>
        <v>PREPARO DE FUNDO DE VALA COM LARGURA MENOR QUE 1,5 M (ACERTO DO SOLO NATURAL), EM LOCAL COM NÍVEL BAIXO DE INTERFERÊNCIA. AF_01/2026</v>
      </c>
      <c r="S135" s="121" t="str" cm="1">
        <f t="array" aca="1" ref="S135" ca="1">REFERENCIA.Unidade</f>
        <v>M2</v>
      </c>
      <c r="T135" s="122">
        <f ca="1">OFFSET(CÁLCULO!H$15,ROW($T135)-ROW(T$15),0)</f>
        <v>180</v>
      </c>
      <c r="U135" s="123">
        <f t="shared" ca="1" si="45"/>
        <v>8.3800000000000008</v>
      </c>
      <c r="V135" s="124" t="s">
        <v>663</v>
      </c>
      <c r="W135" s="122" cm="1">
        <f t="array" aca="1" ref="W135" ca="1">IF($C135="S",ROUND(IF(TIPOORCAMENTO="Proposto",ORÇAMENTO.CustoUnitario*(1+$AH135),ORÇAMENTO.PrecoUnitarioLicitado),15-13*$AF$10),0)</f>
        <v>10.26</v>
      </c>
      <c r="X135" s="125" cm="1">
        <f t="array" aca="1" ref="X135" ca="1">IF($C135="S",IF(OR(Import.TipoArredondamento&lt;&gt;"TransfereGOV",ACOMPANHAMENTO="BM"),VTOTAL1,SUM(OFFSET(CÁLCULO!$AA$15,ROW($X135)-ROW($X$15),1):OFFSET(CÁLCULO!$AL$15,ROW($X135)-ROW($X$15),-1))),IF($C135=0,0,ROUND(SomaAgrup,15-13*$AF$11)))</f>
        <v>1846.8</v>
      </c>
      <c r="Y135" s="126" t="s">
        <v>751</v>
      </c>
      <c r="Z135" t="str">
        <f t="shared" ca="1" si="13"/>
        <v>RA</v>
      </c>
      <c r="AA135" s="127" cm="1">
        <f t="array" aca="1" ref="AA135" ca="1">IF($C135="S",IF($Z135="CP",$X135,IF($Z135="RA",(($X135)*QCI!$AA$3),0)),SomaAgrup)</f>
        <v>863.24559541391761</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 101616</v>
      </c>
      <c r="AF135" s="12"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9522</v>
      </c>
      <c r="AG135" s="428" cm="1">
        <f t="array" aca="1" ref="AG135" ca="1">ROUND(IF(DESONERACAO="sim",REFERENCIA.Desonerado,REFERENCIA.NaoDesonerado),2)</f>
        <v>8.3800000000000008</v>
      </c>
      <c r="AH135" s="429">
        <f t="shared" ca="1" si="14"/>
        <v>0.22470000000000001</v>
      </c>
      <c r="AJ135" s="431">
        <v>180</v>
      </c>
      <c r="AL135" s="439"/>
      <c r="AM135" s="336">
        <f t="shared" ca="1" si="46"/>
        <v>1846.8</v>
      </c>
      <c r="AN135" s="470" cm="1">
        <f t="array" aca="1" ref="AN135" ca="1">ROUND(ORÇAMENTO.CustoUnitario*(1+$AH135),2)</f>
        <v>10.26</v>
      </c>
    </row>
    <row r="136" spans="1:40" ht="25.5" x14ac:dyDescent="0.2">
      <c r="A136" t="str">
        <f t="shared" si="1"/>
        <v>S</v>
      </c>
      <c r="B136">
        <f t="shared" ca="1" si="2"/>
        <v>3</v>
      </c>
      <c r="C136" t="str">
        <f t="shared" ca="1" si="3"/>
        <v>S</v>
      </c>
      <c r="D136">
        <f t="shared" ca="1" si="4"/>
        <v>0</v>
      </c>
      <c r="E136">
        <f ca="1">IF($C136=1,OFFSET(E136,-1,0)+MAX(1,COUNTIF(QCI!$A$13:$A$24,OFFSET(ORÇAMENTO!E136,-1,0))),OFFSET(E136,-1,0))</f>
        <v>1</v>
      </c>
      <c r="F136">
        <f t="shared" ca="1" si="5"/>
        <v>8</v>
      </c>
      <c r="G136">
        <f t="shared" ca="1" si="6"/>
        <v>1</v>
      </c>
      <c r="H136">
        <f t="shared" ca="1" si="7"/>
        <v>0</v>
      </c>
      <c r="I136">
        <f t="shared" ca="1" si="8"/>
        <v>3</v>
      </c>
      <c r="J136">
        <f t="shared" ca="1" si="38"/>
        <v>0</v>
      </c>
      <c r="K136">
        <f ca="1">IF(OR($C136="S",$C136=0),0,MATCH(OFFSET($D136,0,$C136)+IF($C136&lt;&gt;1,1,COUNTIF(QCI!$A$13:$A$24,ORÇAMENTO!E136)),OFFSET($D136,1,$C136,ROW($C$240)-ROW($C136)),0))</f>
        <v>0</v>
      </c>
      <c r="L136" s="114" t="str">
        <f t="shared" ca="1" si="10"/>
        <v>F</v>
      </c>
      <c r="M136" s="115" t="s">
        <v>705</v>
      </c>
      <c r="N136" s="116" t="str">
        <f t="shared" ca="1" si="11"/>
        <v>Serviço</v>
      </c>
      <c r="O136" s="117" t="str">
        <f t="shared" ca="1" si="12"/>
        <v>1.8.1.0.3.</v>
      </c>
      <c r="P136" s="118" t="s">
        <v>750</v>
      </c>
      <c r="Q136" s="119" t="s">
        <v>1113</v>
      </c>
      <c r="R136" s="120" t="str" cm="1">
        <f t="array" aca="1" ref="R136" ca="1">IF($C136="S",REFERENCIA.Descricao,"(digite a descrição aqui)")</f>
        <v>REATERRO MANUAL DE VALAS, COM COMPACTADOR DE SOLOS DE PERCUSSÃO. AF_08/2023</v>
      </c>
      <c r="S136" s="121" t="str" cm="1">
        <f t="array" aca="1" ref="S136" ca="1">REFERENCIA.Unidade</f>
        <v>M3</v>
      </c>
      <c r="T136" s="122">
        <f ca="1">OFFSET(CÁLCULO!H$15,ROW($T136)-ROW(T$15),0)</f>
        <v>40</v>
      </c>
      <c r="U136" s="123">
        <f t="shared" ca="1" si="45"/>
        <v>30.9</v>
      </c>
      <c r="V136" s="124" t="s">
        <v>663</v>
      </c>
      <c r="W136" s="122" cm="1">
        <f t="array" aca="1" ref="W136" ca="1">IF($C136="S",ROUND(IF(TIPOORCAMENTO="Proposto",ORÇAMENTO.CustoUnitario*(1+$AH136),ORÇAMENTO.PrecoUnitarioLicitado),15-13*$AF$10),0)</f>
        <v>37.840000000000003</v>
      </c>
      <c r="X136" s="125" cm="1">
        <f t="array" aca="1" ref="X136" ca="1">IF($C136="S",IF(OR(Import.TipoArredondamento&lt;&gt;"TransfereGOV",ACOMPANHAMENTO="BM"),VTOTAL1,SUM(OFFSET(CÁLCULO!$AA$15,ROW($X136)-ROW($X$15),1):OFFSET(CÁLCULO!$AL$15,ROW($X136)-ROW($X$15),-1))),IF($C136=0,0,ROUND(SomaAgrup,15-13*$AF$11)))</f>
        <v>1513.6</v>
      </c>
      <c r="Y136" s="126" t="s">
        <v>751</v>
      </c>
      <c r="Z136" t="str">
        <f t="shared" ca="1" si="13"/>
        <v>RA</v>
      </c>
      <c r="AA136" s="127" cm="1">
        <f t="array" aca="1" ref="AA136" ca="1">IF($C136="S",IF($Z136="CP",$X136,IF($Z136="RA",(($X136)*QCI!$AA$3),0)),SomaAgrup)</f>
        <v>707.49866429418762</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SINAPI 93382</v>
      </c>
      <c r="AF136" s="12"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6766</v>
      </c>
      <c r="AG136" s="428" cm="1">
        <f t="array" aca="1" ref="AG136" ca="1">ROUND(IF(DESONERACAO="sim",REFERENCIA.Desonerado,REFERENCIA.NaoDesonerado),2)</f>
        <v>30.9</v>
      </c>
      <c r="AH136" s="429">
        <f t="shared" ca="1" si="14"/>
        <v>0.22470000000000001</v>
      </c>
      <c r="AJ136" s="431">
        <v>40</v>
      </c>
      <c r="AL136" s="439"/>
      <c r="AM136" s="336">
        <f t="shared" ca="1" si="46"/>
        <v>1513.6</v>
      </c>
      <c r="AN136" s="470" cm="1">
        <f t="array" aca="1" ref="AN136" ca="1">ROUND(ORÇAMENTO.CustoUnitario*(1+$AH136),2)</f>
        <v>37.840000000000003</v>
      </c>
    </row>
    <row r="137" spans="1:40" ht="38.25" x14ac:dyDescent="0.2">
      <c r="A137" t="str">
        <f t="shared" si="1"/>
        <v>S</v>
      </c>
      <c r="B137">
        <f t="shared" ca="1" si="2"/>
        <v>3</v>
      </c>
      <c r="C137" t="str">
        <f t="shared" ca="1" si="3"/>
        <v>S</v>
      </c>
      <c r="D137">
        <f t="shared" ca="1" si="4"/>
        <v>0</v>
      </c>
      <c r="E137">
        <f ca="1">IF($C137=1,OFFSET(E137,-1,0)+MAX(1,COUNTIF(QCI!$A$13:$A$24,OFFSET(ORÇAMENTO!E137,-1,0))),OFFSET(E137,-1,0))</f>
        <v>1</v>
      </c>
      <c r="F137">
        <f t="shared" ca="1" si="5"/>
        <v>8</v>
      </c>
      <c r="G137">
        <f t="shared" ca="1" si="6"/>
        <v>1</v>
      </c>
      <c r="H137">
        <f t="shared" ca="1" si="7"/>
        <v>0</v>
      </c>
      <c r="I137">
        <f t="shared" ca="1" si="8"/>
        <v>4</v>
      </c>
      <c r="J137">
        <f t="shared" ca="1" si="38"/>
        <v>0</v>
      </c>
      <c r="K137">
        <f ca="1">IF(OR($C137="S",$C137=0),0,MATCH(OFFSET($D137,0,$C137)+IF($C137&lt;&gt;1,1,COUNTIF(QCI!$A$13:$A$24,ORÇAMENTO!E137)),OFFSET($D137,1,$C137,ROW($C$240)-ROW($C137)),0))</f>
        <v>0</v>
      </c>
      <c r="L137" s="114" t="str">
        <f t="shared" ca="1" si="10"/>
        <v>F</v>
      </c>
      <c r="M137" s="115" t="s">
        <v>705</v>
      </c>
      <c r="N137" s="116" t="str">
        <f t="shared" ca="1" si="11"/>
        <v>Serviço</v>
      </c>
      <c r="O137" s="117" t="str">
        <f t="shared" ca="1" si="12"/>
        <v>1.8.1.0.4.</v>
      </c>
      <c r="P137" s="118" t="s">
        <v>750</v>
      </c>
      <c r="Q137" s="119" t="s">
        <v>1108</v>
      </c>
      <c r="R137" s="120" t="str" cm="1">
        <f t="array" aca="1" ref="R137" ca="1">IF($C137="S",REFERENCIA.Descricao,"(digite a descrição aqui)")</f>
        <v>TANQUE SÉPTICO CIRCULAR, EM CONCRETO PRÉ-MOLDADO, DIÂMETRO INTERNO = 1,10 M, ALTURA INTERNA = 2,50 M, VOLUME ÚTIL: 2138,2 L (PARA 5 CONTRIBUINTES). AF_12/2020</v>
      </c>
      <c r="S137" s="121" t="str" cm="1">
        <f t="array" aca="1" ref="S137" ca="1">REFERENCIA.Unidade</f>
        <v>UN</v>
      </c>
      <c r="T137" s="122">
        <f ca="1">OFFSET(CÁLCULO!H$15,ROW($T137)-ROW(T$15),0)</f>
        <v>30</v>
      </c>
      <c r="U137" s="123">
        <f t="shared" ca="1" si="45"/>
        <v>2218.66</v>
      </c>
      <c r="V137" s="124" t="s">
        <v>663</v>
      </c>
      <c r="W137" s="122" cm="1">
        <f t="array" aca="1" ref="W137" ca="1">IF($C137="S",ROUND(IF(TIPOORCAMENTO="Proposto",ORÇAMENTO.CustoUnitario*(1+$AH137),ORÇAMENTO.PrecoUnitarioLicitado),15-13*$AF$10),0)</f>
        <v>2717.19</v>
      </c>
      <c r="X137" s="125" cm="1">
        <f t="array" aca="1" ref="X137" ca="1">IF($C137="S",IF(OR(Import.TipoArredondamento&lt;&gt;"TransfereGOV",ACOMPANHAMENTO="BM"),VTOTAL1,SUM(OFFSET(CÁLCULO!$AA$15,ROW($X137)-ROW($X$15),1):OFFSET(CÁLCULO!$AL$15,ROW($X137)-ROW($X$15),-1))),IF($C137=0,0,ROUND(SomaAgrup,15-13*$AF$11)))</f>
        <v>81515.7</v>
      </c>
      <c r="Y137" s="126" t="s">
        <v>751</v>
      </c>
      <c r="Z137" t="str">
        <f t="shared" ca="1" si="13"/>
        <v>RA</v>
      </c>
      <c r="AA137" s="127" cm="1">
        <f t="array" aca="1" ref="AA137" ca="1">IF($C137="S",IF($Z137="CP",$X137,IF($Z137="RA",(($X137)*QCI!$AA$3),0)),SomaAgrup)</f>
        <v>38102.701419797639</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98052</v>
      </c>
      <c r="AF137" s="12"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10108</v>
      </c>
      <c r="AG137" s="428" cm="1">
        <f t="array" aca="1" ref="AG137" ca="1">ROUND(IF(DESONERACAO="sim",REFERENCIA.Desonerado,REFERENCIA.NaoDesonerado),2)</f>
        <v>2218.66</v>
      </c>
      <c r="AH137" s="429">
        <f t="shared" ca="1" si="14"/>
        <v>0.22470000000000001</v>
      </c>
      <c r="AJ137" s="431">
        <v>30</v>
      </c>
      <c r="AL137" s="439"/>
      <c r="AM137" s="336">
        <f t="shared" ca="1" si="46"/>
        <v>81515.7</v>
      </c>
      <c r="AN137" s="470" cm="1">
        <f t="array" aca="1" ref="AN137" ca="1">ROUND(ORÇAMENTO.CustoUnitario*(1+$AH137),2)</f>
        <v>2717.19</v>
      </c>
    </row>
    <row r="138" spans="1:40" ht="38.25" x14ac:dyDescent="0.2">
      <c r="A138" t="str">
        <f t="shared" si="1"/>
        <v>S</v>
      </c>
      <c r="B138">
        <f t="shared" ca="1" si="2"/>
        <v>3</v>
      </c>
      <c r="C138" t="str">
        <f t="shared" ca="1" si="3"/>
        <v>S</v>
      </c>
      <c r="D138">
        <f t="shared" ca="1" si="4"/>
        <v>0</v>
      </c>
      <c r="E138">
        <f ca="1">IF($C138=1,OFFSET(E138,-1,0)+MAX(1,COUNTIF(QCI!$A$13:$A$24,OFFSET(ORÇAMENTO!E138,-1,0))),OFFSET(E138,-1,0))</f>
        <v>1</v>
      </c>
      <c r="F138">
        <f t="shared" ca="1" si="5"/>
        <v>8</v>
      </c>
      <c r="G138">
        <f t="shared" ca="1" si="6"/>
        <v>1</v>
      </c>
      <c r="H138">
        <f t="shared" ca="1" si="7"/>
        <v>0</v>
      </c>
      <c r="I138">
        <f t="shared" ca="1" si="8"/>
        <v>5</v>
      </c>
      <c r="J138">
        <f t="shared" ref="J138:J201" ca="1" si="47">IF(OR($C138="S",$C138=0),0,MATCH(0,OFFSET($D138,1,$C138,ROW($C$240)-ROW($C138)),0))</f>
        <v>0</v>
      </c>
      <c r="K138">
        <f ca="1">IF(OR($C138="S",$C138=0),0,MATCH(OFFSET($D138,0,$C138)+IF($C138&lt;&gt;1,1,COUNTIF(QCI!$A$13:$A$24,ORÇAMENTO!E138)),OFFSET($D138,1,$C138,ROW($C$240)-ROW($C138)),0))</f>
        <v>0</v>
      </c>
      <c r="L138" s="114" t="str">
        <f t="shared" ca="1" si="10"/>
        <v>F</v>
      </c>
      <c r="M138" s="115" t="s">
        <v>705</v>
      </c>
      <c r="N138" s="116" t="str">
        <f t="shared" ca="1" si="11"/>
        <v>Serviço</v>
      </c>
      <c r="O138" s="117" t="str">
        <f t="shared" ca="1" si="12"/>
        <v>1.8.1.0.5.</v>
      </c>
      <c r="P138" s="118" t="s">
        <v>750</v>
      </c>
      <c r="Q138" s="119" t="s">
        <v>1109</v>
      </c>
      <c r="R138" s="120" t="str" cm="1">
        <f t="array" aca="1" ref="R138" ca="1">IF($C138="S",REFERENCIA.Descricao,"(digite a descrição aqui)")</f>
        <v>FILTRO ANAERÓBIO CIRCULAR, EM CONCRETO PRÉ-MOLDADO, DIÂMETRO INTERNO = 1,10 M, ALTURA INTERNA = 1,50 M, VOLUME ÚTIL: 1140,4 L (PARA 5 CONTRIBUINTES). AF_12/2020</v>
      </c>
      <c r="S138" s="121" t="str" cm="1">
        <f t="array" aca="1" ref="S138" ca="1">REFERENCIA.Unidade</f>
        <v>UN</v>
      </c>
      <c r="T138" s="122">
        <f ca="1">OFFSET(CÁLCULO!H$15,ROW($T138)-ROW(T$15),0)</f>
        <v>30</v>
      </c>
      <c r="U138" s="123">
        <f t="shared" ca="1" si="45"/>
        <v>1891.04</v>
      </c>
      <c r="V138" s="124" t="s">
        <v>663</v>
      </c>
      <c r="W138" s="122" cm="1">
        <f t="array" aca="1" ref="W138" ca="1">IF($C138="S",ROUND(IF(TIPOORCAMENTO="Proposto",ORÇAMENTO.CustoUnitario*(1+$AH138),ORÇAMENTO.PrecoUnitarioLicitado),15-13*$AF$10),0)</f>
        <v>2315.96</v>
      </c>
      <c r="X138" s="125" cm="1">
        <f t="array" aca="1" ref="X138" ca="1">IF($C138="S",IF(OR(Import.TipoArredondamento&lt;&gt;"TransfereGOV",ACOMPANHAMENTO="BM"),VTOTAL1,SUM(OFFSET(CÁLCULO!$AA$15,ROW($X138)-ROW($X$15),1):OFFSET(CÁLCULO!$AL$15,ROW($X138)-ROW($X$15),-1))),IF($C138=0,0,ROUND(SomaAgrup,15-13*$AF$11)))</f>
        <v>69478.8</v>
      </c>
      <c r="Y138" s="126" t="s">
        <v>751</v>
      </c>
      <c r="Z138" t="str">
        <f t="shared" ca="1" si="13"/>
        <v>RA</v>
      </c>
      <c r="AA138" s="127" cm="1">
        <f t="array" aca="1" ref="AA138" ca="1">IF($C138="S",IF($Z138="CP",$X138,IF($Z138="RA",(($X138)*QCI!$AA$3),0)),SomaAgrup)</f>
        <v>32476.320161709173</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98058</v>
      </c>
      <c r="AF138" s="12"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10080</v>
      </c>
      <c r="AG138" s="428" cm="1">
        <f t="array" aca="1" ref="AG138" ca="1">ROUND(IF(DESONERACAO="sim",REFERENCIA.Desonerado,REFERENCIA.NaoDesonerado),2)</f>
        <v>1891.04</v>
      </c>
      <c r="AH138" s="429">
        <f t="shared" ca="1" si="14"/>
        <v>0.22470000000000001</v>
      </c>
      <c r="AJ138" s="431">
        <v>30</v>
      </c>
      <c r="AL138" s="439"/>
      <c r="AM138" s="336">
        <f t="shared" ca="1" si="46"/>
        <v>69478.8</v>
      </c>
      <c r="AN138" s="470" cm="1">
        <f t="array" aca="1" ref="AN138" ca="1">ROUND(ORÇAMENTO.CustoUnitario*(1+$AH138),2)</f>
        <v>2315.96</v>
      </c>
    </row>
    <row r="139" spans="1:40" ht="38.25" x14ac:dyDescent="0.2">
      <c r="A139" t="str">
        <f t="shared" si="1"/>
        <v>S</v>
      </c>
      <c r="B139">
        <f t="shared" ca="1" si="2"/>
        <v>3</v>
      </c>
      <c r="C139" t="str">
        <f t="shared" ca="1" si="3"/>
        <v>S</v>
      </c>
      <c r="D139">
        <f t="shared" ca="1" si="4"/>
        <v>0</v>
      </c>
      <c r="E139">
        <f ca="1">IF($C139=1,OFFSET(E139,-1,0)+MAX(1,COUNTIF(QCI!$A$13:$A$24,OFFSET(ORÇAMENTO!E139,-1,0))),OFFSET(E139,-1,0))</f>
        <v>1</v>
      </c>
      <c r="F139">
        <f t="shared" ca="1" si="5"/>
        <v>8</v>
      </c>
      <c r="G139">
        <f t="shared" ca="1" si="6"/>
        <v>1</v>
      </c>
      <c r="H139">
        <f t="shared" ca="1" si="7"/>
        <v>0</v>
      </c>
      <c r="I139">
        <f t="shared" ca="1" si="8"/>
        <v>6</v>
      </c>
      <c r="J139">
        <f t="shared" ca="1" si="47"/>
        <v>0</v>
      </c>
      <c r="K139">
        <f ca="1">IF(OR($C139="S",$C139=0),0,MATCH(OFFSET($D139,0,$C139)+IF($C139&lt;&gt;1,1,COUNTIF(QCI!$A$13:$A$24,ORÇAMENTO!E139)),OFFSET($D139,1,$C139,ROW($C$240)-ROW($C139)),0))</f>
        <v>0</v>
      </c>
      <c r="L139" s="114" t="str">
        <f t="shared" ca="1" si="10"/>
        <v>F</v>
      </c>
      <c r="M139" s="115" t="s">
        <v>705</v>
      </c>
      <c r="N139" s="116" t="str">
        <f t="shared" ca="1" si="11"/>
        <v>Serviço</v>
      </c>
      <c r="O139" s="117" t="str">
        <f t="shared" ca="1" si="12"/>
        <v>1.8.1.0.6.</v>
      </c>
      <c r="P139" s="118" t="s">
        <v>750</v>
      </c>
      <c r="Q139" s="119" t="s">
        <v>1110</v>
      </c>
      <c r="R139" s="120" t="str" cm="1">
        <f t="array" aca="1" ref="R139" ca="1">IF($C139="S",REFERENCIA.Descricao,"(digite a descrição aqui)")</f>
        <v>SUMIDOURO CIRCULAR, EM CONCRETO PRÉ-MOLDADO, DIÂMETRO INTERNO = 1,88 M, ALTURA INTERNA = 2,00 M, ÁREA DE INFILTRAÇÃO: 13,1 M² (PARA 5 CONTRIBUINTES). AF_12/2020</v>
      </c>
      <c r="S139" s="121" t="str" cm="1">
        <f t="array" aca="1" ref="S139" ca="1">REFERENCIA.Unidade</f>
        <v>UN</v>
      </c>
      <c r="T139" s="122">
        <f ca="1">OFFSET(CÁLCULO!H$15,ROW($T139)-ROW(T$15),0)</f>
        <v>30</v>
      </c>
      <c r="U139" s="123">
        <f t="shared" ca="1" si="45"/>
        <v>3286.43</v>
      </c>
      <c r="V139" s="124" t="s">
        <v>663</v>
      </c>
      <c r="W139" s="122" cm="1">
        <f t="array" aca="1" ref="W139" ca="1">IF($C139="S",ROUND(IF(TIPOORCAMENTO="Proposto",ORÇAMENTO.CustoUnitario*(1+$AH139),ORÇAMENTO.PrecoUnitarioLicitado),15-13*$AF$10),0)</f>
        <v>4024.89</v>
      </c>
      <c r="X139" s="125" cm="1">
        <f t="array" aca="1" ref="X139" ca="1">IF($C139="S",IF(OR(Import.TipoArredondamento&lt;&gt;"TransfereGOV",ACOMPANHAMENTO="BM"),VTOTAL1,SUM(OFFSET(CÁLCULO!$AA$15,ROW($X139)-ROW($X$15),1):OFFSET(CÁLCULO!$AL$15,ROW($X139)-ROW($X$15),-1))),IF($C139=0,0,ROUND(SomaAgrup,15-13*$AF$11)))</f>
        <v>120746.7</v>
      </c>
      <c r="Y139" s="126" t="s">
        <v>751</v>
      </c>
      <c r="Z139" t="str">
        <f t="shared" ca="1" si="13"/>
        <v>RA</v>
      </c>
      <c r="AA139" s="127" cm="1">
        <f t="array" aca="1" ref="AA139" ca="1">IF($C139="S",IF($Z139="CP",$X139,IF($Z139="RA",(($X139)*QCI!$AA$3),0)),SomaAgrup)</f>
        <v>56440.360047523114</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SINAPI 98062</v>
      </c>
      <c r="AF139" s="12"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10096</v>
      </c>
      <c r="AG139" s="428" cm="1">
        <f t="array" aca="1" ref="AG139" ca="1">ROUND(IF(DESONERACAO="sim",REFERENCIA.Desonerado,REFERENCIA.NaoDesonerado),2)</f>
        <v>3286.43</v>
      </c>
      <c r="AH139" s="429">
        <f t="shared" ca="1" si="14"/>
        <v>0.22470000000000001</v>
      </c>
      <c r="AJ139" s="431">
        <v>30</v>
      </c>
      <c r="AL139" s="439"/>
      <c r="AM139" s="336">
        <f t="shared" ca="1" si="46"/>
        <v>120746.7</v>
      </c>
      <c r="AN139" s="470" cm="1">
        <f t="array" aca="1" ref="AN139" ca="1">ROUND(ORÇAMENTO.CustoUnitario*(1+$AH139),2)</f>
        <v>4024.89</v>
      </c>
    </row>
    <row r="140" spans="1:40" x14ac:dyDescent="0.2">
      <c r="A140">
        <f t="shared" si="1"/>
        <v>3</v>
      </c>
      <c r="B140">
        <f t="shared" ca="1" si="2"/>
        <v>3</v>
      </c>
      <c r="C140">
        <f t="shared" ca="1" si="3"/>
        <v>3</v>
      </c>
      <c r="D140">
        <f t="shared" ca="1" si="4"/>
        <v>13</v>
      </c>
      <c r="E140">
        <f ca="1">IF($C140=1,OFFSET(E140,-1,0)+MAX(1,COUNTIF(QCI!$A$13:$A$24,OFFSET(ORÇAMENTO!E140,-1,0))),OFFSET(E140,-1,0))</f>
        <v>1</v>
      </c>
      <c r="F140">
        <f t="shared" ca="1" si="5"/>
        <v>8</v>
      </c>
      <c r="G140">
        <f t="shared" ca="1" si="6"/>
        <v>2</v>
      </c>
      <c r="H140">
        <f t="shared" ca="1" si="7"/>
        <v>0</v>
      </c>
      <c r="I140">
        <f t="shared" ca="1" si="8"/>
        <v>0</v>
      </c>
      <c r="J140">
        <f t="shared" ca="1" si="47"/>
        <v>35</v>
      </c>
      <c r="K140">
        <f ca="1">IF(OR($C140="S",$C140=0),0,MATCH(OFFSET($D140,0,$C140)+IF($C140&lt;&gt;1,1,COUNTIF(QCI!$A$13:$A$24,ORÇAMENTO!E140)),OFFSET($D140,1,$C140,ROW($C$240)-ROW($C140)),0))</f>
        <v>13</v>
      </c>
      <c r="L140" s="114" t="str">
        <f t="shared" ca="1" si="10"/>
        <v>F</v>
      </c>
      <c r="M140" s="115" t="s">
        <v>703</v>
      </c>
      <c r="N140" s="116" t="str">
        <f t="shared" ca="1" si="11"/>
        <v>Nível 3</v>
      </c>
      <c r="O140" s="117" t="str">
        <f t="shared" ca="1" si="12"/>
        <v>1.8.2.</v>
      </c>
      <c r="P140" s="118" t="s">
        <v>750</v>
      </c>
      <c r="Q140" s="119"/>
      <c r="R140" s="120" t="s">
        <v>1047</v>
      </c>
      <c r="S140" s="121" t="str" cm="1">
        <f t="array" aca="1" ref="S140" ca="1">REFERENCIA.Unidade</f>
        <v>-</v>
      </c>
      <c r="T140" s="122">
        <f ca="1">OFFSET(CÁLCULO!H$15,ROW($T140)-ROW(T$15),0)</f>
        <v>0</v>
      </c>
      <c r="U140" s="123"/>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IF($C140="S",IF(OR(Import.TipoArredondamento&lt;&gt;"TransfereGOV",ACOMPANHAMENTO="BM"),VTOTAL1,SUM(OFFSET(CÁLCULO!$AA$15,ROW($X140)-ROW($X$15),1):OFFSET(CÁLCULO!$AL$15,ROW($X140)-ROW($X$15),-1))),IF($C140=0,0,ROUND(SomaAgrup,15-13*$AF$11)))</f>
        <v>46112.22</v>
      </c>
      <c r="Y140" s="126" t="s">
        <v>751</v>
      </c>
      <c r="Z140" t="str">
        <f t="shared" ca="1" si="13"/>
        <v/>
      </c>
      <c r="AA140" s="127" cm="1">
        <f t="array" aca="1" ref="AA140" ca="1">IF($C140="S",IF($Z140="CP",$X140,IF($Z140="RA",(($X140)*QCI!$AA$3),0)),SomaAgrup)</f>
        <v>21554.131909117157</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b" cm="1">
        <f t="array" aca="1" ref="AE140" ca="1">IF(AND($C140="S",ORÇAMENTO.CodBarra&lt;&gt;""),IF(ORÇAMENTO.Fonte="",ORÇAMENTO.CodBarra,CONCATENATE(ORÇAMENTO.Fonte," ",ORÇAMENTO.CodBarra)))</f>
        <v>0</v>
      </c>
      <c r="AF140" s="12"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(Sem Código)</v>
      </c>
      <c r="AG140" s="428" cm="1">
        <f t="array" aca="1" ref="AG140" ca="1">ROUND(IF(DESONERACAO="sim",REFERENCIA.Desonerado,REFERENCIA.NaoDesonerado),2)</f>
        <v>0</v>
      </c>
      <c r="AH140" s="429">
        <f t="shared" ca="1" si="14"/>
        <v>0.22470000000000001</v>
      </c>
      <c r="AJ140" s="431"/>
      <c r="AL140" s="439"/>
      <c r="AM140" s="336">
        <f t="shared" ca="1" si="46"/>
        <v>46112.22</v>
      </c>
      <c r="AN140" s="470" cm="1">
        <f t="array" aca="1" ref="AN140" ca="1">ROUND(ORÇAMENTO.CustoUnitario*(1+$AH140),2)</f>
        <v>0</v>
      </c>
    </row>
    <row r="141" spans="1:40" ht="38.25" x14ac:dyDescent="0.2">
      <c r="A141" t="str">
        <f t="shared" si="1"/>
        <v>S</v>
      </c>
      <c r="B141">
        <f t="shared" ca="1" si="2"/>
        <v>3</v>
      </c>
      <c r="C141" t="str">
        <f t="shared" ca="1" si="3"/>
        <v>S</v>
      </c>
      <c r="D141">
        <f t="shared" ca="1" si="4"/>
        <v>0</v>
      </c>
      <c r="E141">
        <f ca="1">IF($C141=1,OFFSET(E141,-1,0)+MAX(1,COUNTIF(QCI!$A$13:$A$24,OFFSET(ORÇAMENTO!E141,-1,0))),OFFSET(E141,-1,0))</f>
        <v>1</v>
      </c>
      <c r="F141">
        <f t="shared" ca="1" si="5"/>
        <v>8</v>
      </c>
      <c r="G141">
        <f t="shared" ca="1" si="6"/>
        <v>2</v>
      </c>
      <c r="H141">
        <f t="shared" ca="1" si="7"/>
        <v>0</v>
      </c>
      <c r="I141">
        <f t="shared" ca="1" si="8"/>
        <v>1</v>
      </c>
      <c r="J141">
        <f t="shared" ca="1" si="47"/>
        <v>0</v>
      </c>
      <c r="K141">
        <f ca="1">IF(OR($C141="S",$C141=0),0,MATCH(OFFSET($D141,0,$C141)+IF($C141&lt;&gt;1,1,COUNTIF(QCI!$A$13:$A$24,ORÇAMENTO!E141)),OFFSET($D141,1,$C141,ROW($C$240)-ROW($C141)),0))</f>
        <v>0</v>
      </c>
      <c r="L141" s="114" t="str">
        <f t="shared" ca="1" si="10"/>
        <v>F</v>
      </c>
      <c r="M141" s="115" t="s">
        <v>705</v>
      </c>
      <c r="N141" s="116" t="str">
        <f t="shared" ca="1" si="11"/>
        <v>Serviço</v>
      </c>
      <c r="O141" s="117" t="str">
        <f t="shared" ca="1" si="12"/>
        <v>1.8.2.0.1.</v>
      </c>
      <c r="P141" s="118" t="s">
        <v>750</v>
      </c>
      <c r="Q141" s="119" t="s">
        <v>1114</v>
      </c>
      <c r="R141" s="120" t="str" cm="1">
        <f t="array" aca="1" ref="R141" ca="1">IF($C141="S",REFERENCIA.Descricao,"(digite a descrição aqui)")</f>
        <v>TUBO PVC, SERIE NORMAL, ESGOTO PREDIAL, DN 40 MM, FORNECIDO E INSTALADO EM RAMAL DE DESCARGA OU RAMAL DE ESGOTO SANITÁRIO. AF_08/2022</v>
      </c>
      <c r="S141" s="121" t="str" cm="1">
        <f t="array" aca="1" ref="S141" ca="1">REFERENCIA.Unidade</f>
        <v>M</v>
      </c>
      <c r="T141" s="122">
        <f ca="1">OFFSET(CÁLCULO!H$15,ROW($T141)-ROW(T$15),0)</f>
        <v>55.2</v>
      </c>
      <c r="U141" s="123">
        <f t="shared" ref="U141:U152" ca="1" si="48">AG141</f>
        <v>24.6</v>
      </c>
      <c r="V141" s="124" t="s">
        <v>663</v>
      </c>
      <c r="W141" s="122" cm="1">
        <f t="array" aca="1" ref="W141" ca="1">IF($C141="S",ROUND(IF(TIPOORCAMENTO="Proposto",ORÇAMENTO.CustoUnitario*(1+$AH141),ORÇAMENTO.PrecoUnitarioLicitado),15-13*$AF$10),0)</f>
        <v>30.13</v>
      </c>
      <c r="X141" s="125" cm="1">
        <f t="array" aca="1" ref="X141" ca="1">IF($C141="S",IF(OR(Import.TipoArredondamento&lt;&gt;"TransfereGOV",ACOMPANHAMENTO="BM"),VTOTAL1,SUM(OFFSET(CÁLCULO!$AA$15,ROW($X141)-ROW($X$15),1):OFFSET(CÁLCULO!$AL$15,ROW($X141)-ROW($X$15),-1))),IF($C141=0,0,ROUND(SomaAgrup,15-13*$AF$11)))</f>
        <v>1663.18</v>
      </c>
      <c r="Y141" s="126" t="s">
        <v>751</v>
      </c>
      <c r="Z141" t="str">
        <f t="shared" ca="1" si="13"/>
        <v>RA</v>
      </c>
      <c r="AA141" s="127" cm="1">
        <f t="array" aca="1" ref="AA141" ca="1">IF($C141="S",IF($Z141="CP",$X141,IF($Z141="RA",(($X141)*QCI!$AA$3),0)),SomaAgrup)</f>
        <v>777.4165093028588</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SINAPI 89711</v>
      </c>
      <c r="AF141" s="12"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11638</v>
      </c>
      <c r="AG141" s="428" cm="1">
        <f t="array" aca="1" ref="AG141" ca="1">ROUND(IF(DESONERACAO="sim",REFERENCIA.Desonerado,REFERENCIA.NaoDesonerado),2)</f>
        <v>24.6</v>
      </c>
      <c r="AH141" s="429">
        <f t="shared" ca="1" si="14"/>
        <v>0.22470000000000001</v>
      </c>
      <c r="AJ141" s="431">
        <v>55.2</v>
      </c>
      <c r="AL141" s="439"/>
      <c r="AM141" s="336">
        <f t="shared" ca="1" si="46"/>
        <v>1663.18</v>
      </c>
      <c r="AN141" s="470" cm="1">
        <f t="array" aca="1" ref="AN141" ca="1">ROUND(ORÇAMENTO.CustoUnitario*(1+$AH141),2)</f>
        <v>30.13</v>
      </c>
    </row>
    <row r="142" spans="1:40" ht="38.25" x14ac:dyDescent="0.2">
      <c r="A142" t="str">
        <f t="shared" si="1"/>
        <v>S</v>
      </c>
      <c r="B142">
        <f t="shared" ca="1" si="2"/>
        <v>3</v>
      </c>
      <c r="C142" t="str">
        <f t="shared" ca="1" si="3"/>
        <v>S</v>
      </c>
      <c r="D142">
        <f t="shared" ca="1" si="4"/>
        <v>0</v>
      </c>
      <c r="E142">
        <f ca="1">IF($C142=1,OFFSET(E142,-1,0)+MAX(1,COUNTIF(QCI!$A$13:$A$24,OFFSET(ORÇAMENTO!E142,-1,0))),OFFSET(E142,-1,0))</f>
        <v>1</v>
      </c>
      <c r="F142">
        <f t="shared" ca="1" si="5"/>
        <v>8</v>
      </c>
      <c r="G142">
        <f t="shared" ca="1" si="6"/>
        <v>2</v>
      </c>
      <c r="H142">
        <f t="shared" ca="1" si="7"/>
        <v>0</v>
      </c>
      <c r="I142">
        <f t="shared" ca="1" si="8"/>
        <v>2</v>
      </c>
      <c r="J142">
        <f t="shared" ca="1" si="47"/>
        <v>0</v>
      </c>
      <c r="K142">
        <f ca="1">IF(OR($C142="S",$C142=0),0,MATCH(OFFSET($D142,0,$C142)+IF($C142&lt;&gt;1,1,COUNTIF(QCI!$A$13:$A$24,ORÇAMENTO!E142)),OFFSET($D142,1,$C142,ROW($C$240)-ROW($C142)),0))</f>
        <v>0</v>
      </c>
      <c r="L142" s="114" t="str">
        <f t="shared" ca="1" si="10"/>
        <v>F</v>
      </c>
      <c r="M142" s="115" t="s">
        <v>705</v>
      </c>
      <c r="N142" s="116" t="str">
        <f t="shared" ca="1" si="11"/>
        <v>Serviço</v>
      </c>
      <c r="O142" s="117" t="str">
        <f t="shared" ca="1" si="12"/>
        <v>1.8.2.0.2.</v>
      </c>
      <c r="P142" s="118" t="s">
        <v>750</v>
      </c>
      <c r="Q142" s="119" t="s">
        <v>1115</v>
      </c>
      <c r="R142" s="120" t="str" cm="1">
        <f t="array" aca="1" ref="R142" ca="1">IF($C142="S",REFERENCIA.Descricao,"(digite a descrição aqui)")</f>
        <v>TUBO PVC, SERIE NORMAL, ESGOTO PREDIAL, DN 50 MM, FORNECIDO E INSTALADO EM RAMAL DE DESCARGA OU RAMAL DE ESGOTO SANITÁRIO. AF_08/2022</v>
      </c>
      <c r="S142" s="121" t="str" cm="1">
        <f t="array" aca="1" ref="S142" ca="1">REFERENCIA.Unidade</f>
        <v>M</v>
      </c>
      <c r="T142" s="122">
        <f ca="1">OFFSET(CÁLCULO!H$15,ROW($T142)-ROW(T$15),0)</f>
        <v>247.2</v>
      </c>
      <c r="U142" s="123">
        <f t="shared" ca="1" si="48"/>
        <v>31.51</v>
      </c>
      <c r="V142" s="124" t="s">
        <v>663</v>
      </c>
      <c r="W142" s="122" cm="1">
        <f t="array" aca="1" ref="W142" ca="1">IF($C142="S",ROUND(IF(TIPOORCAMENTO="Proposto",ORÇAMENTO.CustoUnitario*(1+$AH142),ORÇAMENTO.PrecoUnitarioLicitado),15-13*$AF$10),0)</f>
        <v>38.590000000000003</v>
      </c>
      <c r="X142" s="125" cm="1">
        <f t="array" aca="1" ref="X142" ca="1">IF($C142="S",IF(OR(Import.TipoArredondamento&lt;&gt;"TransfereGOV",ACOMPANHAMENTO="BM"),VTOTAL1,SUM(OFFSET(CÁLCULO!$AA$15,ROW($X142)-ROW($X$15),1):OFFSET(CÁLCULO!$AL$15,ROW($X142)-ROW($X$15),-1))),IF($C142=0,0,ROUND(SomaAgrup,15-13*$AF$11)))</f>
        <v>9539.4500000000007</v>
      </c>
      <c r="Y142" s="126" t="s">
        <v>751</v>
      </c>
      <c r="Z142" t="str">
        <f t="shared" ca="1" si="13"/>
        <v>RA</v>
      </c>
      <c r="AA142" s="127" cm="1">
        <f t="array" aca="1" ref="AA142" ca="1">IF($C142="S",IF($Z142="CP",$X142,IF($Z142="RA",(($X142)*QCI!$AA$3),0)),SomaAgrup)</f>
        <v>4459.0037877254153</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 89712</v>
      </c>
      <c r="AF142" s="12"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11640</v>
      </c>
      <c r="AG142" s="428" cm="1">
        <f t="array" aca="1" ref="AG142" ca="1">ROUND(IF(DESONERACAO="sim",REFERENCIA.Desonerado,REFERENCIA.NaoDesonerado),2)</f>
        <v>31.51</v>
      </c>
      <c r="AH142" s="429">
        <f t="shared" ca="1" si="14"/>
        <v>0.22470000000000001</v>
      </c>
      <c r="AJ142" s="431">
        <v>247.2</v>
      </c>
      <c r="AL142" s="439"/>
      <c r="AM142" s="336">
        <f t="shared" ca="1" si="46"/>
        <v>9539.4500000000007</v>
      </c>
      <c r="AN142" s="470" cm="1">
        <f t="array" aca="1" ref="AN142" ca="1">ROUND(ORÇAMENTO.CustoUnitario*(1+$AH142),2)</f>
        <v>38.590000000000003</v>
      </c>
    </row>
    <row r="143" spans="1:40" ht="38.25" x14ac:dyDescent="0.2">
      <c r="A143" t="str">
        <f t="shared" si="1"/>
        <v>S</v>
      </c>
      <c r="B143">
        <f t="shared" ca="1" si="2"/>
        <v>3</v>
      </c>
      <c r="C143" t="str">
        <f t="shared" ca="1" si="3"/>
        <v>S</v>
      </c>
      <c r="D143">
        <f t="shared" ca="1" si="4"/>
        <v>0</v>
      </c>
      <c r="E143">
        <f ca="1">IF($C143=1,OFFSET(E143,-1,0)+MAX(1,COUNTIF(QCI!$A$13:$A$24,OFFSET(ORÇAMENTO!E143,-1,0))),OFFSET(E143,-1,0))</f>
        <v>1</v>
      </c>
      <c r="F143">
        <f t="shared" ca="1" si="5"/>
        <v>8</v>
      </c>
      <c r="G143">
        <f t="shared" ca="1" si="6"/>
        <v>2</v>
      </c>
      <c r="H143">
        <f t="shared" ca="1" si="7"/>
        <v>0</v>
      </c>
      <c r="I143">
        <f t="shared" ca="1" si="8"/>
        <v>3</v>
      </c>
      <c r="J143">
        <f t="shared" ca="1" si="47"/>
        <v>0</v>
      </c>
      <c r="K143">
        <f ca="1">IF(OR($C143="S",$C143=0),0,MATCH(OFFSET($D143,0,$C143)+IF($C143&lt;&gt;1,1,COUNTIF(QCI!$A$13:$A$24,ORÇAMENTO!E143)),OFFSET($D143,1,$C143,ROW($C$240)-ROW($C143)),0))</f>
        <v>0</v>
      </c>
      <c r="L143" s="114" t="str">
        <f t="shared" ca="1" si="10"/>
        <v>F</v>
      </c>
      <c r="M143" s="115" t="s">
        <v>705</v>
      </c>
      <c r="N143" s="116" t="str">
        <f t="shared" ca="1" si="11"/>
        <v>Serviço</v>
      </c>
      <c r="O143" s="117" t="str">
        <f t="shared" ca="1" si="12"/>
        <v>1.8.2.0.3.</v>
      </c>
      <c r="P143" s="118" t="s">
        <v>750</v>
      </c>
      <c r="Q143" s="119" t="s">
        <v>1116</v>
      </c>
      <c r="R143" s="120" t="str" cm="1">
        <f t="array" aca="1" ref="R143" ca="1">IF($C143="S",REFERENCIA.Descricao,"(digite a descrição aqui)")</f>
        <v>TUBO PVC, SERIE NORMAL, ESGOTO PREDIAL, DN 75 MM, FORNECIDO E INSTALADO EM RAMAL DE DESCARGA OU RAMAL DE ESGOTO SANITÁRIO. AF_08/2022</v>
      </c>
      <c r="S143" s="121" t="str" cm="1">
        <f t="array" aca="1" ref="S143" ca="1">REFERENCIA.Unidade</f>
        <v>M</v>
      </c>
      <c r="T143" s="122">
        <f ca="1">OFFSET(CÁLCULO!H$15,ROW($T143)-ROW(T$15),0)</f>
        <v>10.5</v>
      </c>
      <c r="U143" s="123">
        <f t="shared" ca="1" si="48"/>
        <v>39.340000000000003</v>
      </c>
      <c r="V143" s="124" t="s">
        <v>663</v>
      </c>
      <c r="W143" s="122" cm="1">
        <f t="array" aca="1" ref="W143" ca="1">IF($C143="S",ROUND(IF(TIPOORCAMENTO="Proposto",ORÇAMENTO.CustoUnitario*(1+$AH143),ORÇAMENTO.PrecoUnitarioLicitado),15-13*$AF$10),0)</f>
        <v>48.18</v>
      </c>
      <c r="X143" s="125" cm="1">
        <f t="array" aca="1" ref="X143" ca="1">IF($C143="S",IF(OR(Import.TipoArredondamento&lt;&gt;"TransfereGOV",ACOMPANHAMENTO="BM"),VTOTAL1,SUM(OFFSET(CÁLCULO!$AA$15,ROW($X143)-ROW($X$15),1):OFFSET(CÁLCULO!$AL$15,ROW($X143)-ROW($X$15),-1))),IF($C143=0,0,ROUND(SomaAgrup,15-13*$AF$11)))</f>
        <v>505.89</v>
      </c>
      <c r="Y143" s="126" t="s">
        <v>751</v>
      </c>
      <c r="Z143" t="str">
        <f t="shared" ca="1" si="13"/>
        <v>RA</v>
      </c>
      <c r="AA143" s="127" cm="1">
        <f t="array" aca="1" ref="AA143" ca="1">IF($C143="S",IF($Z143="CP",$X143,IF($Z143="RA",(($X143)*QCI!$AA$3),0)),SomaAgrup)</f>
        <v>236.46703176518668</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str" cm="1">
        <f t="array" aca="1" ref="AE143" ca="1">IF(AND($C143="S",ORÇAMENTO.CodBarra&lt;&gt;""),IF(ORÇAMENTO.Fonte="",ORÇAMENTO.CodBarra,CONCATENATE(ORÇAMENTO.Fonte," ",ORÇAMENTO.CodBarra)))</f>
        <v>SINAPI 89713</v>
      </c>
      <c r="AF143" s="12"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11642</v>
      </c>
      <c r="AG143" s="428" cm="1">
        <f t="array" aca="1" ref="AG143" ca="1">ROUND(IF(DESONERACAO="sim",REFERENCIA.Desonerado,REFERENCIA.NaoDesonerado),2)</f>
        <v>39.340000000000003</v>
      </c>
      <c r="AH143" s="429">
        <f t="shared" ca="1" si="14"/>
        <v>0.22470000000000001</v>
      </c>
      <c r="AJ143" s="431">
        <v>10.5</v>
      </c>
      <c r="AL143" s="439"/>
      <c r="AM143" s="336">
        <f t="shared" ca="1" si="46"/>
        <v>505.89</v>
      </c>
      <c r="AN143" s="470" cm="1">
        <f t="array" aca="1" ref="AN143" ca="1">ROUND(ORÇAMENTO.CustoUnitario*(1+$AH143),2)</f>
        <v>48.18</v>
      </c>
    </row>
    <row r="144" spans="1:40" ht="38.25" x14ac:dyDescent="0.2">
      <c r="A144" t="str">
        <f t="shared" si="1"/>
        <v>S</v>
      </c>
      <c r="B144">
        <f t="shared" ca="1" si="2"/>
        <v>3</v>
      </c>
      <c r="C144" t="str">
        <f t="shared" ca="1" si="3"/>
        <v>S</v>
      </c>
      <c r="D144">
        <f t="shared" ca="1" si="4"/>
        <v>0</v>
      </c>
      <c r="E144">
        <f ca="1">IF($C144=1,OFFSET(E144,-1,0)+MAX(1,COUNTIF(QCI!$A$13:$A$24,OFFSET(ORÇAMENTO!E144,-1,0))),OFFSET(E144,-1,0))</f>
        <v>1</v>
      </c>
      <c r="F144">
        <f t="shared" ca="1" si="5"/>
        <v>8</v>
      </c>
      <c r="G144">
        <f t="shared" ca="1" si="6"/>
        <v>2</v>
      </c>
      <c r="H144">
        <f t="shared" ca="1" si="7"/>
        <v>0</v>
      </c>
      <c r="I144">
        <f t="shared" ca="1" si="8"/>
        <v>4</v>
      </c>
      <c r="J144">
        <f t="shared" ca="1" si="47"/>
        <v>0</v>
      </c>
      <c r="K144">
        <f ca="1">IF(OR($C144="S",$C144=0),0,MATCH(OFFSET($D144,0,$C144)+IF($C144&lt;&gt;1,1,COUNTIF(QCI!$A$13:$A$24,ORÇAMENTO!E144)),OFFSET($D144,1,$C144,ROW($C$240)-ROW($C144)),0))</f>
        <v>0</v>
      </c>
      <c r="L144" s="114" t="str">
        <f t="shared" ca="1" si="10"/>
        <v>F</v>
      </c>
      <c r="M144" s="115" t="s">
        <v>705</v>
      </c>
      <c r="N144" s="116" t="str">
        <f t="shared" ca="1" si="11"/>
        <v>Serviço</v>
      </c>
      <c r="O144" s="117" t="str">
        <f t="shared" ca="1" si="12"/>
        <v>1.8.2.0.4.</v>
      </c>
      <c r="P144" s="118" t="s">
        <v>750</v>
      </c>
      <c r="Q144" s="119" t="s">
        <v>1117</v>
      </c>
      <c r="R144" s="120" t="str" cm="1">
        <f t="array" aca="1" ref="R144" ca="1">IF($C144="S",REFERENCIA.Descricao,"(digite a descrição aqui)")</f>
        <v>TUBO PVC, SERIE NORMAL, ESGOTO PREDIAL, DN 100 MM, FORNECIDO E INSTALADO EM RAMAL DE DESCARGA OU RAMAL DE ESGOTO SANITÁRIO. AF_08/2022</v>
      </c>
      <c r="S144" s="121" t="str" cm="1">
        <f t="array" aca="1" ref="S144" ca="1">REFERENCIA.Unidade</f>
        <v>M</v>
      </c>
      <c r="T144" s="122">
        <f ca="1">OFFSET(CÁLCULO!H$15,ROW($T144)-ROW(T$15),0)</f>
        <v>444</v>
      </c>
      <c r="U144" s="123">
        <f t="shared" ca="1" si="48"/>
        <v>43.85</v>
      </c>
      <c r="V144" s="124" t="s">
        <v>663</v>
      </c>
      <c r="W144" s="122" cm="1">
        <f t="array" aca="1" ref="W144" ca="1">IF($C144="S",ROUND(IF(TIPOORCAMENTO="Proposto",ORÇAMENTO.CustoUnitario*(1+$AH144),ORÇAMENTO.PrecoUnitarioLicitado),15-13*$AF$10),0)</f>
        <v>53.7</v>
      </c>
      <c r="X144" s="125" cm="1">
        <f t="array" aca="1" ref="X144" ca="1">IF($C144="S",IF(OR(Import.TipoArredondamento&lt;&gt;"TransfereGOV",ACOMPANHAMENTO="BM"),VTOTAL1,SUM(OFFSET(CÁLCULO!$AA$15,ROW($X144)-ROW($X$15),1):OFFSET(CÁLCULO!$AL$15,ROW($X144)-ROW($X$15),-1))),IF($C144=0,0,ROUND(SomaAgrup,15-13*$AF$11)))</f>
        <v>23842.799999999999</v>
      </c>
      <c r="Y144" s="126" t="s">
        <v>751</v>
      </c>
      <c r="Z144" t="str">
        <f t="shared" ca="1" si="13"/>
        <v>RA</v>
      </c>
      <c r="AA144" s="127" cm="1">
        <f t="array" aca="1" ref="AA144" ca="1">IF($C144="S",IF($Z144="CP",$X144,IF($Z144="RA",(($X144)*QCI!$AA$3),0)),SomaAgrup)</f>
        <v>11144.786702585528</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SINAPI 89714</v>
      </c>
      <c r="AF144" s="12"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11635</v>
      </c>
      <c r="AG144" s="428" cm="1">
        <f t="array" aca="1" ref="AG144" ca="1">ROUND(IF(DESONERACAO="sim",REFERENCIA.Desonerado,REFERENCIA.NaoDesonerado),2)</f>
        <v>43.85</v>
      </c>
      <c r="AH144" s="429">
        <f t="shared" ca="1" si="14"/>
        <v>0.22470000000000001</v>
      </c>
      <c r="AJ144" s="431">
        <v>444</v>
      </c>
      <c r="AL144" s="439"/>
      <c r="AM144" s="336">
        <f t="shared" ca="1" si="46"/>
        <v>23842.799999999999</v>
      </c>
      <c r="AN144" s="470" cm="1">
        <f t="array" aca="1" ref="AN144" ca="1">ROUND(ORÇAMENTO.CustoUnitario*(1+$AH144),2)</f>
        <v>53.7</v>
      </c>
    </row>
    <row r="145" spans="1:40" ht="38.25" x14ac:dyDescent="0.2">
      <c r="A145" t="str">
        <f t="shared" si="1"/>
        <v>S</v>
      </c>
      <c r="B145">
        <f t="shared" ca="1" si="2"/>
        <v>3</v>
      </c>
      <c r="C145" t="str">
        <f t="shared" ca="1" si="3"/>
        <v>S</v>
      </c>
      <c r="D145">
        <f t="shared" ca="1" si="4"/>
        <v>0</v>
      </c>
      <c r="E145">
        <f ca="1">IF($C145=1,OFFSET(E145,-1,0)+MAX(1,COUNTIF(QCI!$A$13:$A$24,OFFSET(ORÇAMENTO!E145,-1,0))),OFFSET(E145,-1,0))</f>
        <v>1</v>
      </c>
      <c r="F145">
        <f t="shared" ca="1" si="5"/>
        <v>8</v>
      </c>
      <c r="G145">
        <f t="shared" ca="1" si="6"/>
        <v>2</v>
      </c>
      <c r="H145">
        <f t="shared" ca="1" si="7"/>
        <v>0</v>
      </c>
      <c r="I145">
        <f t="shared" ca="1" si="8"/>
        <v>5</v>
      </c>
      <c r="J145">
        <f t="shared" ca="1" si="47"/>
        <v>0</v>
      </c>
      <c r="K145">
        <f ca="1">IF(OR($C145="S",$C145=0),0,MATCH(OFFSET($D145,0,$C145)+IF($C145&lt;&gt;1,1,COUNTIF(QCI!$A$13:$A$24,ORÇAMENTO!E145)),OFFSET($D145,1,$C145,ROW($C$240)-ROW($C145)),0))</f>
        <v>0</v>
      </c>
      <c r="L145" s="114" t="str">
        <f t="shared" ca="1" si="10"/>
        <v>F</v>
      </c>
      <c r="M145" s="115" t="s">
        <v>705</v>
      </c>
      <c r="N145" s="116" t="str">
        <f t="shared" ca="1" si="11"/>
        <v>Serviço</v>
      </c>
      <c r="O145" s="117" t="str">
        <f t="shared" ca="1" si="12"/>
        <v>1.8.2.0.5.</v>
      </c>
      <c r="P145" s="118" t="s">
        <v>750</v>
      </c>
      <c r="Q145" s="119" t="s">
        <v>1118</v>
      </c>
      <c r="R145" s="120" t="str" cm="1">
        <f t="array" aca="1" ref="R145" ca="1">IF($C145="S",REFERENCIA.Descricao,"(digite a descrição aqui)")</f>
        <v>JOELHO 90 GRAUS, PVC, SERIE NORMAL, ESGOTO PREDIAL, DN 100 MM, JUNTA ELÁSTICA, FORNECIDO E INSTALADO EM RAMAL DE DESCARGA OU RAMAL DE ESGOTO SANITÁRIO. AF_08/2022</v>
      </c>
      <c r="S145" s="121" t="str" cm="1">
        <f t="array" aca="1" ref="S145" ca="1">REFERENCIA.Unidade</f>
        <v>UN</v>
      </c>
      <c r="T145" s="122">
        <f ca="1">OFFSET(CÁLCULO!H$15,ROW($T145)-ROW(T$15),0)</f>
        <v>30</v>
      </c>
      <c r="U145" s="123">
        <f t="shared" ca="1" si="48"/>
        <v>30.66</v>
      </c>
      <c r="V145" s="124" t="s">
        <v>663</v>
      </c>
      <c r="W145" s="122" cm="1">
        <f t="array" aca="1" ref="W145" ca="1">IF($C145="S",ROUND(IF(TIPOORCAMENTO="Proposto",ORÇAMENTO.CustoUnitario*(1+$AH145),ORÇAMENTO.PrecoUnitarioLicitado),15-13*$AF$10),0)</f>
        <v>37.549999999999997</v>
      </c>
      <c r="X145" s="125" cm="1">
        <f t="array" aca="1" ref="X145" ca="1">IF($C145="S",IF(OR(Import.TipoArredondamento&lt;&gt;"TransfereGOV",ACOMPANHAMENTO="BM"),VTOTAL1,SUM(OFFSET(CÁLCULO!$AA$15,ROW($X145)-ROW($X$15),1):OFFSET(CÁLCULO!$AL$15,ROW($X145)-ROW($X$15),-1))),IF($C145=0,0,ROUND(SomaAgrup,15-13*$AF$11)))</f>
        <v>1126.5</v>
      </c>
      <c r="Y145" s="126" t="s">
        <v>751</v>
      </c>
      <c r="Z145" t="str">
        <f t="shared" ca="1" si="13"/>
        <v>RA</v>
      </c>
      <c r="AA145" s="127" cm="1">
        <f t="array" aca="1" ref="AA145" ca="1">IF($C145="S",IF($Z145="CP",$X145,IF($Z145="RA",(($X145)*QCI!$AA$3),0)),SomaAgrup)</f>
        <v>526.55737666979542</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SINAPI 89744</v>
      </c>
      <c r="AF145" s="12"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11581</v>
      </c>
      <c r="AG145" s="428" cm="1">
        <f t="array" aca="1" ref="AG145" ca="1">ROUND(IF(DESONERACAO="sim",REFERENCIA.Desonerado,REFERENCIA.NaoDesonerado),2)</f>
        <v>30.66</v>
      </c>
      <c r="AH145" s="429">
        <f t="shared" ca="1" si="14"/>
        <v>0.22470000000000001</v>
      </c>
      <c r="AJ145" s="431">
        <v>30</v>
      </c>
      <c r="AL145" s="439"/>
      <c r="AM145" s="336">
        <f t="shared" ca="1" si="46"/>
        <v>1126.5</v>
      </c>
      <c r="AN145" s="470" cm="1">
        <f t="array" aca="1" ref="AN145" ca="1">ROUND(ORÇAMENTO.CustoUnitario*(1+$AH145),2)</f>
        <v>37.549999999999997</v>
      </c>
    </row>
    <row r="146" spans="1:40" ht="38.25" x14ac:dyDescent="0.2">
      <c r="A146" t="str">
        <f t="shared" si="1"/>
        <v>S</v>
      </c>
      <c r="B146">
        <f t="shared" ca="1" si="2"/>
        <v>3</v>
      </c>
      <c r="C146" t="str">
        <f t="shared" ca="1" si="3"/>
        <v>S</v>
      </c>
      <c r="D146">
        <f t="shared" ca="1" si="4"/>
        <v>0</v>
      </c>
      <c r="E146">
        <f ca="1">IF($C146=1,OFFSET(E146,-1,0)+MAX(1,COUNTIF(QCI!$A$13:$A$24,OFFSET(ORÇAMENTO!E146,-1,0))),OFFSET(E146,-1,0))</f>
        <v>1</v>
      </c>
      <c r="F146">
        <f t="shared" ca="1" si="5"/>
        <v>8</v>
      </c>
      <c r="G146">
        <f t="shared" ca="1" si="6"/>
        <v>2</v>
      </c>
      <c r="H146">
        <f t="shared" ca="1" si="7"/>
        <v>0</v>
      </c>
      <c r="I146">
        <f t="shared" ca="1" si="8"/>
        <v>6</v>
      </c>
      <c r="J146">
        <f t="shared" ca="1" si="47"/>
        <v>0</v>
      </c>
      <c r="K146">
        <f ca="1">IF(OR($C146="S",$C146=0),0,MATCH(OFFSET($D146,0,$C146)+IF($C146&lt;&gt;1,1,COUNTIF(QCI!$A$13:$A$24,ORÇAMENTO!E146)),OFFSET($D146,1,$C146,ROW($C$240)-ROW($C146)),0))</f>
        <v>0</v>
      </c>
      <c r="L146" s="114" t="str">
        <f t="shared" ca="1" si="10"/>
        <v>F</v>
      </c>
      <c r="M146" s="115" t="s">
        <v>705</v>
      </c>
      <c r="N146" s="116" t="str">
        <f t="shared" ca="1" si="11"/>
        <v>Serviço</v>
      </c>
      <c r="O146" s="117" t="str">
        <f t="shared" ca="1" si="12"/>
        <v>1.8.2.0.6.</v>
      </c>
      <c r="P146" s="118" t="s">
        <v>750</v>
      </c>
      <c r="Q146" s="119" t="s">
        <v>1119</v>
      </c>
      <c r="R146" s="120" t="str" cm="1">
        <f t="array" aca="1" ref="R146" ca="1">IF($C146="S",REFERENCIA.Descricao,"(digite a descrição aqui)")</f>
        <v>JOELHO 90 GRAUS, PVC, SERIE NORMAL, ESGOTO PREDIAL, DN 40 MM, JUNTA SOLDÁVEL, FORNECIDO E INSTALADO EM RAMAL DE DESCARGA OU RAMAL DE ESGOTO SANITÁRIO. AF_08/2022</v>
      </c>
      <c r="S146" s="121" t="str" cm="1">
        <f t="array" aca="1" ref="S146" ca="1">REFERENCIA.Unidade</f>
        <v>UN</v>
      </c>
      <c r="T146" s="122">
        <f ca="1">OFFSET(CÁLCULO!H$15,ROW($T146)-ROW(T$15),0)</f>
        <v>60</v>
      </c>
      <c r="U146" s="123">
        <f t="shared" ca="1" si="48"/>
        <v>11.88</v>
      </c>
      <c r="V146" s="124" t="s">
        <v>663</v>
      </c>
      <c r="W146" s="122" cm="1">
        <f t="array" aca="1" ref="W146" ca="1">IF($C146="S",ROUND(IF(TIPOORCAMENTO="Proposto",ORÇAMENTO.CustoUnitario*(1+$AH146),ORÇAMENTO.PrecoUnitarioLicitado),15-13*$AF$10),0)</f>
        <v>14.55</v>
      </c>
      <c r="X146" s="125" cm="1">
        <f t="array" aca="1" ref="X146" ca="1">IF($C146="S",IF(OR(Import.TipoArredondamento&lt;&gt;"TransfereGOV",ACOMPANHAMENTO="BM"),VTOTAL1,SUM(OFFSET(CÁLCULO!$AA$15,ROW($X146)-ROW($X$15),1):OFFSET(CÁLCULO!$AL$15,ROW($X146)-ROW($X$15),-1))),IF($C146=0,0,ROUND(SomaAgrup,15-13*$AF$11)))</f>
        <v>873</v>
      </c>
      <c r="Y146" s="126" t="s">
        <v>751</v>
      </c>
      <c r="Z146" t="str">
        <f t="shared" ca="1" si="13"/>
        <v>RA</v>
      </c>
      <c r="AA146" s="127" cm="1">
        <f t="array" aca="1" ref="AA146" ca="1">IF($C146="S",IF($Z146="CP",$X146,IF($Z146="RA",(($X146)*QCI!$AA$3),0)),SomaAgrup)</f>
        <v>408.06443837792403</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89724</v>
      </c>
      <c r="AF146" s="12"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11584</v>
      </c>
      <c r="AG146" s="428" cm="1">
        <f t="array" aca="1" ref="AG146" ca="1">ROUND(IF(DESONERACAO="sim",REFERENCIA.Desonerado,REFERENCIA.NaoDesonerado),2)</f>
        <v>11.88</v>
      </c>
      <c r="AH146" s="429">
        <f t="shared" ca="1" si="14"/>
        <v>0.22470000000000001</v>
      </c>
      <c r="AJ146" s="431">
        <v>60</v>
      </c>
      <c r="AL146" s="439"/>
      <c r="AM146" s="336">
        <f t="shared" ca="1" si="46"/>
        <v>873</v>
      </c>
      <c r="AN146" s="470" cm="1">
        <f t="array" aca="1" ref="AN146" ca="1">ROUND(ORÇAMENTO.CustoUnitario*(1+$AH146),2)</f>
        <v>14.55</v>
      </c>
    </row>
    <row r="147" spans="1:40" ht="38.25" x14ac:dyDescent="0.2">
      <c r="A147" t="str">
        <f t="shared" si="1"/>
        <v>S</v>
      </c>
      <c r="B147">
        <f t="shared" ca="1" si="2"/>
        <v>3</v>
      </c>
      <c r="C147" t="str">
        <f t="shared" ca="1" si="3"/>
        <v>S</v>
      </c>
      <c r="D147">
        <f t="shared" ca="1" si="4"/>
        <v>0</v>
      </c>
      <c r="E147">
        <f ca="1">IF($C147=1,OFFSET(E147,-1,0)+MAX(1,COUNTIF(QCI!$A$13:$A$24,OFFSET(ORÇAMENTO!E147,-1,0))),OFFSET(E147,-1,0))</f>
        <v>1</v>
      </c>
      <c r="F147">
        <f t="shared" ca="1" si="5"/>
        <v>8</v>
      </c>
      <c r="G147">
        <f t="shared" ca="1" si="6"/>
        <v>2</v>
      </c>
      <c r="H147">
        <f t="shared" ca="1" si="7"/>
        <v>0</v>
      </c>
      <c r="I147">
        <f t="shared" ca="1" si="8"/>
        <v>7</v>
      </c>
      <c r="J147">
        <f t="shared" ca="1" si="47"/>
        <v>0</v>
      </c>
      <c r="K147">
        <f ca="1">IF(OR($C147="S",$C147=0),0,MATCH(OFFSET($D147,0,$C147)+IF($C147&lt;&gt;1,1,COUNTIF(QCI!$A$13:$A$24,ORÇAMENTO!E147)),OFFSET($D147,1,$C147,ROW($C$240)-ROW($C147)),0))</f>
        <v>0</v>
      </c>
      <c r="L147" s="114" t="str">
        <f t="shared" ca="1" si="10"/>
        <v>F</v>
      </c>
      <c r="M147" s="115" t="s">
        <v>705</v>
      </c>
      <c r="N147" s="116" t="str">
        <f t="shared" ca="1" si="11"/>
        <v>Serviço</v>
      </c>
      <c r="O147" s="117" t="str">
        <f t="shared" ca="1" si="12"/>
        <v>1.8.2.0.7.</v>
      </c>
      <c r="P147" s="118" t="s">
        <v>750</v>
      </c>
      <c r="Q147" s="119" t="s">
        <v>1120</v>
      </c>
      <c r="R147" s="120" t="str" cm="1">
        <f t="array" aca="1" ref="R147" ca="1">IF($C147="S",REFERENCIA.Descricao,"(digite a descrição aqui)")</f>
        <v>JOELHO 45 GRAUS, PVC, SERIE NORMAL, ESGOTO PREDIAL, DN 40 MM, JUNTA SOLDÁVEL, FORNECIDO E INSTALADO EM RAMAL DE DESCARGA OU RAMAL DE ESGOTO SANITÁRIO. AF_08/2022</v>
      </c>
      <c r="S147" s="121" t="str" cm="1">
        <f t="array" aca="1" ref="S147" ca="1">REFERENCIA.Unidade</f>
        <v>UN</v>
      </c>
      <c r="T147" s="122">
        <f ca="1">OFFSET(CÁLCULO!H$15,ROW($T147)-ROW(T$15),0)</f>
        <v>30</v>
      </c>
      <c r="U147" s="123">
        <f t="shared" ca="1" si="48"/>
        <v>12.16</v>
      </c>
      <c r="V147" s="124" t="s">
        <v>663</v>
      </c>
      <c r="W147" s="122" cm="1">
        <f t="array" aca="1" ref="W147" ca="1">IF($C147="S",ROUND(IF(TIPOORCAMENTO="Proposto",ORÇAMENTO.CustoUnitario*(1+$AH147),ORÇAMENTO.PrecoUnitarioLicitado),15-13*$AF$10),0)</f>
        <v>14.89</v>
      </c>
      <c r="X147" s="125" cm="1">
        <f t="array" aca="1" ref="X147" ca="1">IF($C147="S",IF(OR(Import.TipoArredondamento&lt;&gt;"TransfereGOV",ACOMPANHAMENTO="BM"),VTOTAL1,SUM(OFFSET(CÁLCULO!$AA$15,ROW($X147)-ROW($X$15),1):OFFSET(CÁLCULO!$AL$15,ROW($X147)-ROW($X$15),-1))),IF($C147=0,0,ROUND(SomaAgrup,15-13*$AF$11)))</f>
        <v>446.7</v>
      </c>
      <c r="Y147" s="126" t="s">
        <v>751</v>
      </c>
      <c r="Z147" t="str">
        <f t="shared" ca="1" si="13"/>
        <v>RA</v>
      </c>
      <c r="AA147" s="127" cm="1">
        <f t="array" aca="1" ref="AA147" ca="1">IF($C147="S",IF($Z147="CP",$X147,IF($Z147="RA",(($X147)*QCI!$AA$3),0)),SomaAgrup)</f>
        <v>208.79998238650475</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89726</v>
      </c>
      <c r="AF147" s="12"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11575</v>
      </c>
      <c r="AG147" s="428" cm="1">
        <f t="array" aca="1" ref="AG147" ca="1">ROUND(IF(DESONERACAO="sim",REFERENCIA.Desonerado,REFERENCIA.NaoDesonerado),2)</f>
        <v>12.16</v>
      </c>
      <c r="AH147" s="429">
        <f t="shared" ca="1" si="14"/>
        <v>0.22470000000000001</v>
      </c>
      <c r="AJ147" s="431">
        <v>30</v>
      </c>
      <c r="AL147" s="439"/>
      <c r="AM147" s="336">
        <f t="shared" ca="1" si="46"/>
        <v>446.7</v>
      </c>
      <c r="AN147" s="470" cm="1">
        <f t="array" aca="1" ref="AN147" ca="1">ROUND(ORÇAMENTO.CustoUnitario*(1+$AH147),2)</f>
        <v>14.89</v>
      </c>
    </row>
    <row r="148" spans="1:40" ht="38.25" x14ac:dyDescent="0.2">
      <c r="A148" t="str">
        <f t="shared" si="1"/>
        <v>S</v>
      </c>
      <c r="B148">
        <f t="shared" ca="1" si="2"/>
        <v>3</v>
      </c>
      <c r="C148" t="str">
        <f t="shared" ca="1" si="3"/>
        <v>S</v>
      </c>
      <c r="D148">
        <f t="shared" ca="1" si="4"/>
        <v>0</v>
      </c>
      <c r="E148">
        <f ca="1">IF($C148=1,OFFSET(E148,-1,0)+MAX(1,COUNTIF(QCI!$A$13:$A$24,OFFSET(ORÇAMENTO!E148,-1,0))),OFFSET(E148,-1,0))</f>
        <v>1</v>
      </c>
      <c r="F148">
        <f t="shared" ca="1" si="5"/>
        <v>8</v>
      </c>
      <c r="G148">
        <f t="shared" ca="1" si="6"/>
        <v>2</v>
      </c>
      <c r="H148">
        <f t="shared" ca="1" si="7"/>
        <v>0</v>
      </c>
      <c r="I148">
        <f t="shared" ca="1" si="8"/>
        <v>8</v>
      </c>
      <c r="J148">
        <f t="shared" ca="1" si="47"/>
        <v>0</v>
      </c>
      <c r="K148">
        <f ca="1">IF(OR($C148="S",$C148=0),0,MATCH(OFFSET($D148,0,$C148)+IF($C148&lt;&gt;1,1,COUNTIF(QCI!$A$13:$A$24,ORÇAMENTO!E148)),OFFSET($D148,1,$C148,ROW($C$240)-ROW($C148)),0))</f>
        <v>0</v>
      </c>
      <c r="L148" s="114" t="str">
        <f t="shared" ca="1" si="10"/>
        <v>F</v>
      </c>
      <c r="M148" s="115" t="s">
        <v>705</v>
      </c>
      <c r="N148" s="116" t="str">
        <f t="shared" ca="1" si="11"/>
        <v>Serviço</v>
      </c>
      <c r="O148" s="117" t="str">
        <f t="shared" ca="1" si="12"/>
        <v>1.8.2.0.8.</v>
      </c>
      <c r="P148" s="118" t="s">
        <v>750</v>
      </c>
      <c r="Q148" s="119" t="s">
        <v>1121</v>
      </c>
      <c r="R148" s="120" t="str" cm="1">
        <f t="array" aca="1" ref="R148" ca="1">IF($C148="S",REFERENCIA.Descricao,"(digite a descrição aqui)")</f>
        <v>JOELHO 90 GRAUS, PVC, SERIE NORMAL, ESGOTO PREDIAL, DN 50 MM, JUNTA ELÁSTICA, FORNECIDO E INSTALADO EM RAMAL DE DESCARGA OU RAMAL DE ESGOTO SANITÁRIO. AF_08/2022</v>
      </c>
      <c r="S148" s="121" t="str" cm="1">
        <f t="array" aca="1" ref="S148" ca="1">REFERENCIA.Unidade</f>
        <v>UN</v>
      </c>
      <c r="T148" s="122">
        <f ca="1">OFFSET(CÁLCULO!H$15,ROW($T148)-ROW(T$15),0)</f>
        <v>180</v>
      </c>
      <c r="U148" s="123">
        <f t="shared" ca="1" si="48"/>
        <v>16.38</v>
      </c>
      <c r="V148" s="124" t="s">
        <v>663</v>
      </c>
      <c r="W148" s="122" cm="1">
        <f t="array" aca="1" ref="W148" ca="1">IF($C148="S",ROUND(IF(TIPOORCAMENTO="Proposto",ORÇAMENTO.CustoUnitario*(1+$AH148),ORÇAMENTO.PrecoUnitarioLicitado),15-13*$AF$10),0)</f>
        <v>20.059999999999999</v>
      </c>
      <c r="X148" s="125" cm="1">
        <f t="array" aca="1" ref="X148" ca="1">IF($C148="S",IF(OR(Import.TipoArredondamento&lt;&gt;"TransfereGOV",ACOMPANHAMENTO="BM"),VTOTAL1,SUM(OFFSET(CÁLCULO!$AA$15,ROW($X148)-ROW($X$15),1):OFFSET(CÁLCULO!$AL$15,ROW($X148)-ROW($X$15),-1))),IF($C148=0,0,ROUND(SomaAgrup,15-13*$AF$11)))</f>
        <v>3610.8</v>
      </c>
      <c r="Y148" s="126" t="s">
        <v>751</v>
      </c>
      <c r="Z148" t="str">
        <f t="shared" ca="1" si="13"/>
        <v>RA</v>
      </c>
      <c r="AA148" s="127" cm="1">
        <f t="array" aca="1" ref="AA148" ca="1">IF($C148="S",IF($Z148="CP",$X148,IF($Z148="RA",(($X148)*QCI!$AA$3),0)),SomaAgrup)</f>
        <v>1687.7881719301354</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 89731</v>
      </c>
      <c r="AF148" s="12"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11586</v>
      </c>
      <c r="AG148" s="428" cm="1">
        <f t="array" aca="1" ref="AG148" ca="1">ROUND(IF(DESONERACAO="sim",REFERENCIA.Desonerado,REFERENCIA.NaoDesonerado),2)</f>
        <v>16.38</v>
      </c>
      <c r="AH148" s="429">
        <f t="shared" ca="1" si="14"/>
        <v>0.22470000000000001</v>
      </c>
      <c r="AJ148" s="431">
        <v>180</v>
      </c>
      <c r="AL148" s="439"/>
      <c r="AM148" s="336">
        <f t="shared" ca="1" si="46"/>
        <v>3610.8</v>
      </c>
      <c r="AN148" s="470" cm="1">
        <f t="array" aca="1" ref="AN148" ca="1">ROUND(ORÇAMENTO.CustoUnitario*(1+$AH148),2)</f>
        <v>20.059999999999999</v>
      </c>
    </row>
    <row r="149" spans="1:40" ht="38.25" x14ac:dyDescent="0.2">
      <c r="A149" t="str">
        <f t="shared" si="1"/>
        <v>S</v>
      </c>
      <c r="B149">
        <f t="shared" ca="1" si="2"/>
        <v>3</v>
      </c>
      <c r="C149" t="str">
        <f t="shared" ca="1" si="3"/>
        <v>S</v>
      </c>
      <c r="D149">
        <f t="shared" ca="1" si="4"/>
        <v>0</v>
      </c>
      <c r="E149">
        <f ca="1">IF($C149=1,OFFSET(E149,-1,0)+MAX(1,COUNTIF(QCI!$A$13:$A$24,OFFSET(ORÇAMENTO!E149,-1,0))),OFFSET(E149,-1,0))</f>
        <v>1</v>
      </c>
      <c r="F149">
        <f t="shared" ca="1" si="5"/>
        <v>8</v>
      </c>
      <c r="G149">
        <f t="shared" ca="1" si="6"/>
        <v>2</v>
      </c>
      <c r="H149">
        <f t="shared" ca="1" si="7"/>
        <v>0</v>
      </c>
      <c r="I149">
        <f t="shared" ca="1" si="8"/>
        <v>9</v>
      </c>
      <c r="J149">
        <f t="shared" ca="1" si="47"/>
        <v>0</v>
      </c>
      <c r="K149">
        <f ca="1">IF(OR($C149="S",$C149=0),0,MATCH(OFFSET($D149,0,$C149)+IF($C149&lt;&gt;1,1,COUNTIF(QCI!$A$13:$A$24,ORÇAMENTO!E149)),OFFSET($D149,1,$C149,ROW($C$240)-ROW($C149)),0))</f>
        <v>0</v>
      </c>
      <c r="L149" s="114" t="str">
        <f t="shared" ca="1" si="10"/>
        <v>F</v>
      </c>
      <c r="M149" s="115" t="s">
        <v>705</v>
      </c>
      <c r="N149" s="116" t="str">
        <f t="shared" ca="1" si="11"/>
        <v>Serviço</v>
      </c>
      <c r="O149" s="117" t="str">
        <f t="shared" ca="1" si="12"/>
        <v>1.8.2.0.9.</v>
      </c>
      <c r="P149" s="118" t="s">
        <v>750</v>
      </c>
      <c r="Q149" s="119" t="s">
        <v>1122</v>
      </c>
      <c r="R149" s="120" t="str" cm="1">
        <f t="array" aca="1" ref="R149" ca="1">IF($C149="S",REFERENCIA.Descricao,"(digite a descrição aqui)")</f>
        <v>JOELHO 45 GRAUS, PVC, SERIE NORMAL, ESGOTO PREDIAL, DN 50 MM, JUNTA ELÁSTICA, FORNECIDO E INSTALADO EM RAMAL DE DESCARGA OU RAMAL DE ESGOTO SANITÁRIO. AF_08/2022</v>
      </c>
      <c r="S149" s="121" t="str" cm="1">
        <f t="array" aca="1" ref="S149" ca="1">REFERENCIA.Unidade</f>
        <v>UN</v>
      </c>
      <c r="T149" s="122">
        <f ca="1">OFFSET(CÁLCULO!H$15,ROW($T149)-ROW(T$15),0)</f>
        <v>30</v>
      </c>
      <c r="U149" s="123">
        <f t="shared" ca="1" si="48"/>
        <v>17.28</v>
      </c>
      <c r="V149" s="124" t="s">
        <v>663</v>
      </c>
      <c r="W149" s="122" cm="1">
        <f t="array" aca="1" ref="W149" ca="1">IF($C149="S",ROUND(IF(TIPOORCAMENTO="Proposto",ORÇAMENTO.CustoUnitario*(1+$AH149),ORÇAMENTO.PrecoUnitarioLicitado),15-13*$AF$10),0)</f>
        <v>21.16</v>
      </c>
      <c r="X149" s="125" cm="1">
        <f t="array" aca="1" ref="X149" ca="1">IF($C149="S",IF(OR(Import.TipoArredondamento&lt;&gt;"TransfereGOV",ACOMPANHAMENTO="BM"),VTOTAL1,SUM(OFFSET(CÁLCULO!$AA$15,ROW($X149)-ROW($X$15),1):OFFSET(CÁLCULO!$AL$15,ROW($X149)-ROW($X$15),-1))),IF($C149=0,0,ROUND(SomaAgrup,15-13*$AF$11)))</f>
        <v>634.79999999999995</v>
      </c>
      <c r="Y149" s="126" t="s">
        <v>751</v>
      </c>
      <c r="Z149" t="str">
        <f t="shared" ca="1" si="13"/>
        <v>RA</v>
      </c>
      <c r="AA149" s="127" cm="1">
        <f t="array" aca="1" ref="AA149" ca="1">IF($C149="S",IF($Z149="CP",$X149,IF($Z149="RA",(($X149)*QCI!$AA$3),0)),SomaAgrup)</f>
        <v>296.72314488236674</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89732</v>
      </c>
      <c r="AF149" s="12"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11577</v>
      </c>
      <c r="AG149" s="428" cm="1">
        <f t="array" aca="1" ref="AG149" ca="1">ROUND(IF(DESONERACAO="sim",REFERENCIA.Desonerado,REFERENCIA.NaoDesonerado),2)</f>
        <v>17.28</v>
      </c>
      <c r="AH149" s="429">
        <f t="shared" ca="1" si="14"/>
        <v>0.22470000000000001</v>
      </c>
      <c r="AJ149" s="431">
        <v>30</v>
      </c>
      <c r="AL149" s="439"/>
      <c r="AM149" s="336">
        <f t="shared" ca="1" si="46"/>
        <v>634.79999999999995</v>
      </c>
      <c r="AN149" s="470" cm="1">
        <f t="array" aca="1" ref="AN149" ca="1">ROUND(ORÇAMENTO.CustoUnitario*(1+$AH149),2)</f>
        <v>21.16</v>
      </c>
    </row>
    <row r="150" spans="1:40" ht="38.25" x14ac:dyDescent="0.2">
      <c r="A150" t="str">
        <f t="shared" si="1"/>
        <v>S</v>
      </c>
      <c r="B150">
        <f t="shared" ca="1" si="2"/>
        <v>3</v>
      </c>
      <c r="C150" t="str">
        <f t="shared" ca="1" si="3"/>
        <v>S</v>
      </c>
      <c r="D150">
        <f t="shared" ca="1" si="4"/>
        <v>0</v>
      </c>
      <c r="E150">
        <f ca="1">IF($C150=1,OFFSET(E150,-1,0)+MAX(1,COUNTIF(QCI!$A$13:$A$24,OFFSET(ORÇAMENTO!E150,-1,0))),OFFSET(E150,-1,0))</f>
        <v>1</v>
      </c>
      <c r="F150">
        <f t="shared" ca="1" si="5"/>
        <v>8</v>
      </c>
      <c r="G150">
        <f t="shared" ca="1" si="6"/>
        <v>2</v>
      </c>
      <c r="H150">
        <f t="shared" ca="1" si="7"/>
        <v>0</v>
      </c>
      <c r="I150">
        <f t="shared" ca="1" si="8"/>
        <v>10</v>
      </c>
      <c r="J150">
        <f t="shared" ca="1" si="47"/>
        <v>0</v>
      </c>
      <c r="K150">
        <f ca="1">IF(OR($C150="S",$C150=0),0,MATCH(OFFSET($D150,0,$C150)+IF($C150&lt;&gt;1,1,COUNTIF(QCI!$A$13:$A$24,ORÇAMENTO!E150)),OFFSET($D150,1,$C150,ROW($C$240)-ROW($C150)),0))</f>
        <v>0</v>
      </c>
      <c r="L150" s="114" t="str">
        <f t="shared" ca="1" si="10"/>
        <v>F</v>
      </c>
      <c r="M150" s="115" t="s">
        <v>705</v>
      </c>
      <c r="N150" s="116" t="str">
        <f t="shared" ca="1" si="11"/>
        <v>Serviço</v>
      </c>
      <c r="O150" s="117" t="str">
        <f t="shared" ca="1" si="12"/>
        <v>1.8.2.0.10.</v>
      </c>
      <c r="P150" s="118" t="s">
        <v>750</v>
      </c>
      <c r="Q150" s="119" t="s">
        <v>1123</v>
      </c>
      <c r="R150" s="120" t="str" cm="1">
        <f t="array" aca="1" ref="R150" ca="1">IF($C150="S",REFERENCIA.Descricao,"(digite a descrição aqui)")</f>
        <v>JUNÇÃO SIMPLES, PVC, SERIE NORMAL, ESGOTO PREDIAL, DN 50 X 50 MM, JUNTA ELÁSTICA, FORNECIDO E INSTALADO EM RAMAL DE DESCARGA OU RAMAL DE ESGOTO SANITÁRIO. AF_08/2022</v>
      </c>
      <c r="S150" s="121" t="str" cm="1">
        <f t="array" aca="1" ref="S150" ca="1">REFERENCIA.Unidade</f>
        <v>UN</v>
      </c>
      <c r="T150" s="122">
        <f ca="1">OFFSET(CÁLCULO!H$15,ROW($T150)-ROW(T$15),0)</f>
        <v>30</v>
      </c>
      <c r="U150" s="123">
        <f t="shared" ca="1" si="48"/>
        <v>29.79</v>
      </c>
      <c r="V150" s="124" t="s">
        <v>663</v>
      </c>
      <c r="W150" s="122" cm="1">
        <f t="array" aca="1" ref="W150" ca="1">IF($C150="S",ROUND(IF(TIPOORCAMENTO="Proposto",ORÇAMENTO.CustoUnitario*(1+$AH150),ORÇAMENTO.PrecoUnitarioLicitado),15-13*$AF$10),0)</f>
        <v>36.479999999999997</v>
      </c>
      <c r="X150" s="125" cm="1">
        <f t="array" aca="1" ref="X150" ca="1">IF($C150="S",IF(OR(Import.TipoArredondamento&lt;&gt;"TransfereGOV",ACOMPANHAMENTO="BM"),VTOTAL1,SUM(OFFSET(CÁLCULO!$AA$15,ROW($X150)-ROW($X$15),1):OFFSET(CÁLCULO!$AL$15,ROW($X150)-ROW($X$15),-1))),IF($C150=0,0,ROUND(SomaAgrup,15-13*$AF$11)))</f>
        <v>1094.4000000000001</v>
      </c>
      <c r="Y150" s="126" t="s">
        <v>751</v>
      </c>
      <c r="Z150" t="str">
        <f t="shared" ca="1" si="13"/>
        <v>RA</v>
      </c>
      <c r="AA150" s="127" cm="1">
        <f t="array" aca="1" ref="AA150" ca="1">IF($C150="S",IF($Z150="CP",$X150,IF($Z150="RA",(($X150)*QCI!$AA$3),0)),SomaAgrup)</f>
        <v>511.55294543046972</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89785</v>
      </c>
      <c r="AF150" s="12"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11600</v>
      </c>
      <c r="AG150" s="428" cm="1">
        <f t="array" aca="1" ref="AG150" ca="1">ROUND(IF(DESONERACAO="sim",REFERENCIA.Desonerado,REFERENCIA.NaoDesonerado),2)</f>
        <v>29.79</v>
      </c>
      <c r="AH150" s="429">
        <f t="shared" ca="1" si="14"/>
        <v>0.22470000000000001</v>
      </c>
      <c r="AJ150" s="431">
        <v>30</v>
      </c>
      <c r="AL150" s="439"/>
      <c r="AM150" s="336">
        <f t="shared" ca="1" si="46"/>
        <v>1094.4000000000001</v>
      </c>
      <c r="AN150" s="470" cm="1">
        <f t="array" aca="1" ref="AN150" ca="1">ROUND(ORÇAMENTO.CustoUnitario*(1+$AH150),2)</f>
        <v>36.479999999999997</v>
      </c>
    </row>
    <row r="151" spans="1:40" ht="51" x14ac:dyDescent="0.2">
      <c r="A151" t="str">
        <f t="shared" si="1"/>
        <v>S</v>
      </c>
      <c r="B151">
        <f t="shared" ca="1" si="2"/>
        <v>3</v>
      </c>
      <c r="C151" t="str">
        <f t="shared" ca="1" si="3"/>
        <v>S</v>
      </c>
      <c r="D151">
        <f t="shared" ca="1" si="4"/>
        <v>0</v>
      </c>
      <c r="E151">
        <f ca="1">IF($C151=1,OFFSET(E151,-1,0)+MAX(1,COUNTIF(QCI!$A$13:$A$24,OFFSET(ORÇAMENTO!E151,-1,0))),OFFSET(E151,-1,0))</f>
        <v>1</v>
      </c>
      <c r="F151">
        <f t="shared" ca="1" si="5"/>
        <v>8</v>
      </c>
      <c r="G151">
        <f t="shared" ca="1" si="6"/>
        <v>2</v>
      </c>
      <c r="H151">
        <f t="shared" ca="1" si="7"/>
        <v>0</v>
      </c>
      <c r="I151">
        <f t="shared" ca="1" si="8"/>
        <v>11</v>
      </c>
      <c r="J151">
        <f t="shared" ca="1" si="47"/>
        <v>0</v>
      </c>
      <c r="K151">
        <f ca="1">IF(OR($C151="S",$C151=0),0,MATCH(OFFSET($D151,0,$C151)+IF($C151&lt;&gt;1,1,COUNTIF(QCI!$A$13:$A$24,ORÇAMENTO!E151)),OFFSET($D151,1,$C151,ROW($C$240)-ROW($C151)),0))</f>
        <v>0</v>
      </c>
      <c r="L151" s="114" t="str">
        <f t="shared" ca="1" si="10"/>
        <v>F</v>
      </c>
      <c r="M151" s="115" t="s">
        <v>705</v>
      </c>
      <c r="N151" s="116" t="str">
        <f t="shared" ca="1" si="11"/>
        <v>Serviço</v>
      </c>
      <c r="O151" s="117" t="str">
        <f t="shared" ca="1" si="12"/>
        <v>1.8.2.0.11.</v>
      </c>
      <c r="P151" s="118" t="s">
        <v>750</v>
      </c>
      <c r="Q151" s="119" t="s">
        <v>1124</v>
      </c>
      <c r="R151" s="120" t="str" cm="1">
        <f t="array" aca="1" ref="R151" ca="1">IF($C151="S",REFERENCIA.Descricao,"(digite a descrição aqui)")</f>
        <v>JUNÇÃO DE REDUÇÃO INVERTIDA, PVC, SÉRIE NORMAL, ESGOTO PREDIAL, DN 100 X 50 MM, JUNTA ELÁSTICA, FORNECIDO E INSTALADO EM RAMAL DE DESCARGA OU RAMAL DE ESGOTO SANITÁRIO. AF_08/2022</v>
      </c>
      <c r="S151" s="121" t="str" cm="1">
        <f t="array" aca="1" ref="S151" ca="1">REFERENCIA.Unidade</f>
        <v>UN</v>
      </c>
      <c r="T151" s="122">
        <f ca="1">OFFSET(CÁLCULO!H$15,ROW($T151)-ROW(T$15),0)</f>
        <v>30</v>
      </c>
      <c r="U151" s="123">
        <f t="shared" ca="1" si="48"/>
        <v>48.61</v>
      </c>
      <c r="V151" s="124" t="s">
        <v>663</v>
      </c>
      <c r="W151" s="122" cm="1">
        <f t="array" aca="1" ref="W151" ca="1">IF($C151="S",ROUND(IF(TIPOORCAMENTO="Proposto",ORÇAMENTO.CustoUnitario*(1+$AH151),ORÇAMENTO.PrecoUnitarioLicitado),15-13*$AF$10),0)</f>
        <v>59.53</v>
      </c>
      <c r="X151" s="125" cm="1">
        <f t="array" aca="1" ref="X151" ca="1">IF($C151="S",IF(OR(Import.TipoArredondamento&lt;&gt;"TransfereGOV",ACOMPANHAMENTO="BM"),VTOTAL1,SUM(OFFSET(CÁLCULO!$AA$15,ROW($X151)-ROW($X$15),1):OFFSET(CÁLCULO!$AL$15,ROW($X151)-ROW($X$15),-1))),IF($C151=0,0,ROUND(SomaAgrup,15-13*$AF$11)))</f>
        <v>1785.9</v>
      </c>
      <c r="Y151" s="126" t="s">
        <v>751</v>
      </c>
      <c r="Z151" t="str">
        <f t="shared" ca="1" si="13"/>
        <v>RA</v>
      </c>
      <c r="AA151" s="127" cm="1">
        <f t="array" aca="1" ref="AA151" ca="1">IF($C151="S",IF($Z151="CP",$X151,IF($Z151="RA",(($X151)*QCI!$AA$3),0)),SomaAgrup)</f>
        <v>834.77924455800064</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str" cm="1">
        <f t="array" aca="1" ref="AE151" ca="1">IF(AND($C151="S",ORÇAMENTO.CodBarra&lt;&gt;""),IF(ORÇAMENTO.Fonte="",ORÇAMENTO.CodBarra,CONCATENATE(ORÇAMENTO.Fonte," ",ORÇAMENTO.CodBarra)))</f>
        <v>SINAPI 104345</v>
      </c>
      <c r="AF151" s="12"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11592</v>
      </c>
      <c r="AG151" s="428" cm="1">
        <f t="array" aca="1" ref="AG151" ca="1">ROUND(IF(DESONERACAO="sim",REFERENCIA.Desonerado,REFERENCIA.NaoDesonerado),2)</f>
        <v>48.61</v>
      </c>
      <c r="AH151" s="429">
        <f t="shared" ca="1" si="14"/>
        <v>0.22470000000000001</v>
      </c>
      <c r="AJ151" s="431">
        <v>30</v>
      </c>
      <c r="AL151" s="439"/>
      <c r="AM151" s="336">
        <f t="shared" ca="1" si="46"/>
        <v>1785.9</v>
      </c>
      <c r="AN151" s="470" cm="1">
        <f t="array" aca="1" ref="AN151" ca="1">ROUND(ORÇAMENTO.CustoUnitario*(1+$AH151),2)</f>
        <v>59.53</v>
      </c>
    </row>
    <row r="152" spans="1:40" ht="38.25" x14ac:dyDescent="0.2">
      <c r="A152" t="str">
        <f>CHOOSE(1+LOG(1+2*(ORÇAMENTO.Nivel="Meta")+4*(ORÇAMENTO.Nivel="Nível 2")+8*(ORÇAMENTO.Nivel="Nível 3")+16*(ORÇAMENTO.Nivel="Nível 4")+32*(ORÇAMENTO.Nivel="Serviço"),2),0,1,2,3,4,"S")</f>
        <v>S</v>
      </c>
      <c r="B152">
        <f ca="1">IF(OR(C152="s",C152=0),OFFSET(B152,-1,0),C152)</f>
        <v>3</v>
      </c>
      <c r="C152" t="str">
        <f ca="1">IF(OFFSET(C152,-1,0)="L",1,IF(OFFSET(C152,-1,0)=1,2,IF(OR(A152="s",A152=0),"S",IF(AND(OFFSET(C152,-1,0)=2,A152=4),3,IF(AND(OR(OFFSET(C152,-1,0)="s",OFFSET(C152,-1,0)=0),A152&lt;&gt;"s",A152&gt;OFFSET(B152,-1,0)),OFFSET(B152,-1,0),A152)))))</f>
        <v>S</v>
      </c>
      <c r="D152">
        <f ca="1">IF(OR(C152="S",C152=0),0,IF(ISERROR(K152),J152,SMALL(J152:K152,1)))</f>
        <v>0</v>
      </c>
      <c r="E152">
        <f ca="1">IF($C152=1,OFFSET(E152,-1,0)+MAX(1,COUNTIF(QCI!$A$13:$A$24,OFFSET(ORÇAMENTO!E152,-1,0))),OFFSET(E152,-1,0))</f>
        <v>1</v>
      </c>
      <c r="F152">
        <f ca="1">IF($C152=1,0,IF($C152=2,OFFSET(F152,-1,0)+1,OFFSET(F152,-1,0)))</f>
        <v>8</v>
      </c>
      <c r="G152">
        <f ca="1">IF(AND($C152&lt;=2,$C152&lt;&gt;0),0,IF($C152=3,OFFSET(G152,-1,0)+1,OFFSET(G152,-1,0)))</f>
        <v>2</v>
      </c>
      <c r="H152">
        <f ca="1">IF(AND($C152&lt;=3,$C152&lt;&gt;0),0,IF($C152=4,OFFSET(H152,-1,0)+1,OFFSET(H152,-1,0)))</f>
        <v>0</v>
      </c>
      <c r="I152">
        <f ca="1">IF(AND($C152&lt;=4,$C152&lt;&gt;0),0,IF(AND($C152="S",$X152&gt;0),OFFSET(I152,-1,0)+1,OFFSET(I152,-1,0)))</f>
        <v>12</v>
      </c>
      <c r="J152">
        <f t="shared" ca="1" si="47"/>
        <v>0</v>
      </c>
      <c r="K152">
        <f ca="1">IF(OR($C152="S",$C152=0),0,MATCH(OFFSET($D152,0,$C152)+IF($C152&lt;&gt;1,1,COUNTIF(QCI!$A$13:$A$24,ORÇAMENTO!E152)),OFFSET($D152,1,$C152,ROW($C$240)-ROW($C152)),0))</f>
        <v>0</v>
      </c>
      <c r="L152" s="114" t="str">
        <f ca="1">IF(OR($X152&gt;0,$C152=1,$C152=2,$C152=3,$C152=4),"F","")</f>
        <v>F</v>
      </c>
      <c r="M152" s="115" t="s">
        <v>705</v>
      </c>
      <c r="N152" s="116" t="str">
        <f ca="1">CHOOSE(1+LOG(1+2*(C152=1)+4*(C152=2)+8*(C152=3)+16*(C152=4)+32*(C152="S"),2),"","Meta","Nível 2","Nível 3","Nível 4","Serviço")</f>
        <v>Serviço</v>
      </c>
      <c r="O152" s="117" t="str">
        <f ca="1">IF(OR($C152=0,$L152=""),"-",CONCATENATE(E152&amp;".",IF(AND($A$5&gt;=2,$C152&gt;=2),F152&amp;".",""),IF(AND($A$5&gt;=3,$C152&gt;=3),G152&amp;".",""),IF(AND($A$5&gt;=4,$C152&gt;=4),H152&amp;".",""),IF($C152="S",I152&amp;".","")))</f>
        <v>1.8.2.0.12.</v>
      </c>
      <c r="P152" s="118" t="s">
        <v>750</v>
      </c>
      <c r="Q152" s="119" t="s">
        <v>1125</v>
      </c>
      <c r="R152" s="120" t="str" cm="1">
        <f t="array" aca="1" ref="R152" ca="1">IF($C152="S",REFERENCIA.Descricao,"(digite a descrição aqui)")</f>
        <v>TE, PVC, SERIE NORMAL, ESGOTO PREDIAL, DN 50 X 50 MM, JUNTA ELÁSTICA, FORNECIDO E INSTALADO EM RAMAL DE DESCARGA OU RAMAL DE ESGOTO SANITÁRIO. AF_08/2022</v>
      </c>
      <c r="S152" s="121" t="str" cm="1">
        <f t="array" aca="1" ref="S152" ca="1">REFERENCIA.Unidade</f>
        <v>UN</v>
      </c>
      <c r="T152" s="122">
        <f ca="1">OFFSET(CÁLCULO!H$15,ROW($T152)-ROW(T$15),0)</f>
        <v>30</v>
      </c>
      <c r="U152" s="123">
        <f t="shared" ca="1" si="48"/>
        <v>26.91</v>
      </c>
      <c r="V152" s="124" t="s">
        <v>663</v>
      </c>
      <c r="W152" s="122" cm="1">
        <f t="array" aca="1" ref="W152" ca="1">IF($C152="S",ROUND(IF(TIPOORCAMENTO="Proposto",ORÇAMENTO.CustoUnitario*(1+$AH152),ORÇAMENTO.PrecoUnitarioLicitado),15-13*$AF$10),0)</f>
        <v>32.96</v>
      </c>
      <c r="X152" s="125" cm="1">
        <f t="array" aca="1" ref="X152" ca="1">IF($C152="S",IF(OR(Import.TipoArredondamento&lt;&gt;"TransfereGOV",ACOMPANHAMENTO="BM"),VTOTAL1,SUM(OFFSET(CÁLCULO!$AA$15,ROW($X152)-ROW($X$15),1):OFFSET(CÁLCULO!$AL$15,ROW($X152)-ROW($X$15),-1))),IF($C152=0,0,ROUND(SomaAgrup,15-13*$AF$11)))</f>
        <v>988.8</v>
      </c>
      <c r="Y152" s="126" t="s">
        <v>751</v>
      </c>
      <c r="Z152" t="str">
        <f ca="1">IF(AND($C152="S",$X152&gt;0),IF(ISBLANK($Y152),"RA",LEFT($Y152,2)),"")</f>
        <v>RA</v>
      </c>
      <c r="AA152" s="127" cm="1">
        <f t="array" aca="1" ref="AA152" ca="1">IF($C152="S",IF($Z152="CP",$X152,IF($Z152="RA",(($X152)*QCI!$AA$3),0)),SomaAgrup)</f>
        <v>462.19257350296823</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str" cm="1">
        <f t="array" aca="1" ref="AE152" ca="1">IF(AND($C152="S",ORÇAMENTO.CodBarra&lt;&gt;""),IF(ORÇAMENTO.Fonte="",ORÇAMENTO.CodBarra,CONCATENATE(ORÇAMENTO.Fonte," ",ORÇAMENTO.CodBarra)))</f>
        <v>SINAPI 89784</v>
      </c>
      <c r="AF152" s="12"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11624</v>
      </c>
      <c r="AG152" s="428" cm="1">
        <f t="array" aca="1" ref="AG152" ca="1">ROUND(IF(DESONERACAO="sim",REFERENCIA.Desonerado,REFERENCIA.NaoDesonerado),2)</f>
        <v>26.91</v>
      </c>
      <c r="AH152" s="429">
        <f ca="1">ROUND(IF(ISNUMBER(ORÇAMENTO.OpcaoBDI),ORÇAMENTO.OpcaoBDI,IF(LEFT(ORÇAMENTO.OpcaoBDI,3)="BDI",HLOOKUP(ORÇAMENTO.OpcaoBDI,$F$4:$H$5,2,FALSE),0)),15-11*$AF$9)</f>
        <v>0.22470000000000001</v>
      </c>
      <c r="AJ152" s="431">
        <v>30</v>
      </c>
      <c r="AL152" s="439"/>
      <c r="AM152" s="336">
        <f t="shared" ca="1" si="46"/>
        <v>988.8</v>
      </c>
      <c r="AN152" s="470" cm="1">
        <f t="array" aca="1" ref="AN152" ca="1">ROUND(ORÇAMENTO.CustoUnitario*(1+$AH152),2)</f>
        <v>32.96</v>
      </c>
    </row>
    <row r="153" spans="1:40" x14ac:dyDescent="0.2">
      <c r="A153">
        <f t="shared" si="1"/>
        <v>3</v>
      </c>
      <c r="B153">
        <f t="shared" ca="1" si="2"/>
        <v>3</v>
      </c>
      <c r="C153">
        <f t="shared" ca="1" si="3"/>
        <v>3</v>
      </c>
      <c r="D153">
        <f t="shared" ca="1" si="4"/>
        <v>5</v>
      </c>
      <c r="E153">
        <f ca="1">IF($C153=1,OFFSET(E153,-1,0)+MAX(1,COUNTIF(QCI!$A$13:$A$24,OFFSET(ORÇAMENTO!E153,-1,0))),OFFSET(E153,-1,0))</f>
        <v>1</v>
      </c>
      <c r="F153">
        <f t="shared" ca="1" si="5"/>
        <v>8</v>
      </c>
      <c r="G153">
        <f t="shared" ca="1" si="6"/>
        <v>3</v>
      </c>
      <c r="H153">
        <f t="shared" ca="1" si="7"/>
        <v>0</v>
      </c>
      <c r="I153">
        <f t="shared" ca="1" si="8"/>
        <v>0</v>
      </c>
      <c r="J153">
        <f t="shared" ca="1" si="47"/>
        <v>22</v>
      </c>
      <c r="K153">
        <f ca="1">IF(OR($C153="S",$C153=0),0,MATCH(OFFSET($D153,0,$C153)+IF($C153&lt;&gt;1,1,COUNTIF(QCI!$A$13:$A$24,ORÇAMENTO!E153)),OFFSET($D153,1,$C153,ROW($C$240)-ROW($C153)),0))</f>
        <v>5</v>
      </c>
      <c r="L153" s="114" t="str">
        <f t="shared" ca="1" si="10"/>
        <v>F</v>
      </c>
      <c r="M153" s="115" t="s">
        <v>703</v>
      </c>
      <c r="N153" s="116" t="str">
        <f t="shared" ca="1" si="11"/>
        <v>Nível 3</v>
      </c>
      <c r="O153" s="117" t="str">
        <f t="shared" ca="1" si="12"/>
        <v>1.8.3.</v>
      </c>
      <c r="P153" s="118" t="s">
        <v>750</v>
      </c>
      <c r="Q153" s="119"/>
      <c r="R153" s="120" t="s">
        <v>1048</v>
      </c>
      <c r="S153" s="121" t="str" cm="1">
        <f t="array" aca="1" ref="S153" ca="1">REFERENCIA.Unidade</f>
        <v>-</v>
      </c>
      <c r="T153" s="122">
        <f ca="1">OFFSET(CÁLCULO!H$15,ROW($T153)-ROW(T$15),0)</f>
        <v>0</v>
      </c>
      <c r="U153" s="123"/>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IF($C153="S",IF(OR(Import.TipoArredondamento&lt;&gt;"TransfereGOV",ACOMPANHAMENTO="BM"),VTOTAL1,SUM(OFFSET(CÁLCULO!$AA$15,ROW($X153)-ROW($X$15),1):OFFSET(CÁLCULO!$AL$15,ROW($X153)-ROW($X$15),-1))),IF($C153=0,0,ROUND(SomaAgrup,15-13*$AF$11)))</f>
        <v>77599.8</v>
      </c>
      <c r="Y153" s="126" t="s">
        <v>751</v>
      </c>
      <c r="Z153" t="str">
        <f t="shared" ca="1" si="13"/>
        <v/>
      </c>
      <c r="AA153" s="127" cm="1">
        <f t="array" aca="1" ref="AA153" ca="1">IF($C153="S",IF($Z153="CP",$X153,IF($Z153="RA",(($X153)*QCI!$AA$3),0)),SomaAgrup)</f>
        <v>36272.301036929246</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b" cm="1">
        <f t="array" aca="1" ref="AE153" ca="1">IF(AND($C153="S",ORÇAMENTO.CodBarra&lt;&gt;""),IF(ORÇAMENTO.Fonte="",ORÇAMENTO.CodBarra,CONCATENATE(ORÇAMENTO.Fonte," ",ORÇAMENTO.CodBarra)))</f>
        <v>0</v>
      </c>
      <c r="AF153" s="12"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(Sem Código)</v>
      </c>
      <c r="AG153" s="428" cm="1">
        <f t="array" aca="1" ref="AG153" ca="1">ROUND(IF(DESONERACAO="sim",REFERENCIA.Desonerado,REFERENCIA.NaoDesonerado),2)</f>
        <v>0</v>
      </c>
      <c r="AH153" s="429">
        <f t="shared" ca="1" si="14"/>
        <v>0.22470000000000001</v>
      </c>
      <c r="AJ153" s="431"/>
      <c r="AL153" s="439"/>
      <c r="AM153" s="336">
        <f t="shared" ca="1" si="46"/>
        <v>77599.8</v>
      </c>
      <c r="AN153" s="470" cm="1">
        <f t="array" aca="1" ref="AN153" ca="1">ROUND(ORÇAMENTO.CustoUnitario*(1+$AH153),2)</f>
        <v>0</v>
      </c>
    </row>
    <row r="154" spans="1:40" ht="38.25" x14ac:dyDescent="0.2">
      <c r="A154" t="str">
        <f t="shared" si="1"/>
        <v>S</v>
      </c>
      <c r="B154">
        <f t="shared" ca="1" si="2"/>
        <v>3</v>
      </c>
      <c r="C154" t="str">
        <f t="shared" ca="1" si="3"/>
        <v>S</v>
      </c>
      <c r="D154">
        <f t="shared" ca="1" si="4"/>
        <v>0</v>
      </c>
      <c r="E154">
        <f ca="1">IF($C154=1,OFFSET(E154,-1,0)+MAX(1,COUNTIF(QCI!$A$13:$A$24,OFFSET(ORÇAMENTO!E154,-1,0))),OFFSET(E154,-1,0))</f>
        <v>1</v>
      </c>
      <c r="F154">
        <f t="shared" ca="1" si="5"/>
        <v>8</v>
      </c>
      <c r="G154">
        <f t="shared" ca="1" si="6"/>
        <v>3</v>
      </c>
      <c r="H154">
        <f t="shared" ca="1" si="7"/>
        <v>0</v>
      </c>
      <c r="I154">
        <f t="shared" ca="1" si="8"/>
        <v>1</v>
      </c>
      <c r="J154">
        <f t="shared" ca="1" si="47"/>
        <v>0</v>
      </c>
      <c r="K154">
        <f ca="1">IF(OR($C154="S",$C154=0),0,MATCH(OFFSET($D154,0,$C154)+IF($C154&lt;&gt;1,1,COUNTIF(QCI!$A$13:$A$24,ORÇAMENTO!E154)),OFFSET($D154,1,$C154,ROW($C$240)-ROW($C154)),0))</f>
        <v>0</v>
      </c>
      <c r="L154" s="114" t="str">
        <f t="shared" ca="1" si="10"/>
        <v>F</v>
      </c>
      <c r="M154" s="115" t="s">
        <v>705</v>
      </c>
      <c r="N154" s="116" t="str">
        <f t="shared" ca="1" si="11"/>
        <v>Serviço</v>
      </c>
      <c r="O154" s="117" t="str">
        <f t="shared" ca="1" si="12"/>
        <v>1.8.3.0.1.</v>
      </c>
      <c r="P154" s="118" t="s">
        <v>750</v>
      </c>
      <c r="Q154" s="119" t="s">
        <v>1126</v>
      </c>
      <c r="R154" s="120" t="str" cm="1">
        <f t="array" aca="1" ref="R154" ca="1">IF($C154="S",REFERENCIA.Descricao,"(digite a descrição aqui)")</f>
        <v>CAIXA SIFONADA, COM GRELHA QUADRADA, PVC, DN 150 X 150 X 50 MM, JUNTA SOLDÁVEL, FORNECIDA E INSTALADA EM RAMAL DE DESCARGA OU EM RAMAL DE ESGOTO SANITÁRIO. AF_08/2022</v>
      </c>
      <c r="S154" s="121" t="str" cm="1">
        <f t="array" aca="1" ref="S154" ca="1">REFERENCIA.Unidade</f>
        <v>UN</v>
      </c>
      <c r="T154" s="122">
        <f ca="1">OFFSET(CÁLCULO!H$15,ROW($T154)-ROW(T$15),0)</f>
        <v>30</v>
      </c>
      <c r="U154" s="123">
        <f t="shared" ref="U154:U157" ca="1" si="49">AG154</f>
        <v>90.72</v>
      </c>
      <c r="V154" s="124" t="s">
        <v>663</v>
      </c>
      <c r="W154" s="122" cm="1">
        <f t="array" aca="1" ref="W154" ca="1">IF($C154="S",ROUND(IF(TIPOORCAMENTO="Proposto",ORÇAMENTO.CustoUnitario*(1+$AH154),ORÇAMENTO.PrecoUnitarioLicitado),15-13*$AF$10),0)</f>
        <v>111.1</v>
      </c>
      <c r="X154" s="125" cm="1">
        <f t="array" aca="1" ref="X154" ca="1">IF($C154="S",IF(OR(Import.TipoArredondamento&lt;&gt;"TransfereGOV",ACOMPANHAMENTO="BM"),VTOTAL1,SUM(OFFSET(CÁLCULO!$AA$15,ROW($X154)-ROW($X$15),1):OFFSET(CÁLCULO!$AL$15,ROW($X154)-ROW($X$15),-1))),IF($C154=0,0,ROUND(SomaAgrup,15-13*$AF$11)))</f>
        <v>3333</v>
      </c>
      <c r="Y154" s="126" t="s">
        <v>751</v>
      </c>
      <c r="Z154" t="str">
        <f t="shared" ca="1" si="13"/>
        <v>RA</v>
      </c>
      <c r="AA154" s="127" cm="1">
        <f t="array" aca="1" ref="AA154" ca="1">IF($C154="S",IF($Z154="CP",$X154,IF($Z154="RA",(($X154)*QCI!$AA$3),0)),SomaAgrup)</f>
        <v>1557.9367389617648</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104328</v>
      </c>
      <c r="AF154" s="12"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11544</v>
      </c>
      <c r="AG154" s="428" cm="1">
        <f t="array" aca="1" ref="AG154" ca="1">ROUND(IF(DESONERACAO="sim",REFERENCIA.Desonerado,REFERENCIA.NaoDesonerado),2)</f>
        <v>90.72</v>
      </c>
      <c r="AH154" s="429">
        <f t="shared" ca="1" si="14"/>
        <v>0.22470000000000001</v>
      </c>
      <c r="AJ154" s="431">
        <v>30</v>
      </c>
      <c r="AL154" s="439"/>
      <c r="AM154" s="336">
        <f t="shared" ca="1" si="46"/>
        <v>3333</v>
      </c>
      <c r="AN154" s="470" cm="1">
        <f t="array" aca="1" ref="AN154" ca="1">ROUND(ORÇAMENTO.CustoUnitario*(1+$AH154),2)</f>
        <v>111.1</v>
      </c>
    </row>
    <row r="155" spans="1:40" ht="38.25" x14ac:dyDescent="0.2">
      <c r="A155" t="str">
        <f t="shared" si="1"/>
        <v>S</v>
      </c>
      <c r="B155">
        <f t="shared" ca="1" si="2"/>
        <v>3</v>
      </c>
      <c r="C155" t="str">
        <f t="shared" ca="1" si="3"/>
        <v>S</v>
      </c>
      <c r="D155">
        <f t="shared" ca="1" si="4"/>
        <v>0</v>
      </c>
      <c r="E155">
        <f ca="1">IF($C155=1,OFFSET(E155,-1,0)+MAX(1,COUNTIF(QCI!$A$13:$A$24,OFFSET(ORÇAMENTO!E155,-1,0))),OFFSET(E155,-1,0))</f>
        <v>1</v>
      </c>
      <c r="F155">
        <f t="shared" ca="1" si="5"/>
        <v>8</v>
      </c>
      <c r="G155">
        <f t="shared" ca="1" si="6"/>
        <v>3</v>
      </c>
      <c r="H155">
        <f t="shared" ca="1" si="7"/>
        <v>0</v>
      </c>
      <c r="I155">
        <f t="shared" ca="1" si="8"/>
        <v>2</v>
      </c>
      <c r="J155">
        <f t="shared" ca="1" si="47"/>
        <v>0</v>
      </c>
      <c r="K155">
        <f ca="1">IF(OR($C155="S",$C155=0),0,MATCH(OFFSET($D155,0,$C155)+IF($C155&lt;&gt;1,1,COUNTIF(QCI!$A$13:$A$24,ORÇAMENTO!E155)),OFFSET($D155,1,$C155,ROW($C$240)-ROW($C155)),0))</f>
        <v>0</v>
      </c>
      <c r="L155" s="114" t="str">
        <f t="shared" ca="1" si="10"/>
        <v>F</v>
      </c>
      <c r="M155" s="115" t="s">
        <v>705</v>
      </c>
      <c r="N155" s="116" t="str">
        <f t="shared" ca="1" si="11"/>
        <v>Serviço</v>
      </c>
      <c r="O155" s="117" t="str">
        <f t="shared" ca="1" si="12"/>
        <v>1.8.3.0.2.</v>
      </c>
      <c r="P155" s="118" t="s">
        <v>750</v>
      </c>
      <c r="Q155" s="119" t="s">
        <v>1127</v>
      </c>
      <c r="R155" s="120" t="str" cm="1">
        <f t="array" aca="1" ref="R155" ca="1">IF($C155="S",REFERENCIA.Descricao,"(digite a descrição aqui)")</f>
        <v>RALO SECO, PVC, DN 100 X 40 MM, JUNTA SOLDÁVEL, FORNECIDO E INSTALADO EM RAMAL DE DESCARGA OU EM RAMAL DE ESGOTO SANITÁRIO. AF_08/2022</v>
      </c>
      <c r="S155" s="121" t="str" cm="1">
        <f t="array" aca="1" ref="S155" ca="1">REFERENCIA.Unidade</f>
        <v>UN</v>
      </c>
      <c r="T155" s="122">
        <f ca="1">OFFSET(CÁLCULO!H$15,ROW($T155)-ROW(T$15),0)</f>
        <v>30</v>
      </c>
      <c r="U155" s="123">
        <f t="shared" ca="1" si="49"/>
        <v>23.07</v>
      </c>
      <c r="V155" s="124" t="s">
        <v>663</v>
      </c>
      <c r="W155" s="122" cm="1">
        <f t="array" aca="1" ref="W155" ca="1">IF($C155="S",ROUND(IF(TIPOORCAMENTO="Proposto",ORÇAMENTO.CustoUnitario*(1+$AH155),ORÇAMENTO.PrecoUnitarioLicitado),15-13*$AF$10),0)</f>
        <v>28.25</v>
      </c>
      <c r="X155" s="125" cm="1">
        <f t="array" aca="1" ref="X155" ca="1">IF($C155="S",IF(OR(Import.TipoArredondamento&lt;&gt;"TransfereGOV",ACOMPANHAMENTO="BM"),VTOTAL1,SUM(OFFSET(CÁLCULO!$AA$15,ROW($X155)-ROW($X$15),1):OFFSET(CÁLCULO!$AL$15,ROW($X155)-ROW($X$15),-1))),IF($C155=0,0,ROUND(SomaAgrup,15-13*$AF$11)))</f>
        <v>847.5</v>
      </c>
      <c r="Y155" s="126" t="s">
        <v>751</v>
      </c>
      <c r="Z155" t="str">
        <f t="shared" ca="1" si="13"/>
        <v>RA</v>
      </c>
      <c r="AA155" s="127" cm="1">
        <f t="array" aca="1" ref="AA155" ca="1">IF($C155="S",IF($Z155="CP",$X155,IF($Z155="RA",(($X155)*QCI!$AA$3),0)),SomaAgrup)</f>
        <v>396.14503038406713</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SINAPI 89710</v>
      </c>
      <c r="AF155" s="12"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11550</v>
      </c>
      <c r="AG155" s="428" cm="1">
        <f t="array" aca="1" ref="AG155" ca="1">ROUND(IF(DESONERACAO="sim",REFERENCIA.Desonerado,REFERENCIA.NaoDesonerado),2)</f>
        <v>23.07</v>
      </c>
      <c r="AH155" s="429">
        <f t="shared" ca="1" si="14"/>
        <v>0.22470000000000001</v>
      </c>
      <c r="AJ155" s="431">
        <v>30</v>
      </c>
      <c r="AL155" s="439"/>
      <c r="AM155" s="336">
        <f t="shared" ca="1" si="46"/>
        <v>847.5</v>
      </c>
      <c r="AN155" s="470" cm="1">
        <f t="array" aca="1" ref="AN155" ca="1">ROUND(ORÇAMENTO.CustoUnitario*(1+$AH155),2)</f>
        <v>28.25</v>
      </c>
    </row>
    <row r="156" spans="1:40" ht="38.25" x14ac:dyDescent="0.2">
      <c r="A156" t="str">
        <f t="shared" si="1"/>
        <v>S</v>
      </c>
      <c r="B156">
        <f t="shared" ca="1" si="2"/>
        <v>3</v>
      </c>
      <c r="C156" t="str">
        <f t="shared" ca="1" si="3"/>
        <v>S</v>
      </c>
      <c r="D156">
        <f t="shared" ca="1" si="4"/>
        <v>0</v>
      </c>
      <c r="E156">
        <f ca="1">IF($C156=1,OFFSET(E156,-1,0)+MAX(1,COUNTIF(QCI!$A$13:$A$24,OFFSET(ORÇAMENTO!E156,-1,0))),OFFSET(E156,-1,0))</f>
        <v>1</v>
      </c>
      <c r="F156">
        <f t="shared" ca="1" si="5"/>
        <v>8</v>
      </c>
      <c r="G156">
        <f t="shared" ca="1" si="6"/>
        <v>3</v>
      </c>
      <c r="H156">
        <f t="shared" ca="1" si="7"/>
        <v>0</v>
      </c>
      <c r="I156">
        <f t="shared" ca="1" si="8"/>
        <v>3</v>
      </c>
      <c r="J156">
        <f t="shared" ca="1" si="47"/>
        <v>0</v>
      </c>
      <c r="K156">
        <f ca="1">IF(OR($C156="S",$C156=0),0,MATCH(OFFSET($D156,0,$C156)+IF($C156&lt;&gt;1,1,COUNTIF(QCI!$A$13:$A$24,ORÇAMENTO!E156)),OFFSET($D156,1,$C156,ROW($C$240)-ROW($C156)),0))</f>
        <v>0</v>
      </c>
      <c r="L156" s="114" t="str">
        <f t="shared" ca="1" si="10"/>
        <v>F</v>
      </c>
      <c r="M156" s="115" t="s">
        <v>705</v>
      </c>
      <c r="N156" s="116" t="str">
        <f t="shared" ca="1" si="11"/>
        <v>Serviço</v>
      </c>
      <c r="O156" s="117" t="str">
        <f t="shared" ca="1" si="12"/>
        <v>1.8.3.0.3.</v>
      </c>
      <c r="P156" s="118" t="s">
        <v>750</v>
      </c>
      <c r="Q156" s="119" t="s">
        <v>1138</v>
      </c>
      <c r="R156" s="120" t="str" cm="1">
        <f t="array" aca="1" ref="R156" ca="1">IF($C156="S",REFERENCIA.Descricao,"(digite a descrição aqui)")</f>
        <v>CAIXA ENTERRADA HIDRÁULICA RETANGULAR EM ALVENARIA COM TIJOLOS CERÂMICOS MACIÇOS, DIMENSÕES INTERNAS: 0,6X0,6X0,6 M PARA REDE DE ESGOTO. AF_12/2020</v>
      </c>
      <c r="S156" s="121" t="str" cm="1">
        <f t="array" aca="1" ref="S156" ca="1">REFERENCIA.Unidade</f>
        <v>UN</v>
      </c>
      <c r="T156" s="122">
        <f ca="1">OFFSET(CÁLCULO!H$15,ROW($T156)-ROW(T$15),0)</f>
        <v>90</v>
      </c>
      <c r="U156" s="123">
        <f t="shared" ca="1" si="49"/>
        <v>602.41999999999996</v>
      </c>
      <c r="V156" s="124" t="s">
        <v>663</v>
      </c>
      <c r="W156" s="122" cm="1">
        <f t="array" aca="1" ref="W156" ca="1">IF($C156="S",ROUND(IF(TIPOORCAMENTO="Proposto",ORÇAMENTO.CustoUnitario*(1+$AH156),ORÇAMENTO.PrecoUnitarioLicitado),15-13*$AF$10),0)</f>
        <v>737.78</v>
      </c>
      <c r="X156" s="125" cm="1">
        <f t="array" aca="1" ref="X156" ca="1">IF($C156="S",IF(OR(Import.TipoArredondamento&lt;&gt;"TransfereGOV",ACOMPANHAMENTO="BM"),VTOTAL1,SUM(OFFSET(CÁLCULO!$AA$15,ROW($X156)-ROW($X$15),1):OFFSET(CÁLCULO!$AL$15,ROW($X156)-ROW($X$15),-1))),IF($C156=0,0,ROUND(SomaAgrup,15-13*$AF$11)))</f>
        <v>66400.2</v>
      </c>
      <c r="Y156" s="126" t="s">
        <v>751</v>
      </c>
      <c r="Z156" t="str">
        <f t="shared" ca="1" si="13"/>
        <v>RA</v>
      </c>
      <c r="AA156" s="127" cm="1">
        <f t="array" aca="1" ref="AA156" ca="1">IF($C156="S",IF($Z156="CP",$X156,IF($Z156="RA",(($X156)*QCI!$AA$3),0)),SomaAgrup)</f>
        <v>31037.297046027295</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SINAPI 97902</v>
      </c>
      <c r="AF156" s="12"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7155</v>
      </c>
      <c r="AG156" s="428" cm="1">
        <f t="array" aca="1" ref="AG156" ca="1">ROUND(IF(DESONERACAO="sim",REFERENCIA.Desonerado,REFERENCIA.NaoDesonerado),2)</f>
        <v>602.41999999999996</v>
      </c>
      <c r="AH156" s="429">
        <f t="shared" ca="1" si="14"/>
        <v>0.22470000000000001</v>
      </c>
      <c r="AJ156" s="431">
        <v>90</v>
      </c>
      <c r="AL156" s="439"/>
      <c r="AM156" s="336">
        <f t="shared" ca="1" si="46"/>
        <v>66400.2</v>
      </c>
      <c r="AN156" s="470" cm="1">
        <f t="array" aca="1" ref="AN156" ca="1">ROUND(ORÇAMENTO.CustoUnitario*(1+$AH156),2)</f>
        <v>737.78</v>
      </c>
    </row>
    <row r="157" spans="1:40" ht="38.25" x14ac:dyDescent="0.2">
      <c r="A157" t="str">
        <f t="shared" si="1"/>
        <v>S</v>
      </c>
      <c r="B157">
        <f t="shared" ca="1" si="2"/>
        <v>3</v>
      </c>
      <c r="C157" t="str">
        <f t="shared" ca="1" si="3"/>
        <v>S</v>
      </c>
      <c r="D157">
        <f t="shared" ca="1" si="4"/>
        <v>0</v>
      </c>
      <c r="E157">
        <f ca="1">IF($C157=1,OFFSET(E157,-1,0)+MAX(1,COUNTIF(QCI!$A$13:$A$24,OFFSET(ORÇAMENTO!E157,-1,0))),OFFSET(E157,-1,0))</f>
        <v>1</v>
      </c>
      <c r="F157">
        <f t="shared" ca="1" si="5"/>
        <v>8</v>
      </c>
      <c r="G157">
        <f t="shared" ca="1" si="6"/>
        <v>3</v>
      </c>
      <c r="H157">
        <f t="shared" ca="1" si="7"/>
        <v>0</v>
      </c>
      <c r="I157">
        <f t="shared" ca="1" si="8"/>
        <v>4</v>
      </c>
      <c r="J157">
        <f t="shared" ca="1" si="47"/>
        <v>0</v>
      </c>
      <c r="K157">
        <f ca="1">IF(OR($C157="S",$C157=0),0,MATCH(OFFSET($D157,0,$C157)+IF($C157&lt;&gt;1,1,COUNTIF(QCI!$A$13:$A$24,ORÇAMENTO!E157)),OFFSET($D157,1,$C157,ROW($C$240)-ROW($C157)),0))</f>
        <v>0</v>
      </c>
      <c r="L157" s="114" t="str">
        <f t="shared" ca="1" si="10"/>
        <v>F</v>
      </c>
      <c r="M157" s="115" t="s">
        <v>705</v>
      </c>
      <c r="N157" s="116" t="str">
        <f t="shared" ca="1" si="11"/>
        <v>Serviço</v>
      </c>
      <c r="O157" s="117" t="str">
        <f t="shared" ca="1" si="12"/>
        <v>1.8.3.0.4.</v>
      </c>
      <c r="P157" s="118" t="s">
        <v>750</v>
      </c>
      <c r="Q157" s="119" t="s">
        <v>1139</v>
      </c>
      <c r="R157" s="120" t="str" cm="1">
        <f t="array" aca="1" ref="R157" ca="1">IF($C157="S",REFERENCIA.Descricao,"(digite a descrição aqui)")</f>
        <v>CAIXA DE GORDURA SIMPLES, CIRCULAR, EM CONCRETO PRÉ-MOLDADO, DIÂMETRO INTERNO = 0,4 M, ALTURA INTERNA = 0,4 M. AF_12/2020</v>
      </c>
      <c r="S157" s="121" t="str" cm="1">
        <f t="array" aca="1" ref="S157" ca="1">REFERENCIA.Unidade</f>
        <v>UN</v>
      </c>
      <c r="T157" s="122">
        <f ca="1">OFFSET(CÁLCULO!H$15,ROW($T157)-ROW(T$15),0)</f>
        <v>30</v>
      </c>
      <c r="U157" s="123">
        <f t="shared" ca="1" si="49"/>
        <v>191.04</v>
      </c>
      <c r="V157" s="124" t="s">
        <v>663</v>
      </c>
      <c r="W157" s="122" cm="1">
        <f t="array" aca="1" ref="W157" ca="1">IF($C157="S",ROUND(IF(TIPOORCAMENTO="Proposto",ORÇAMENTO.CustoUnitario*(1+$AH157),ORÇAMENTO.PrecoUnitarioLicitado),15-13*$AF$10),0)</f>
        <v>233.97</v>
      </c>
      <c r="X157" s="125" cm="1">
        <f t="array" aca="1" ref="X157" ca="1">IF($C157="S",IF(OR(Import.TipoArredondamento&lt;&gt;"TransfereGOV",ACOMPANHAMENTO="BM"),VTOTAL1,SUM(OFFSET(CÁLCULO!$AA$15,ROW($X157)-ROW($X$15),1):OFFSET(CÁLCULO!$AL$15,ROW($X157)-ROW($X$15),-1))),IF($C157=0,0,ROUND(SomaAgrup,15-13*$AF$11)))</f>
        <v>7019.1</v>
      </c>
      <c r="Y157" s="126" t="s">
        <v>751</v>
      </c>
      <c r="Z157" t="str">
        <f t="shared" ca="1" si="13"/>
        <v>RA</v>
      </c>
      <c r="AA157" s="127" cm="1">
        <f t="array" aca="1" ref="AA157" ca="1">IF($C157="S",IF($Z157="CP",$X157,IF($Z157="RA",(($X157)*QCI!$AA$3),0)),SomaAgrup)</f>
        <v>3280.9222215561131</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 98102</v>
      </c>
      <c r="AF157" s="12"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7134</v>
      </c>
      <c r="AG157" s="428" cm="1">
        <f t="array" aca="1" ref="AG157" ca="1">ROUND(IF(DESONERACAO="sim",REFERENCIA.Desonerado,REFERENCIA.NaoDesonerado),2)</f>
        <v>191.04</v>
      </c>
      <c r="AH157" s="429">
        <f t="shared" ca="1" si="14"/>
        <v>0.22470000000000001</v>
      </c>
      <c r="AJ157" s="431">
        <v>30</v>
      </c>
      <c r="AL157" s="439"/>
      <c r="AM157" s="336">
        <f t="shared" ca="1" si="46"/>
        <v>7019.1</v>
      </c>
      <c r="AN157" s="470" cm="1">
        <f t="array" aca="1" ref="AN157" ca="1">ROUND(ORÇAMENTO.CustoUnitario*(1+$AH157),2)</f>
        <v>233.97</v>
      </c>
    </row>
    <row r="158" spans="1:40" x14ac:dyDescent="0.2">
      <c r="A158">
        <f t="shared" si="1"/>
        <v>3</v>
      </c>
      <c r="B158">
        <f t="shared" ca="1" si="2"/>
        <v>3</v>
      </c>
      <c r="C158">
        <f t="shared" ca="1" si="3"/>
        <v>3</v>
      </c>
      <c r="D158">
        <f t="shared" ca="1" si="4"/>
        <v>2</v>
      </c>
      <c r="E158">
        <f ca="1">IF($C158=1,OFFSET(E158,-1,0)+MAX(1,COUNTIF(QCI!$A$13:$A$24,OFFSET(ORÇAMENTO!E158,-1,0))),OFFSET(E158,-1,0))</f>
        <v>1</v>
      </c>
      <c r="F158">
        <f t="shared" ca="1" si="5"/>
        <v>8</v>
      </c>
      <c r="G158">
        <f t="shared" ca="1" si="6"/>
        <v>4</v>
      </c>
      <c r="H158">
        <f t="shared" ca="1" si="7"/>
        <v>0</v>
      </c>
      <c r="I158">
        <f t="shared" ca="1" si="8"/>
        <v>0</v>
      </c>
      <c r="J158">
        <f t="shared" ca="1" si="47"/>
        <v>17</v>
      </c>
      <c r="K158">
        <f ca="1">IF(OR($C158="S",$C158=0),0,MATCH(OFFSET($D158,0,$C158)+IF($C158&lt;&gt;1,1,COUNTIF(QCI!$A$13:$A$24,ORÇAMENTO!E158)),OFFSET($D158,1,$C158,ROW($C$240)-ROW($C158)),0))</f>
        <v>2</v>
      </c>
      <c r="L158" s="114" t="str">
        <f t="shared" ca="1" si="10"/>
        <v>F</v>
      </c>
      <c r="M158" s="115" t="s">
        <v>703</v>
      </c>
      <c r="N158" s="116" t="str">
        <f t="shared" ca="1" si="11"/>
        <v>Nível 3</v>
      </c>
      <c r="O158" s="117" t="str">
        <f t="shared" ca="1" si="12"/>
        <v>1.8.4.</v>
      </c>
      <c r="P158" s="118" t="s">
        <v>750</v>
      </c>
      <c r="Q158" s="119"/>
      <c r="R158" s="120" t="s">
        <v>1130</v>
      </c>
      <c r="S158" s="121" t="str" cm="1">
        <f t="array" aca="1" ref="S158" ca="1">REFERENCIA.Unidade</f>
        <v>-</v>
      </c>
      <c r="T158" s="122">
        <f ca="1">OFFSET(CÁLCULO!H$15,ROW($T158)-ROW(T$15),0)</f>
        <v>0</v>
      </c>
      <c r="U158" s="123"/>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IF($C158="S",IF(OR(Import.TipoArredondamento&lt;&gt;"TransfereGOV",ACOMPANHAMENTO="BM"),VTOTAL1,SUM(OFFSET(CÁLCULO!$AA$15,ROW($X158)-ROW($X$15),1):OFFSET(CÁLCULO!$AL$15,ROW($X158)-ROW($X$15),-1))),IF($C158=0,0,ROUND(SomaAgrup,15-13*$AF$11)))</f>
        <v>7522.8</v>
      </c>
      <c r="Y158" s="126" t="s">
        <v>751</v>
      </c>
      <c r="Z158" t="str">
        <f t="shared" ca="1" si="13"/>
        <v/>
      </c>
      <c r="AA158" s="127" cm="1">
        <f t="array" aca="1" ref="AA158" ca="1">IF($C158="S",IF($Z158="CP",$X158,IF($Z158="RA",(($X158)*QCI!$AA$3),0)),SomaAgrup)</f>
        <v>3516.3655865171213</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b" cm="1">
        <f t="array" aca="1" ref="AE158" ca="1">IF(AND($C158="S",ORÇAMENTO.CodBarra&lt;&gt;""),IF(ORÇAMENTO.Fonte="",ORÇAMENTO.CodBarra,CONCATENATE(ORÇAMENTO.Fonte," ",ORÇAMENTO.CodBarra)))</f>
        <v>0</v>
      </c>
      <c r="AF158" s="12"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(Sem Código)</v>
      </c>
      <c r="AG158" s="428" cm="1">
        <f t="array" aca="1" ref="AG158" ca="1">ROUND(IF(DESONERACAO="sim",REFERENCIA.Desonerado,REFERENCIA.NaoDesonerado),2)</f>
        <v>0</v>
      </c>
      <c r="AH158" s="429">
        <f t="shared" ca="1" si="14"/>
        <v>0.22470000000000001</v>
      </c>
      <c r="AJ158" s="431"/>
      <c r="AL158" s="439"/>
      <c r="AM158" s="336">
        <f t="shared" ca="1" si="46"/>
        <v>7522.8</v>
      </c>
      <c r="AN158" s="470" cm="1">
        <f t="array" aca="1" ref="AN158" ca="1">ROUND(ORÇAMENTO.CustoUnitario*(1+$AH158),2)</f>
        <v>0</v>
      </c>
    </row>
    <row r="159" spans="1:40" ht="51" x14ac:dyDescent="0.2">
      <c r="A159" t="str">
        <f t="shared" si="1"/>
        <v>S</v>
      </c>
      <c r="B159">
        <f t="shared" ca="1" si="2"/>
        <v>3</v>
      </c>
      <c r="C159" t="str">
        <f t="shared" ca="1" si="3"/>
        <v>S</v>
      </c>
      <c r="D159">
        <f t="shared" ca="1" si="4"/>
        <v>0</v>
      </c>
      <c r="E159">
        <f ca="1">IF($C159=1,OFFSET(E159,-1,0)+MAX(1,COUNTIF(QCI!$A$13:$A$24,OFFSET(ORÇAMENTO!E159,-1,0))),OFFSET(E159,-1,0))</f>
        <v>1</v>
      </c>
      <c r="F159">
        <f t="shared" ca="1" si="5"/>
        <v>8</v>
      </c>
      <c r="G159">
        <f t="shared" ca="1" si="6"/>
        <v>4</v>
      </c>
      <c r="H159">
        <f t="shared" ca="1" si="7"/>
        <v>0</v>
      </c>
      <c r="I159">
        <f t="shared" ca="1" si="8"/>
        <v>1</v>
      </c>
      <c r="J159">
        <f t="shared" ca="1" si="47"/>
        <v>0</v>
      </c>
      <c r="K159">
        <f ca="1">IF(OR($C159="S",$C159=0),0,MATCH(OFFSET($D159,0,$C159)+IF($C159&lt;&gt;1,1,COUNTIF(QCI!$A$13:$A$24,ORÇAMENTO!E159)),OFFSET($D159,1,$C159,ROW($C$240)-ROW($C159)),0))</f>
        <v>0</v>
      </c>
      <c r="L159" s="114" t="str">
        <f t="shared" ca="1" si="10"/>
        <v>F</v>
      </c>
      <c r="M159" s="115" t="s">
        <v>705</v>
      </c>
      <c r="N159" s="116" t="str">
        <f t="shared" ca="1" si="11"/>
        <v>Serviço</v>
      </c>
      <c r="O159" s="117" t="str">
        <f t="shared" ca="1" si="12"/>
        <v>1.8.4.0.1.</v>
      </c>
      <c r="P159" s="118" t="s">
        <v>750</v>
      </c>
      <c r="Q159" s="119" t="s">
        <v>1131</v>
      </c>
      <c r="R159" s="120" t="str" cm="1">
        <f t="array" aca="1" ref="R159" ca="1">IF($C159="S",REFERENCIA.Descricao,"(digite a descrição aqui)")</f>
        <v>KIT CAVALETE PARA MEDIÇÃO DE ÁGUA - ENTRADA INDIVIDUALIZADA, EM PVC 25 MM (3/4"), PARA 1 MEDIDOR - FORNECIMENTO E INSTALAÇÃO (EXCLUSIVE HIDRÔMETRO). AF_03/2024</v>
      </c>
      <c r="S159" s="121" t="str" cm="1">
        <f t="array" aca="1" ref="S159" ca="1">REFERENCIA.Unidade</f>
        <v>UN</v>
      </c>
      <c r="T159" s="122">
        <f ca="1">OFFSET(CÁLCULO!H$15,ROW($T159)-ROW(T$15),0)</f>
        <v>30</v>
      </c>
      <c r="U159" s="123">
        <f ca="1">AG159</f>
        <v>204.75</v>
      </c>
      <c r="V159" s="124" t="s">
        <v>663</v>
      </c>
      <c r="W159" s="122" cm="1">
        <f t="array" aca="1" ref="W159" ca="1">IF($C159="S",ROUND(IF(TIPOORCAMENTO="Proposto",ORÇAMENTO.CustoUnitario*(1+$AH159),ORÇAMENTO.PrecoUnitarioLicitado),15-13*$AF$10),0)</f>
        <v>250.76</v>
      </c>
      <c r="X159" s="125" cm="1">
        <f t="array" aca="1" ref="X159" ca="1">IF($C159="S",IF(OR(Import.TipoArredondamento&lt;&gt;"TransfereGOV",ACOMPANHAMENTO="BM"),VTOTAL1,SUM(OFFSET(CÁLCULO!$AA$15,ROW($X159)-ROW($X$15),1):OFFSET(CÁLCULO!$AL$15,ROW($X159)-ROW($X$15),-1))),IF($C159=0,0,ROUND(SomaAgrup,15-13*$AF$11)))</f>
        <v>7522.8</v>
      </c>
      <c r="Y159" s="126" t="s">
        <v>751</v>
      </c>
      <c r="Z159" t="str">
        <f t="shared" ca="1" si="13"/>
        <v>RA</v>
      </c>
      <c r="AA159" s="127" cm="1">
        <f t="array" aca="1" ref="AA159" ca="1">IF($C159="S",IF($Z159="CP",$X159,IF($Z159="RA",(($X159)*QCI!$AA$3),0)),SomaAgrup)</f>
        <v>3516.3655865171213</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SINAPI 97741</v>
      </c>
      <c r="AF159" s="12"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15392</v>
      </c>
      <c r="AG159" s="428" cm="1">
        <f t="array" aca="1" ref="AG159" ca="1">ROUND(IF(DESONERACAO="sim",REFERENCIA.Desonerado,REFERENCIA.NaoDesonerado),2)</f>
        <v>204.75</v>
      </c>
      <c r="AH159" s="429">
        <f t="shared" ca="1" si="14"/>
        <v>0.22470000000000001</v>
      </c>
      <c r="AJ159" s="431">
        <v>30</v>
      </c>
      <c r="AL159" s="439"/>
      <c r="AM159" s="336">
        <f t="shared" ca="1" si="46"/>
        <v>7522.8</v>
      </c>
      <c r="AN159" s="470" cm="1">
        <f t="array" aca="1" ref="AN159" ca="1">ROUND(ORÇAMENTO.CustoUnitario*(1+$AH159),2)</f>
        <v>250.76</v>
      </c>
    </row>
    <row r="160" spans="1:40" x14ac:dyDescent="0.2">
      <c r="A160">
        <f t="shared" si="1"/>
        <v>3</v>
      </c>
      <c r="B160">
        <f t="shared" ca="1" si="2"/>
        <v>3</v>
      </c>
      <c r="C160">
        <f t="shared" ca="1" si="3"/>
        <v>3</v>
      </c>
      <c r="D160">
        <f t="shared" ca="1" si="4"/>
        <v>2</v>
      </c>
      <c r="E160">
        <f ca="1">IF($C160=1,OFFSET(E160,-1,0)+MAX(1,COUNTIF(QCI!$A$13:$A$24,OFFSET(ORÇAMENTO!E160,-1,0))),OFFSET(E160,-1,0))</f>
        <v>1</v>
      </c>
      <c r="F160">
        <f t="shared" ca="1" si="5"/>
        <v>8</v>
      </c>
      <c r="G160">
        <f t="shared" ca="1" si="6"/>
        <v>5</v>
      </c>
      <c r="H160">
        <f t="shared" ca="1" si="7"/>
        <v>0</v>
      </c>
      <c r="I160">
        <f t="shared" ca="1" si="8"/>
        <v>0</v>
      </c>
      <c r="J160">
        <f t="shared" ca="1" si="47"/>
        <v>15</v>
      </c>
      <c r="K160">
        <f ca="1">IF(OR($C160="S",$C160=0),0,MATCH(OFFSET($D160,0,$C160)+IF($C160&lt;&gt;1,1,COUNTIF(QCI!$A$13:$A$24,ORÇAMENTO!E160)),OFFSET($D160,1,$C160,ROW($C$240)-ROW($C160)),0))</f>
        <v>2</v>
      </c>
      <c r="L160" s="114" t="str">
        <f t="shared" ca="1" si="10"/>
        <v>F</v>
      </c>
      <c r="M160" s="115" t="s">
        <v>703</v>
      </c>
      <c r="N160" s="116" t="str">
        <f t="shared" ca="1" si="11"/>
        <v>Nível 3</v>
      </c>
      <c r="O160" s="117" t="str">
        <f t="shared" ca="1" si="12"/>
        <v>1.8.5.</v>
      </c>
      <c r="P160" s="118" t="s">
        <v>750</v>
      </c>
      <c r="Q160" s="119"/>
      <c r="R160" s="120" t="s">
        <v>1129</v>
      </c>
      <c r="S160" s="121" t="str" cm="1">
        <f t="array" aca="1" ref="S160" ca="1">REFERENCIA.Unidade</f>
        <v>-</v>
      </c>
      <c r="T160" s="122">
        <f ca="1">OFFSET(CÁLCULO!H$15,ROW($T160)-ROW(T$15),0)</f>
        <v>0</v>
      </c>
      <c r="U160" s="123"/>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IF($C160="S",IF(OR(Import.TipoArredondamento&lt;&gt;"TransfereGOV",ACOMPANHAMENTO="BM"),VTOTAL1,SUM(OFFSET(CÁLCULO!$AA$15,ROW($X160)-ROW($X$15),1):OFFSET(CÁLCULO!$AL$15,ROW($X160)-ROW($X$15),-1))),IF($C160=0,0,ROUND(SomaAgrup,15-13*$AF$11)))</f>
        <v>34516.800000000003</v>
      </c>
      <c r="Y160" s="126" t="s">
        <v>751</v>
      </c>
      <c r="Z160" t="str">
        <f t="shared" ca="1" si="13"/>
        <v/>
      </c>
      <c r="AA160" s="127" cm="1">
        <f t="array" aca="1" ref="AA160" ca="1">IF($C160="S",IF($Z160="CP",$X160,IF($Z160="RA",(($X160)*QCI!$AA$3),0)),SomaAgrup)</f>
        <v>16134.110660484685</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cm="1">
        <f t="array" aca="1" ref="AE160" ca="1">IF(AND($C160="S",ORÇAMENTO.CodBarra&lt;&gt;""),IF(ORÇAMENTO.Fonte="",ORÇAMENTO.CodBarra,CONCATENATE(ORÇAMENTO.Fonte," ",ORÇAMENTO.CodBarra)))</f>
        <v>0</v>
      </c>
      <c r="AF160" s="12"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(Sem Código)</v>
      </c>
      <c r="AG160" s="428" cm="1">
        <f t="array" aca="1" ref="AG160" ca="1">ROUND(IF(DESONERACAO="sim",REFERENCIA.Desonerado,REFERENCIA.NaoDesonerado),2)</f>
        <v>0</v>
      </c>
      <c r="AH160" s="429">
        <f t="shared" ca="1" si="14"/>
        <v>0.22470000000000001</v>
      </c>
      <c r="AJ160" s="431"/>
      <c r="AL160" s="439"/>
      <c r="AM160" s="336">
        <f t="shared" ca="1" si="46"/>
        <v>34516.800000000003</v>
      </c>
      <c r="AN160" s="470" cm="1">
        <f t="array" aca="1" ref="AN160" ca="1">ROUND(ORÇAMENTO.CustoUnitario*(1+$AH160),2)</f>
        <v>0</v>
      </c>
    </row>
    <row r="161" spans="1:40" ht="38.25" x14ac:dyDescent="0.2">
      <c r="A161" t="str">
        <f t="shared" si="1"/>
        <v>S</v>
      </c>
      <c r="B161">
        <f t="shared" ca="1" si="2"/>
        <v>3</v>
      </c>
      <c r="C161" t="str">
        <f t="shared" ca="1" si="3"/>
        <v>S</v>
      </c>
      <c r="D161">
        <f t="shared" ca="1" si="4"/>
        <v>0</v>
      </c>
      <c r="E161">
        <f ca="1">IF($C161=1,OFFSET(E161,-1,0)+MAX(1,COUNTIF(QCI!$A$13:$A$24,OFFSET(ORÇAMENTO!E161,-1,0))),OFFSET(E161,-1,0))</f>
        <v>1</v>
      </c>
      <c r="F161">
        <f t="shared" ca="1" si="5"/>
        <v>8</v>
      </c>
      <c r="G161">
        <f t="shared" ca="1" si="6"/>
        <v>5</v>
      </c>
      <c r="H161">
        <f t="shared" ca="1" si="7"/>
        <v>0</v>
      </c>
      <c r="I161">
        <f t="shared" ca="1" si="8"/>
        <v>1</v>
      </c>
      <c r="J161">
        <f t="shared" ca="1" si="47"/>
        <v>0</v>
      </c>
      <c r="K161">
        <f ca="1">IF(OR($C161="S",$C161=0),0,MATCH(OFFSET($D161,0,$C161)+IF($C161&lt;&gt;1,1,COUNTIF(QCI!$A$13:$A$24,ORÇAMENTO!E161)),OFFSET($D161,1,$C161,ROW($C$240)-ROW($C161)),0))</f>
        <v>0</v>
      </c>
      <c r="L161" s="114" t="str">
        <f t="shared" ca="1" si="10"/>
        <v>F</v>
      </c>
      <c r="M161" s="115" t="s">
        <v>705</v>
      </c>
      <c r="N161" s="116" t="str">
        <f t="shared" ca="1" si="11"/>
        <v>Serviço</v>
      </c>
      <c r="O161" s="117" t="str">
        <f t="shared" ca="1" si="12"/>
        <v>1.8.5.0.1.</v>
      </c>
      <c r="P161" s="118" t="s">
        <v>1097</v>
      </c>
      <c r="Q161" s="119" t="s">
        <v>1132</v>
      </c>
      <c r="R161" s="120" t="str" cm="1">
        <f t="array" aca="1" ref="R161" ca="1">IF($C161="S",REFERENCIA.Descricao,"(digite a descrição aqui)")</f>
        <v>PONTO DE CONSUMO TERMINAL DE ÁGUA FRIA (SUBRAMAL) COM TUBULAÇÃO DE PVC, DN 25 MM, INSTALADO EM RAMAL DE ÁGUA, INCLUSOS RASGO E CHUMBAMENTO EM ALVENARIA. AF_12/2014</v>
      </c>
      <c r="S161" s="121" t="str" cm="1">
        <f t="array" aca="1" ref="S161" ca="1">REFERENCIA.Unidade</f>
        <v>UN</v>
      </c>
      <c r="T161" s="122">
        <f ca="1">OFFSET(CÁLCULO!H$15,ROW($T161)-ROW(T$15),0)</f>
        <v>180</v>
      </c>
      <c r="U161" s="123">
        <f ca="1">AG161</f>
        <v>156.58000000000001</v>
      </c>
      <c r="V161" s="124" t="s">
        <v>663</v>
      </c>
      <c r="W161" s="122" cm="1">
        <f t="array" aca="1" ref="W161" ca="1">IF($C161="S",ROUND(IF(TIPOORCAMENTO="Proposto",ORÇAMENTO.CustoUnitario*(1+$AH161),ORÇAMENTO.PrecoUnitarioLicitado),15-13*$AF$10),0)</f>
        <v>191.76</v>
      </c>
      <c r="X161" s="125" cm="1">
        <f t="array" aca="1" ref="X161" ca="1">IF($C161="S",IF(OR(Import.TipoArredondamento&lt;&gt;"TransfereGOV",ACOMPANHAMENTO="BM"),VTOTAL1,SUM(OFFSET(CÁLCULO!$AA$15,ROW($X161)-ROW($X$15),1):OFFSET(CÁLCULO!$AL$15,ROW($X161)-ROW($X$15),-1))),IF($C161=0,0,ROUND(SomaAgrup,15-13*$AF$11)))</f>
        <v>34516.800000000003</v>
      </c>
      <c r="Y161" s="126" t="s">
        <v>751</v>
      </c>
      <c r="Z161" t="str">
        <f t="shared" ca="1" si="13"/>
        <v>RA</v>
      </c>
      <c r="AA161" s="127" cm="1">
        <f t="array" aca="1" ref="AA161" ca="1">IF($C161="S",IF($Z161="CP",$X161,IF($Z161="RA",(($X161)*QCI!$AA$3),0)),SomaAgrup)</f>
        <v>16134.110660484685</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str" cm="1">
        <f t="array" aca="1" ref="AE161" ca="1">IF(AND($C161="S",ORÇAMENTO.CodBarra&lt;&gt;""),IF(ORÇAMENTO.Fonte="",ORÇAMENTO.CodBarra,CONCATENATE(ORÇAMENTO.Fonte," ",ORÇAMENTO.CodBarra)))</f>
        <v>COMPOSIÇÃO 001</v>
      </c>
      <c r="AF161" s="12"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3</v>
      </c>
      <c r="AG161" s="428" cm="1">
        <f t="array" aca="1" ref="AG161" ca="1">ROUND(IF(DESONERACAO="sim",REFERENCIA.Desonerado,REFERENCIA.NaoDesonerado),2)</f>
        <v>156.58000000000001</v>
      </c>
      <c r="AH161" s="429">
        <f t="shared" ca="1" si="14"/>
        <v>0.22470000000000001</v>
      </c>
      <c r="AJ161" s="431">
        <v>180</v>
      </c>
      <c r="AL161" s="439"/>
      <c r="AM161" s="336">
        <f t="shared" ca="1" si="46"/>
        <v>34516.800000000003</v>
      </c>
      <c r="AN161" s="470" cm="1">
        <f t="array" aca="1" ref="AN161" ca="1">ROUND(ORÇAMENTO.CustoUnitario*(1+$AH161),2)</f>
        <v>191.76</v>
      </c>
    </row>
    <row r="162" spans="1:40" x14ac:dyDescent="0.2">
      <c r="A162">
        <f t="shared" si="1"/>
        <v>3</v>
      </c>
      <c r="B162">
        <f t="shared" ca="1" si="2"/>
        <v>3</v>
      </c>
      <c r="C162">
        <f t="shared" ca="1" si="3"/>
        <v>3</v>
      </c>
      <c r="D162">
        <f t="shared" ca="1" si="4"/>
        <v>4</v>
      </c>
      <c r="E162">
        <f ca="1">IF($C162=1,OFFSET(E162,-1,0)+MAX(1,COUNTIF(QCI!$A$13:$A$24,OFFSET(ORÇAMENTO!E162,-1,0))),OFFSET(E162,-1,0))</f>
        <v>1</v>
      </c>
      <c r="F162">
        <f t="shared" ca="1" si="5"/>
        <v>8</v>
      </c>
      <c r="G162">
        <f t="shared" ca="1" si="6"/>
        <v>6</v>
      </c>
      <c r="H162">
        <f t="shared" ca="1" si="7"/>
        <v>0</v>
      </c>
      <c r="I162">
        <f t="shared" ca="1" si="8"/>
        <v>0</v>
      </c>
      <c r="J162">
        <f t="shared" ca="1" si="47"/>
        <v>13</v>
      </c>
      <c r="K162">
        <f ca="1">IF(OR($C162="S",$C162=0),0,MATCH(OFFSET($D162,0,$C162)+IF($C162&lt;&gt;1,1,COUNTIF(QCI!$A$13:$A$24,ORÇAMENTO!E162)),OFFSET($D162,1,$C162,ROW($C$240)-ROW($C162)),0))</f>
        <v>4</v>
      </c>
      <c r="L162" s="114" t="str">
        <f t="shared" ca="1" si="10"/>
        <v>F</v>
      </c>
      <c r="M162" s="115" t="s">
        <v>703</v>
      </c>
      <c r="N162" s="116" t="str">
        <f t="shared" ca="1" si="11"/>
        <v>Nível 3</v>
      </c>
      <c r="O162" s="117" t="str">
        <f t="shared" ca="1" si="12"/>
        <v>1.8.6.</v>
      </c>
      <c r="P162" s="118" t="s">
        <v>750</v>
      </c>
      <c r="Q162" s="119"/>
      <c r="R162" s="120" t="s">
        <v>1049</v>
      </c>
      <c r="S162" s="121" t="str" cm="1">
        <f t="array" aca="1" ref="S162" ca="1">REFERENCIA.Unidade</f>
        <v>-</v>
      </c>
      <c r="T162" s="122">
        <f ca="1">OFFSET(CÁLCULO!H$15,ROW($T162)-ROW(T$15),0)</f>
        <v>0</v>
      </c>
      <c r="U162" s="123"/>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IF($C162="S",IF(OR(Import.TipoArredondamento&lt;&gt;"TransfereGOV",ACOMPANHAMENTO="BM"),VTOTAL1,SUM(OFFSET(CÁLCULO!$AA$15,ROW($X162)-ROW($X$15),1):OFFSET(CÁLCULO!$AL$15,ROW($X162)-ROW($X$15),-1))),IF($C162=0,0,ROUND(SomaAgrup,15-13*$AF$11)))</f>
        <v>15266.7</v>
      </c>
      <c r="Y162" s="126" t="s">
        <v>751</v>
      </c>
      <c r="Z162" t="str">
        <f t="shared" ca="1" si="13"/>
        <v/>
      </c>
      <c r="AA162" s="127" cm="1">
        <f t="array" aca="1" ref="AA162" ca="1">IF($C162="S",IF($Z162="CP",$X162,IF($Z162="RA",(($X162)*QCI!$AA$3),0)),SomaAgrup)</f>
        <v>7136.0794517574495</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b" cm="1">
        <f t="array" aca="1" ref="AE162" ca="1">IF(AND($C162="S",ORÇAMENTO.CodBarra&lt;&gt;""),IF(ORÇAMENTO.Fonte="",ORÇAMENTO.CodBarra,CONCATENATE(ORÇAMENTO.Fonte," ",ORÇAMENTO.CodBarra)))</f>
        <v>0</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(Sem Código)</v>
      </c>
      <c r="AG162" s="428" cm="1">
        <f t="array" aca="1" ref="AG162" ca="1">ROUND(IF(DESONERACAO="sim",REFERENCIA.Desonerado,REFERENCIA.NaoDesonerado),2)</f>
        <v>0</v>
      </c>
      <c r="AH162" s="429">
        <f t="shared" ca="1" si="14"/>
        <v>0.22470000000000001</v>
      </c>
      <c r="AJ162" s="431"/>
      <c r="AL162" s="439"/>
      <c r="AM162" s="336">
        <f t="shared" ca="1" si="46"/>
        <v>15266.7</v>
      </c>
      <c r="AN162" s="470" cm="1">
        <f t="array" aca="1" ref="AN162" ca="1">ROUND(ORÇAMENTO.CustoUnitario*(1+$AH162),2)</f>
        <v>0</v>
      </c>
    </row>
    <row r="163" spans="1:40" ht="25.5" x14ac:dyDescent="0.2">
      <c r="A163" t="str">
        <f t="shared" si="1"/>
        <v>S</v>
      </c>
      <c r="B163">
        <f t="shared" ca="1" si="2"/>
        <v>3</v>
      </c>
      <c r="C163" t="str">
        <f t="shared" ca="1" si="3"/>
        <v>S</v>
      </c>
      <c r="D163">
        <f t="shared" ca="1" si="4"/>
        <v>0</v>
      </c>
      <c r="E163">
        <f ca="1">IF($C163=1,OFFSET(E163,-1,0)+MAX(1,COUNTIF(QCI!$A$13:$A$24,OFFSET(ORÇAMENTO!E163,-1,0))),OFFSET(E163,-1,0))</f>
        <v>1</v>
      </c>
      <c r="F163">
        <f t="shared" ca="1" si="5"/>
        <v>8</v>
      </c>
      <c r="G163">
        <f t="shared" ca="1" si="6"/>
        <v>6</v>
      </c>
      <c r="H163">
        <f t="shared" ca="1" si="7"/>
        <v>0</v>
      </c>
      <c r="I163">
        <f t="shared" ca="1" si="8"/>
        <v>1</v>
      </c>
      <c r="J163">
        <f t="shared" ca="1" si="47"/>
        <v>0</v>
      </c>
      <c r="K163">
        <f ca="1">IF(OR($C163="S",$C163=0),0,MATCH(OFFSET($D163,0,$C163)+IF($C163&lt;&gt;1,1,COUNTIF(QCI!$A$13:$A$24,ORÇAMENTO!E163)),OFFSET($D163,1,$C163,ROW($C$240)-ROW($C163)),0))</f>
        <v>0</v>
      </c>
      <c r="L163" s="114" t="str">
        <f t="shared" ca="1" si="10"/>
        <v>F</v>
      </c>
      <c r="M163" s="115" t="s">
        <v>705</v>
      </c>
      <c r="N163" s="116" t="str">
        <f t="shared" ca="1" si="11"/>
        <v>Serviço</v>
      </c>
      <c r="O163" s="117" t="str">
        <f t="shared" ca="1" si="12"/>
        <v>1.8.6.0.1.</v>
      </c>
      <c r="P163" s="118" t="s">
        <v>750</v>
      </c>
      <c r="Q163" s="119" t="s">
        <v>1135</v>
      </c>
      <c r="R163" s="120" t="str" cm="1">
        <f t="array" aca="1" ref="R163" ca="1">IF($C163="S",REFERENCIA.Descricao,"(digite a descrição aqui)")</f>
        <v>REGISTRO DE ESFERA, PVC, SOLDÁVEL, COM VOLANTE, DN 25 MM - FORNECIMENTO E INSTALAÇÃO. AF_08/2021</v>
      </c>
      <c r="S163" s="121" t="str" cm="1">
        <f t="array" aca="1" ref="S163" ca="1">REFERENCIA.Unidade</f>
        <v>UN</v>
      </c>
      <c r="T163" s="122">
        <f ca="1">OFFSET(CÁLCULO!H$15,ROW($T163)-ROW(T$15),0)</f>
        <v>90</v>
      </c>
      <c r="U163" s="123">
        <f t="shared" ref="U163:U165" ca="1" si="50">AG163</f>
        <v>42.31</v>
      </c>
      <c r="V163" s="124" t="s">
        <v>663</v>
      </c>
      <c r="W163" s="122" cm="1">
        <f t="array" aca="1" ref="W163" ca="1">IF($C163="S",ROUND(IF(TIPOORCAMENTO="Proposto",ORÇAMENTO.CustoUnitario*(1+$AH163),ORÇAMENTO.PrecoUnitarioLicitado),15-13*$AF$10),0)</f>
        <v>51.82</v>
      </c>
      <c r="X163" s="125" cm="1">
        <f t="array" aca="1" ref="X163" ca="1">IF($C163="S",IF(OR(Import.TipoArredondamento&lt;&gt;"TransfereGOV",ACOMPANHAMENTO="BM"),VTOTAL1,SUM(OFFSET(CÁLCULO!$AA$15,ROW($X163)-ROW($X$15),1):OFFSET(CÁLCULO!$AL$15,ROW($X163)-ROW($X$15),-1))),IF($C163=0,0,ROUND(SomaAgrup,15-13*$AF$11)))</f>
        <v>4663.8</v>
      </c>
      <c r="Y163" s="126" t="s">
        <v>751</v>
      </c>
      <c r="Z163" t="str">
        <f t="shared" ca="1" si="13"/>
        <v>RA</v>
      </c>
      <c r="AA163" s="127" cm="1">
        <f t="array" aca="1" ref="AA163" ca="1">IF($C163="S",IF($Z163="CP",$X163,IF($Z163="RA",(($X163)*QCI!$AA$3),0)),SomaAgrup)</f>
        <v>2179.9896079117552</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str" cm="1">
        <f t="array" aca="1" ref="AE163" ca="1">IF(AND($C163="S",ORÇAMENTO.CodBarra&lt;&gt;""),IF(ORÇAMENTO.Fonte="",ORÇAMENTO.CodBarra,CONCATENATE(ORÇAMENTO.Fonte," ",ORÇAMENTO.CodBarra)))</f>
        <v>SINAPI 94489</v>
      </c>
      <c r="AF163" s="12"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16167</v>
      </c>
      <c r="AG163" s="428" cm="1">
        <f t="array" aca="1" ref="AG163" ca="1">ROUND(IF(DESONERACAO="sim",REFERENCIA.Desonerado,REFERENCIA.NaoDesonerado),2)</f>
        <v>42.31</v>
      </c>
      <c r="AH163" s="429">
        <f t="shared" ca="1" si="14"/>
        <v>0.22470000000000001</v>
      </c>
      <c r="AJ163" s="431">
        <v>90</v>
      </c>
      <c r="AL163" s="439"/>
      <c r="AM163" s="336">
        <f t="shared" ca="1" si="46"/>
        <v>4663.8</v>
      </c>
      <c r="AN163" s="470" cm="1">
        <f t="array" aca="1" ref="AN163" ca="1">ROUND(ORÇAMENTO.CustoUnitario*(1+$AH163),2)</f>
        <v>51.82</v>
      </c>
    </row>
    <row r="164" spans="1:40" ht="38.25" x14ac:dyDescent="0.2">
      <c r="A164" t="str">
        <f t="shared" si="1"/>
        <v>S</v>
      </c>
      <c r="B164">
        <f t="shared" ca="1" si="2"/>
        <v>3</v>
      </c>
      <c r="C164" t="str">
        <f t="shared" ca="1" si="3"/>
        <v>S</v>
      </c>
      <c r="D164">
        <f t="shared" ca="1" si="4"/>
        <v>0</v>
      </c>
      <c r="E164">
        <f ca="1">IF($C164=1,OFFSET(E164,-1,0)+MAX(1,COUNTIF(QCI!$A$13:$A$24,OFFSET(ORÇAMENTO!E164,-1,0))),OFFSET(E164,-1,0))</f>
        <v>1</v>
      </c>
      <c r="F164">
        <f t="shared" ca="1" si="5"/>
        <v>8</v>
      </c>
      <c r="G164">
        <f t="shared" ca="1" si="6"/>
        <v>6</v>
      </c>
      <c r="H164">
        <f t="shared" ca="1" si="7"/>
        <v>0</v>
      </c>
      <c r="I164">
        <f t="shared" ca="1" si="8"/>
        <v>2</v>
      </c>
      <c r="J164">
        <f t="shared" ca="1" si="47"/>
        <v>0</v>
      </c>
      <c r="K164">
        <f ca="1">IF(OR($C164="S",$C164=0),0,MATCH(OFFSET($D164,0,$C164)+IF($C164&lt;&gt;1,1,COUNTIF(QCI!$A$13:$A$24,ORÇAMENTO!E164)),OFFSET($D164,1,$C164,ROW($C$240)-ROW($C164)),0))</f>
        <v>0</v>
      </c>
      <c r="L164" s="114" t="str">
        <f t="shared" ca="1" si="10"/>
        <v>F</v>
      </c>
      <c r="M164" s="115" t="s">
        <v>705</v>
      </c>
      <c r="N164" s="116" t="str">
        <f t="shared" ca="1" si="11"/>
        <v>Serviço</v>
      </c>
      <c r="O164" s="117" t="str">
        <f t="shared" ca="1" si="12"/>
        <v>1.8.6.0.2.</v>
      </c>
      <c r="P164" s="118" t="s">
        <v>750</v>
      </c>
      <c r="Q164" s="119" t="s">
        <v>1136</v>
      </c>
      <c r="R164" s="120" t="str" cm="1">
        <f t="array" aca="1" ref="R164" ca="1">IF($C164="S",REFERENCIA.Descricao,"(digite a descrição aqui)")</f>
        <v>REGISTRO DE PRESSÃO BRUTO, LATÃO, ROSCÁVEL, 3/4", COM ACABAMENTO E CANOPLA CROMADOS - FORNECIMENTO E INSTALAÇÃO. AF_08/2021</v>
      </c>
      <c r="S164" s="121" t="str" cm="1">
        <f t="array" aca="1" ref="S164" ca="1">REFERENCIA.Unidade</f>
        <v>UN</v>
      </c>
      <c r="T164" s="122">
        <f ca="1">OFFSET(CÁLCULO!H$15,ROW($T164)-ROW(T$15),0)</f>
        <v>30</v>
      </c>
      <c r="U164" s="123">
        <f t="shared" ca="1" si="50"/>
        <v>121.75</v>
      </c>
      <c r="V164" s="124" t="s">
        <v>663</v>
      </c>
      <c r="W164" s="122" cm="1">
        <f t="array" aca="1" ref="W164" ca="1">IF($C164="S",ROUND(IF(TIPOORCAMENTO="Proposto",ORÇAMENTO.CustoUnitario*(1+$AH164),ORÇAMENTO.PrecoUnitarioLicitado),15-13*$AF$10),0)</f>
        <v>149.11000000000001</v>
      </c>
      <c r="X164" s="125" cm="1">
        <f t="array" aca="1" ref="X164" ca="1">IF($C164="S",IF(OR(Import.TipoArredondamento&lt;&gt;"TransfereGOV",ACOMPANHAMENTO="BM"),VTOTAL1,SUM(OFFSET(CÁLCULO!$AA$15,ROW($X164)-ROW($X$15),1):OFFSET(CÁLCULO!$AL$15,ROW($X164)-ROW($X$15),-1))),IF($C164=0,0,ROUND(SomaAgrup,15-13*$AF$11)))</f>
        <v>4473.3</v>
      </c>
      <c r="Y164" s="126" t="s">
        <v>751</v>
      </c>
      <c r="Z164" t="str">
        <f t="shared" ca="1" si="13"/>
        <v>RA</v>
      </c>
      <c r="AA164" s="127" cm="1">
        <f t="array" aca="1" ref="AA164" ca="1">IF($C164="S",IF($Z164="CP",$X164,IF($Z164="RA",(($X164)*QCI!$AA$3),0)),SomaAgrup)</f>
        <v>2090.9446187811773</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str" cm="1">
        <f t="array" aca="1" ref="AE164" ca="1">IF(AND($C164="S",ORÇAMENTO.CodBarra&lt;&gt;""),IF(ORÇAMENTO.Fonte="",ORÇAMENTO.CodBarra,CONCATENATE(ORÇAMENTO.Fonte," ",ORÇAMENTO.CodBarra)))</f>
        <v>SINAPI 89985</v>
      </c>
      <c r="AF164" s="12"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16188</v>
      </c>
      <c r="AG164" s="428" cm="1">
        <f t="array" aca="1" ref="AG164" ca="1">ROUND(IF(DESONERACAO="sim",REFERENCIA.Desonerado,REFERENCIA.NaoDesonerado),2)</f>
        <v>121.75</v>
      </c>
      <c r="AH164" s="429">
        <f t="shared" ca="1" si="14"/>
        <v>0.22470000000000001</v>
      </c>
      <c r="AJ164" s="431">
        <v>30</v>
      </c>
      <c r="AL164" s="439"/>
      <c r="AM164" s="336">
        <f t="shared" ca="1" si="46"/>
        <v>4473.3</v>
      </c>
      <c r="AN164" s="470" cm="1">
        <f t="array" aca="1" ref="AN164" ca="1">ROUND(ORÇAMENTO.CustoUnitario*(1+$AH164),2)</f>
        <v>149.11000000000001</v>
      </c>
    </row>
    <row r="165" spans="1:40" ht="25.5" x14ac:dyDescent="0.2">
      <c r="A165" t="str">
        <f t="shared" si="1"/>
        <v>S</v>
      </c>
      <c r="B165">
        <f t="shared" ca="1" si="2"/>
        <v>3</v>
      </c>
      <c r="C165" t="str">
        <f t="shared" ca="1" si="3"/>
        <v>S</v>
      </c>
      <c r="D165">
        <f t="shared" ca="1" si="4"/>
        <v>0</v>
      </c>
      <c r="E165">
        <f ca="1">IF($C165=1,OFFSET(E165,-1,0)+MAX(1,COUNTIF(QCI!$A$13:$A$24,OFFSET(ORÇAMENTO!E165,-1,0))),OFFSET(E165,-1,0))</f>
        <v>1</v>
      </c>
      <c r="F165">
        <f t="shared" ca="1" si="5"/>
        <v>8</v>
      </c>
      <c r="G165">
        <f t="shared" ca="1" si="6"/>
        <v>6</v>
      </c>
      <c r="H165">
        <f t="shared" ca="1" si="7"/>
        <v>0</v>
      </c>
      <c r="I165">
        <f t="shared" ca="1" si="8"/>
        <v>3</v>
      </c>
      <c r="J165">
        <f t="shared" ca="1" si="47"/>
        <v>0</v>
      </c>
      <c r="K165">
        <f ca="1">IF(OR($C165="S",$C165=0),0,MATCH(OFFSET($D165,0,$C165)+IF($C165&lt;&gt;1,1,COUNTIF(QCI!$A$13:$A$24,ORÇAMENTO!E165)),OFFSET($D165,1,$C165,ROW($C$240)-ROW($C165)),0))</f>
        <v>0</v>
      </c>
      <c r="L165" s="114" t="str">
        <f t="shared" ca="1" si="10"/>
        <v>F</v>
      </c>
      <c r="M165" s="115" t="s">
        <v>705</v>
      </c>
      <c r="N165" s="116" t="str">
        <f t="shared" ca="1" si="11"/>
        <v>Serviço</v>
      </c>
      <c r="O165" s="117" t="str">
        <f t="shared" ca="1" si="12"/>
        <v>1.8.6.0.3.</v>
      </c>
      <c r="P165" s="118" t="s">
        <v>750</v>
      </c>
      <c r="Q165" s="119" t="s">
        <v>1137</v>
      </c>
      <c r="R165" s="120" t="str" cm="1">
        <f t="array" aca="1" ref="R165" ca="1">IF($C165="S",REFERENCIA.Descricao,"(digite a descrição aqui)")</f>
        <v>REGISTRO DE GAVETA BRUTO, LATÃO, ROSCÁVEL, 1" - FORNECIMENTO E INSTALAÇÃO. AF_08/2021</v>
      </c>
      <c r="S165" s="121" t="str" cm="1">
        <f t="array" aca="1" ref="S165" ca="1">REFERENCIA.Unidade</f>
        <v>UN</v>
      </c>
      <c r="T165" s="122">
        <f ca="1">OFFSET(CÁLCULO!H$15,ROW($T165)-ROW(T$15),0)</f>
        <v>60</v>
      </c>
      <c r="U165" s="123">
        <f t="shared" ca="1" si="50"/>
        <v>83.42</v>
      </c>
      <c r="V165" s="124" t="s">
        <v>663</v>
      </c>
      <c r="W165" s="122" cm="1">
        <f t="array" aca="1" ref="W165" ca="1">IF($C165="S",ROUND(IF(TIPOORCAMENTO="Proposto",ORÇAMENTO.CustoUnitario*(1+$AH165),ORÇAMENTO.PrecoUnitarioLicitado),15-13*$AF$10),0)</f>
        <v>102.16</v>
      </c>
      <c r="X165" s="125" cm="1">
        <f t="array" aca="1" ref="X165" ca="1">IF($C165="S",IF(OR(Import.TipoArredondamento&lt;&gt;"TransfereGOV",ACOMPANHAMENTO="BM"),VTOTAL1,SUM(OFFSET(CÁLCULO!$AA$15,ROW($X165)-ROW($X$15),1):OFFSET(CÁLCULO!$AL$15,ROW($X165)-ROW($X$15),-1))),IF($C165=0,0,ROUND(SomaAgrup,15-13*$AF$11)))</f>
        <v>6129.6</v>
      </c>
      <c r="Y165" s="126" t="s">
        <v>751</v>
      </c>
      <c r="Z165" t="str">
        <f t="shared" ca="1" si="13"/>
        <v>RA</v>
      </c>
      <c r="AA165" s="127" cm="1">
        <f t="array" aca="1" ref="AA165" ca="1">IF($C165="S",IF($Z165="CP",$X165,IF($Z165="RA",(($X165)*QCI!$AA$3),0)),SomaAgrup)</f>
        <v>2865.145225064517</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str" cm="1">
        <f t="array" aca="1" ref="AE165" ca="1">IF(AND($C165="S",ORÇAMENTO.CodBarra&lt;&gt;""),IF(ORÇAMENTO.Fonte="",ORÇAMENTO.CodBarra,CONCATENATE(ORÇAMENTO.Fonte," ",ORÇAMENTO.CodBarra)))</f>
        <v>SINAPI 94495</v>
      </c>
      <c r="AF165" s="12"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16176</v>
      </c>
      <c r="AG165" s="428" cm="1">
        <f t="array" aca="1" ref="AG165" ca="1">ROUND(IF(DESONERACAO="sim",REFERENCIA.Desonerado,REFERENCIA.NaoDesonerado),2)</f>
        <v>83.42</v>
      </c>
      <c r="AH165" s="429">
        <f t="shared" ca="1" si="14"/>
        <v>0.22470000000000001</v>
      </c>
      <c r="AJ165" s="431">
        <v>60</v>
      </c>
      <c r="AL165" s="439"/>
      <c r="AM165" s="336">
        <f t="shared" ca="1" si="46"/>
        <v>6129.6</v>
      </c>
      <c r="AN165" s="470" cm="1">
        <f t="array" aca="1" ref="AN165" ca="1">ROUND(ORÇAMENTO.CustoUnitario*(1+$AH165),2)</f>
        <v>102.16</v>
      </c>
    </row>
    <row r="166" spans="1:40" x14ac:dyDescent="0.2">
      <c r="A166">
        <f t="shared" si="1"/>
        <v>3</v>
      </c>
      <c r="B166">
        <f t="shared" ca="1" si="2"/>
        <v>3</v>
      </c>
      <c r="C166">
        <f t="shared" ca="1" si="3"/>
        <v>3</v>
      </c>
      <c r="D166">
        <f t="shared" ca="1" si="4"/>
        <v>6</v>
      </c>
      <c r="E166">
        <f ca="1">IF($C166=1,OFFSET(E166,-1,0)+MAX(1,COUNTIF(QCI!$A$13:$A$24,OFFSET(ORÇAMENTO!E166,-1,0))),OFFSET(E166,-1,0))</f>
        <v>1</v>
      </c>
      <c r="F166">
        <f t="shared" ca="1" si="5"/>
        <v>8</v>
      </c>
      <c r="G166">
        <f t="shared" ca="1" si="6"/>
        <v>7</v>
      </c>
      <c r="H166">
        <f t="shared" ca="1" si="7"/>
        <v>0</v>
      </c>
      <c r="I166">
        <f t="shared" ca="1" si="8"/>
        <v>0</v>
      </c>
      <c r="J166">
        <f t="shared" ca="1" si="47"/>
        <v>9</v>
      </c>
      <c r="K166">
        <f ca="1">IF(OR($C166="S",$C166=0),0,MATCH(OFFSET($D166,0,$C166)+IF($C166&lt;&gt;1,1,COUNTIF(QCI!$A$13:$A$24,ORÇAMENTO!E166)),OFFSET($D166,1,$C166,ROW($C$240)-ROW($C166)),0))</f>
        <v>6</v>
      </c>
      <c r="L166" s="114" t="str">
        <f t="shared" ca="1" si="10"/>
        <v>F</v>
      </c>
      <c r="M166" s="115" t="s">
        <v>703</v>
      </c>
      <c r="N166" s="116" t="str">
        <f t="shared" ca="1" si="11"/>
        <v>Nível 3</v>
      </c>
      <c r="O166" s="117" t="str">
        <f t="shared" ca="1" si="12"/>
        <v>1.8.7.</v>
      </c>
      <c r="P166" s="118" t="s">
        <v>750</v>
      </c>
      <c r="Q166" s="119"/>
      <c r="R166" s="120" t="s">
        <v>1050</v>
      </c>
      <c r="S166" s="121" t="str" cm="1">
        <f t="array" aca="1" ref="S166" ca="1">REFERENCIA.Unidade</f>
        <v>-</v>
      </c>
      <c r="T166" s="122">
        <f ca="1">OFFSET(CÁLCULO!H$15,ROW($T166)-ROW(T$15),0)</f>
        <v>0</v>
      </c>
      <c r="U166" s="123"/>
      <c r="V166" s="12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IF($C166="S",IF(OR(Import.TipoArredondamento&lt;&gt;"TransfereGOV",ACOMPANHAMENTO="BM"),VTOTAL1,SUM(OFFSET(CÁLCULO!$AA$15,ROW($X166)-ROW($X$15),1):OFFSET(CÁLCULO!$AL$15,ROW($X166)-ROW($X$15),-1))),IF($C166=0,0,ROUND(SomaAgrup,15-13*$AF$11)))</f>
        <v>97484.4</v>
      </c>
      <c r="Y166" s="126" t="s">
        <v>751</v>
      </c>
      <c r="Z166" t="str">
        <f t="shared" ca="1" si="13"/>
        <v/>
      </c>
      <c r="AA166" s="127" cm="1">
        <f t="array" aca="1" ref="AA166" ca="1">IF($C166="S",IF($Z166="CP",$X166,IF($Z166="RA",(($X166)*QCI!$AA$3),0)),SomaAgrup)</f>
        <v>45566.915162209501</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b" cm="1">
        <f t="array" aca="1" ref="AE166" ca="1">IF(AND($C166="S",ORÇAMENTO.CodBarra&lt;&gt;""),IF(ORÇAMENTO.Fonte="",ORÇAMENTO.CodBarra,CONCATENATE(ORÇAMENTO.Fonte," ",ORÇAMENTO.CodBarra)))</f>
        <v>0</v>
      </c>
      <c r="AF166" s="12"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(Sem Código)</v>
      </c>
      <c r="AG166" s="428" cm="1">
        <f t="array" aca="1" ref="AG166" ca="1">ROUND(IF(DESONERACAO="sim",REFERENCIA.Desonerado,REFERENCIA.NaoDesonerado),2)</f>
        <v>0</v>
      </c>
      <c r="AH166" s="429">
        <f t="shared" ca="1" si="14"/>
        <v>0.22470000000000001</v>
      </c>
      <c r="AJ166" s="431"/>
      <c r="AL166" s="439"/>
      <c r="AM166" s="336">
        <f t="shared" ca="1" si="46"/>
        <v>97484.4</v>
      </c>
      <c r="AN166" s="470" cm="1">
        <f t="array" aca="1" ref="AN166" ca="1">ROUND(ORÇAMENTO.CustoUnitario*(1+$AH166),2)</f>
        <v>0</v>
      </c>
    </row>
    <row r="167" spans="1:40" ht="38.25" x14ac:dyDescent="0.2">
      <c r="A167" t="str">
        <f t="shared" si="1"/>
        <v>S</v>
      </c>
      <c r="B167">
        <f t="shared" ca="1" si="2"/>
        <v>3</v>
      </c>
      <c r="C167" t="str">
        <f t="shared" ca="1" si="3"/>
        <v>S</v>
      </c>
      <c r="D167">
        <f t="shared" ca="1" si="4"/>
        <v>0</v>
      </c>
      <c r="E167">
        <f ca="1">IF($C167=1,OFFSET(E167,-1,0)+MAX(1,COUNTIF(QCI!$A$13:$A$24,OFFSET(ORÇAMENTO!E167,-1,0))),OFFSET(E167,-1,0))</f>
        <v>1</v>
      </c>
      <c r="F167">
        <f t="shared" ca="1" si="5"/>
        <v>8</v>
      </c>
      <c r="G167">
        <f t="shared" ca="1" si="6"/>
        <v>7</v>
      </c>
      <c r="H167">
        <f t="shared" ca="1" si="7"/>
        <v>0</v>
      </c>
      <c r="I167">
        <f t="shared" ca="1" si="8"/>
        <v>1</v>
      </c>
      <c r="J167">
        <f t="shared" ca="1" si="47"/>
        <v>0</v>
      </c>
      <c r="K167">
        <f ca="1">IF(OR($C167="S",$C167=0),0,MATCH(OFFSET($D167,0,$C167)+IF($C167&lt;&gt;1,1,COUNTIF(QCI!$A$13:$A$24,ORÇAMENTO!E167)),OFFSET($D167,1,$C167,ROW($C$240)-ROW($C167)),0))</f>
        <v>0</v>
      </c>
      <c r="L167" s="114" t="str">
        <f t="shared" ca="1" si="10"/>
        <v>F</v>
      </c>
      <c r="M167" s="115" t="s">
        <v>705</v>
      </c>
      <c r="N167" s="116" t="str">
        <f t="shared" ca="1" si="11"/>
        <v>Serviço</v>
      </c>
      <c r="O167" s="117" t="str">
        <f t="shared" ca="1" si="12"/>
        <v>1.8.7.0.1.</v>
      </c>
      <c r="P167" s="118" t="s">
        <v>750</v>
      </c>
      <c r="Q167" s="119" t="s">
        <v>1140</v>
      </c>
      <c r="R167" s="120" t="str" cm="1">
        <f t="array" aca="1" ref="R167" ca="1">IF($C167="S",REFERENCIA.Descricao,"(digite a descrição aqui)")</f>
        <v>BACIA SANITÁRIA COM CAIXA ACOPLADA LOUÇA BRANCA, INCLUSO ENGATE FLEXÍVEL EM PLÁSTICO BRANCO, 1/2" X 40 CM - FORNECIMENTO E INSTALAÇÃO. AF_02/2026</v>
      </c>
      <c r="S167" s="121" t="str" cm="1">
        <f t="array" aca="1" ref="S167" ca="1">REFERENCIA.Unidade</f>
        <v>UN</v>
      </c>
      <c r="T167" s="122">
        <f ca="1">OFFSET(CÁLCULO!H$15,ROW($T167)-ROW(T$15),0)</f>
        <v>30</v>
      </c>
      <c r="U167" s="123">
        <f t="shared" ref="U167:U171" ca="1" si="51">AG167</f>
        <v>587.44000000000005</v>
      </c>
      <c r="V167" s="124" t="s">
        <v>663</v>
      </c>
      <c r="W167" s="122" cm="1">
        <f t="array" aca="1" ref="W167" ca="1">IF($C167="S",ROUND(IF(TIPOORCAMENTO="Proposto",ORÇAMENTO.CustoUnitario*(1+$AH167),ORÇAMENTO.PrecoUnitarioLicitado),15-13*$AF$10),0)</f>
        <v>719.44</v>
      </c>
      <c r="X167" s="125" cm="1">
        <f t="array" aca="1" ref="X167" ca="1">IF($C167="S",IF(OR(Import.TipoArredondamento&lt;&gt;"TransfereGOV",ACOMPANHAMENTO="BM"),VTOTAL1,SUM(OFFSET(CÁLCULO!$AA$15,ROW($X167)-ROW($X$15),1):OFFSET(CÁLCULO!$AL$15,ROW($X167)-ROW($X$15),-1))),IF($C167=0,0,ROUND(SomaAgrup,15-13*$AF$11)))</f>
        <v>21583.200000000001</v>
      </c>
      <c r="Y167" s="126" t="s">
        <v>751</v>
      </c>
      <c r="Z167" t="str">
        <f t="shared" ca="1" si="13"/>
        <v>RA</v>
      </c>
      <c r="AA167" s="127" cm="1">
        <f t="array" aca="1" ref="AA167" ca="1">IF($C167="S",IF($Z167="CP",$X167,IF($Z167="RA",(($X167)*QCI!$AA$3),0)),SomaAgrup)</f>
        <v>10088.586926000469</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str" cm="1">
        <f t="array" aca="1" ref="AE167" ca="1">IF(AND($C167="S",ORÇAMENTO.CodBarra&lt;&gt;""),IF(ORÇAMENTO.Fonte="",ORÇAMENTO.CodBarra,CONCATENATE(ORÇAMENTO.Fonte," ",ORÇAMENTO.CodBarra)))</f>
        <v>SINAPI 86931</v>
      </c>
      <c r="AF167" s="12"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13376</v>
      </c>
      <c r="AG167" s="428" cm="1">
        <f t="array" aca="1" ref="AG167" ca="1">ROUND(IF(DESONERACAO="sim",REFERENCIA.Desonerado,REFERENCIA.NaoDesonerado),2)</f>
        <v>587.44000000000005</v>
      </c>
      <c r="AH167" s="429">
        <f t="shared" ca="1" si="14"/>
        <v>0.22470000000000001</v>
      </c>
      <c r="AJ167" s="431">
        <v>30</v>
      </c>
      <c r="AL167" s="439"/>
      <c r="AM167" s="336">
        <f t="shared" ca="1" si="46"/>
        <v>21583.200000000001</v>
      </c>
      <c r="AN167" s="470" cm="1">
        <f t="array" aca="1" ref="AN167" ca="1">ROUND(ORÇAMENTO.CustoUnitario*(1+$AH167),2)</f>
        <v>719.44</v>
      </c>
    </row>
    <row r="168" spans="1:40" ht="25.5" x14ac:dyDescent="0.2">
      <c r="A168" t="str">
        <f t="shared" si="1"/>
        <v>S</v>
      </c>
      <c r="B168">
        <f t="shared" ca="1" si="2"/>
        <v>3</v>
      </c>
      <c r="C168" t="str">
        <f t="shared" ca="1" si="3"/>
        <v>S</v>
      </c>
      <c r="D168">
        <f t="shared" ca="1" si="4"/>
        <v>0</v>
      </c>
      <c r="E168">
        <f ca="1">IF($C168=1,OFFSET(E168,-1,0)+MAX(1,COUNTIF(QCI!$A$13:$A$24,OFFSET(ORÇAMENTO!E168,-1,0))),OFFSET(E168,-1,0))</f>
        <v>1</v>
      </c>
      <c r="F168">
        <f t="shared" ca="1" si="5"/>
        <v>8</v>
      </c>
      <c r="G168">
        <f t="shared" ca="1" si="6"/>
        <v>7</v>
      </c>
      <c r="H168">
        <f t="shared" ca="1" si="7"/>
        <v>0</v>
      </c>
      <c r="I168">
        <f t="shared" ca="1" si="8"/>
        <v>2</v>
      </c>
      <c r="J168">
        <f t="shared" ca="1" si="47"/>
        <v>0</v>
      </c>
      <c r="K168">
        <f ca="1">IF(OR($C168="S",$C168=0),0,MATCH(OFFSET($D168,0,$C168)+IF($C168&lt;&gt;1,1,COUNTIF(QCI!$A$13:$A$24,ORÇAMENTO!E168)),OFFSET($D168,1,$C168,ROW($C$240)-ROW($C168)),0))</f>
        <v>0</v>
      </c>
      <c r="L168" s="114" t="str">
        <f t="shared" ca="1" si="10"/>
        <v>F</v>
      </c>
      <c r="M168" s="115" t="s">
        <v>705</v>
      </c>
      <c r="N168" s="116" t="str">
        <f t="shared" ca="1" si="11"/>
        <v>Serviço</v>
      </c>
      <c r="O168" s="117" t="str">
        <f t="shared" ca="1" si="12"/>
        <v>1.8.7.0.2.</v>
      </c>
      <c r="P168" s="118" t="s">
        <v>750</v>
      </c>
      <c r="Q168" s="119" t="s">
        <v>1141</v>
      </c>
      <c r="R168" s="120" t="str" cm="1">
        <f t="array" aca="1" ref="R168" ca="1">IF($C168="S",REFERENCIA.Descricao,"(digite a descrição aqui)")</f>
        <v>ASSENTO SANITÁRIO CONVENCIONAL - FORNECIMENTO E INSTALAÇÃO. AF_02/2026</v>
      </c>
      <c r="S168" s="121" t="str" cm="1">
        <f t="array" aca="1" ref="S168" ca="1">REFERENCIA.Unidade</f>
        <v>UN</v>
      </c>
      <c r="T168" s="122">
        <f ca="1">OFFSET(CÁLCULO!H$15,ROW($T168)-ROW(T$15),0)</f>
        <v>30</v>
      </c>
      <c r="U168" s="123">
        <f t="shared" ca="1" si="51"/>
        <v>37.409999999999997</v>
      </c>
      <c r="V168" s="124" t="s">
        <v>663</v>
      </c>
      <c r="W168" s="122" cm="1">
        <f t="array" aca="1" ref="W168" ca="1">IF($C168="S",ROUND(IF(TIPOORCAMENTO="Proposto",ORÇAMENTO.CustoUnitario*(1+$AH168),ORÇAMENTO.PrecoUnitarioLicitado),15-13*$AF$10),0)</f>
        <v>45.82</v>
      </c>
      <c r="X168" s="125" cm="1">
        <f t="array" aca="1" ref="X168" ca="1">IF($C168="S",IF(OR(Import.TipoArredondamento&lt;&gt;"TransfereGOV",ACOMPANHAMENTO="BM"),VTOTAL1,SUM(OFFSET(CÁLCULO!$AA$15,ROW($X168)-ROW($X$15),1):OFFSET(CÁLCULO!$AL$15,ROW($X168)-ROW($X$15),-1))),IF($C168=0,0,ROUND(SomaAgrup,15-13*$AF$11)))</f>
        <v>1374.6</v>
      </c>
      <c r="Y168" s="126" t="s">
        <v>751</v>
      </c>
      <c r="Z168" t="str">
        <f t="shared" ca="1" si="13"/>
        <v>RA</v>
      </c>
      <c r="AA168" s="127" cm="1">
        <f t="array" aca="1" ref="AA168" ca="1">IF($C168="S",IF($Z168="CP",$X168,IF($Z168="RA",(($X168)*QCI!$AA$3),0)),SomaAgrup)</f>
        <v>642.52620503355593</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SINAPI 100849</v>
      </c>
      <c r="AF168" s="12"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13371</v>
      </c>
      <c r="AG168" s="428" cm="1">
        <f t="array" aca="1" ref="AG168" ca="1">ROUND(IF(DESONERACAO="sim",REFERENCIA.Desonerado,REFERENCIA.NaoDesonerado),2)</f>
        <v>37.409999999999997</v>
      </c>
      <c r="AH168" s="429">
        <f t="shared" ca="1" si="14"/>
        <v>0.22470000000000001</v>
      </c>
      <c r="AJ168" s="431">
        <v>30</v>
      </c>
      <c r="AL168" s="439"/>
      <c r="AM168" s="336">
        <f t="shared" ca="1" si="46"/>
        <v>1374.6</v>
      </c>
      <c r="AN168" s="470" cm="1">
        <f t="array" aca="1" ref="AN168" ca="1">ROUND(ORÇAMENTO.CustoUnitario*(1+$AH168),2)</f>
        <v>45.82</v>
      </c>
    </row>
    <row r="169" spans="1:40" ht="51" x14ac:dyDescent="0.2">
      <c r="A169" t="str">
        <f t="shared" si="1"/>
        <v>S</v>
      </c>
      <c r="B169">
        <f t="shared" ca="1" si="2"/>
        <v>3</v>
      </c>
      <c r="C169" t="str">
        <f t="shared" ca="1" si="3"/>
        <v>S</v>
      </c>
      <c r="D169">
        <f t="shared" ca="1" si="4"/>
        <v>0</v>
      </c>
      <c r="E169">
        <f ca="1">IF($C169=1,OFFSET(E169,-1,0)+MAX(1,COUNTIF(QCI!$A$13:$A$24,OFFSET(ORÇAMENTO!E169,-1,0))),OFFSET(E169,-1,0))</f>
        <v>1</v>
      </c>
      <c r="F169">
        <f t="shared" ca="1" si="5"/>
        <v>8</v>
      </c>
      <c r="G169">
        <f t="shared" ca="1" si="6"/>
        <v>7</v>
      </c>
      <c r="H169">
        <f t="shared" ca="1" si="7"/>
        <v>0</v>
      </c>
      <c r="I169">
        <f t="shared" ca="1" si="8"/>
        <v>3</v>
      </c>
      <c r="J169">
        <f t="shared" ca="1" si="47"/>
        <v>0</v>
      </c>
      <c r="K169">
        <f ca="1">IF(OR($C169="S",$C169=0),0,MATCH(OFFSET($D169,0,$C169)+IF($C169&lt;&gt;1,1,COUNTIF(QCI!$A$13:$A$24,ORÇAMENTO!E169)),OFFSET($D169,1,$C169,ROW($C$240)-ROW($C169)),0))</f>
        <v>0</v>
      </c>
      <c r="L169" s="114" t="str">
        <f t="shared" ca="1" si="10"/>
        <v>F</v>
      </c>
      <c r="M169" s="115" t="s">
        <v>705</v>
      </c>
      <c r="N169" s="116" t="str">
        <f t="shared" ca="1" si="11"/>
        <v>Serviço</v>
      </c>
      <c r="O169" s="117" t="str">
        <f t="shared" ca="1" si="12"/>
        <v>1.8.7.0.3.</v>
      </c>
      <c r="P169" s="118" t="s">
        <v>750</v>
      </c>
      <c r="Q169" s="119" t="s">
        <v>1142</v>
      </c>
      <c r="R169" s="120" t="str" cm="1">
        <f t="array" aca="1" ref="R169" ca="1">IF($C169="S",REFERENCIA.Descricao,"(digite a descrição aqui)")</f>
        <v>LAVATÓRIO LOUÇA BRANCA COM COLUNA, *44 X 35* CM, PADRÃO POPULAR, INCLUSO SIFÃO FLEXÍVEL EM PVC, VÁLVULA E ENGATE FLEXÍVEL 30 CM EM PLÁSTICO E COM TORNEIRA CROMADA PADRÃO POPULAR - FORNECIMENTO E INSTALAÇÃO. AF_02/2026</v>
      </c>
      <c r="S169" s="121" t="str" cm="1">
        <f t="array" aca="1" ref="S169" ca="1">REFERENCIA.Unidade</f>
        <v>UN</v>
      </c>
      <c r="T169" s="122">
        <f ca="1">OFFSET(CÁLCULO!H$15,ROW($T169)-ROW(T$15),0)</f>
        <v>30</v>
      </c>
      <c r="U169" s="123">
        <f t="shared" ca="1" si="51"/>
        <v>497.01</v>
      </c>
      <c r="V169" s="124" t="s">
        <v>663</v>
      </c>
      <c r="W169" s="122" cm="1">
        <f t="array" aca="1" ref="W169" ca="1">IF($C169="S",ROUND(IF(TIPOORCAMENTO="Proposto",ORÇAMENTO.CustoUnitario*(1+$AH169),ORÇAMENTO.PrecoUnitarioLicitado),15-13*$AF$10),0)</f>
        <v>608.69000000000005</v>
      </c>
      <c r="X169" s="125" cm="1">
        <f t="array" aca="1" ref="X169" ca="1">IF($C169="S",IF(OR(Import.TipoArredondamento&lt;&gt;"TransfereGOV",ACOMPANHAMENTO="BM"),VTOTAL1,SUM(OFFSET(CÁLCULO!$AA$15,ROW($X169)-ROW($X$15),1):OFFSET(CÁLCULO!$AL$15,ROW($X169)-ROW($X$15),-1))),IF($C169=0,0,ROUND(SomaAgrup,15-13*$AF$11)))</f>
        <v>18260.7</v>
      </c>
      <c r="Y169" s="126" t="s">
        <v>751</v>
      </c>
      <c r="Z169" t="str">
        <f t="shared" ca="1" si="13"/>
        <v>RA</v>
      </c>
      <c r="AA169" s="127" cm="1">
        <f t="array" aca="1" ref="AA169" ca="1">IF($C169="S",IF($Z169="CP",$X169,IF($Z169="RA",(($X169)*QCI!$AA$3),0)),SomaAgrup)</f>
        <v>8535.5581785655868</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str" cm="1">
        <f t="array" aca="1" ref="AE169" ca="1">IF(AND($C169="S",ORÇAMENTO.CodBarra&lt;&gt;""),IF(ORÇAMENTO.Fonte="",ORÇAMENTO.CodBarra,CONCATENATE(ORÇAMENTO.Fonte," ",ORÇAMENTO.CodBarra)))</f>
        <v>SINAPI 86939</v>
      </c>
      <c r="AF169" s="12"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13430</v>
      </c>
      <c r="AG169" s="428" cm="1">
        <f t="array" aca="1" ref="AG169" ca="1">ROUND(IF(DESONERACAO="sim",REFERENCIA.Desonerado,REFERENCIA.NaoDesonerado),2)</f>
        <v>497.01</v>
      </c>
      <c r="AH169" s="429">
        <f t="shared" ca="1" si="14"/>
        <v>0.22470000000000001</v>
      </c>
      <c r="AJ169" s="431">
        <v>30</v>
      </c>
      <c r="AL169" s="439"/>
      <c r="AM169" s="336">
        <f t="shared" ca="1" si="46"/>
        <v>18260.7</v>
      </c>
      <c r="AN169" s="470" cm="1">
        <f t="array" aca="1" ref="AN169" ca="1">ROUND(ORÇAMENTO.CustoUnitario*(1+$AH169),2)</f>
        <v>608.69000000000005</v>
      </c>
    </row>
    <row r="170" spans="1:40" ht="51" x14ac:dyDescent="0.2">
      <c r="A170" t="str">
        <f t="shared" si="1"/>
        <v>S</v>
      </c>
      <c r="B170">
        <f t="shared" ca="1" si="2"/>
        <v>3</v>
      </c>
      <c r="C170" t="str">
        <f t="shared" ca="1" si="3"/>
        <v>S</v>
      </c>
      <c r="D170">
        <f t="shared" ca="1" si="4"/>
        <v>0</v>
      </c>
      <c r="E170">
        <f ca="1">IF($C170=1,OFFSET(E170,-1,0)+MAX(1,COUNTIF(QCI!$A$13:$A$24,OFFSET(ORÇAMENTO!E170,-1,0))),OFFSET(E170,-1,0))</f>
        <v>1</v>
      </c>
      <c r="F170">
        <f t="shared" ca="1" si="5"/>
        <v>8</v>
      </c>
      <c r="G170">
        <f t="shared" ca="1" si="6"/>
        <v>7</v>
      </c>
      <c r="H170">
        <f t="shared" ca="1" si="7"/>
        <v>0</v>
      </c>
      <c r="I170">
        <f t="shared" ca="1" si="8"/>
        <v>4</v>
      </c>
      <c r="J170">
        <f t="shared" ca="1" si="47"/>
        <v>0</v>
      </c>
      <c r="K170">
        <f ca="1">IF(OR($C170="S",$C170=0),0,MATCH(OFFSET($D170,0,$C170)+IF($C170&lt;&gt;1,1,COUNTIF(QCI!$A$13:$A$24,ORÇAMENTO!E170)),OFFSET($D170,1,$C170,ROW($C$240)-ROW($C170)),0))</f>
        <v>0</v>
      </c>
      <c r="L170" s="114" t="str">
        <f t="shared" ca="1" si="10"/>
        <v>F</v>
      </c>
      <c r="M170" s="115" t="s">
        <v>705</v>
      </c>
      <c r="N170" s="116" t="str">
        <f t="shared" ca="1" si="11"/>
        <v>Serviço</v>
      </c>
      <c r="O170" s="117" t="str">
        <f t="shared" ca="1" si="12"/>
        <v>1.8.7.0.4.</v>
      </c>
      <c r="P170" s="118" t="s">
        <v>750</v>
      </c>
      <c r="Q170" s="119" t="s">
        <v>1143</v>
      </c>
      <c r="R170" s="120" t="str" cm="1">
        <f t="array" aca="1" ref="R170" ca="1">IF($C170="S",REFERENCIA.Descricao,"(digite a descrição aqui)")</f>
        <v>TANQUE DE LOUÇA BRANCA COM COLUNA, 30L OU EQUIVALENTE, INCLUSO SIFÃO FLEXÍVEL EM PVC, VÁLVULA PLÁSTICA E TORNEIRA DE METAL CROMADO PADRÃO POPULAR - FORNECIMENTO E INSTALAÇÃO. AF_02/2026</v>
      </c>
      <c r="S170" s="121" t="str" cm="1">
        <f t="array" aca="1" ref="S170" ca="1">REFERENCIA.Unidade</f>
        <v>UN</v>
      </c>
      <c r="T170" s="122">
        <f ca="1">OFFSET(CÁLCULO!H$15,ROW($T170)-ROW(T$15),0)</f>
        <v>30</v>
      </c>
      <c r="U170" s="123">
        <f t="shared" ca="1" si="51"/>
        <v>954.12</v>
      </c>
      <c r="V170" s="124" t="s">
        <v>663</v>
      </c>
      <c r="W170" s="122" cm="1">
        <f t="array" aca="1" ref="W170" ca="1">IF($C170="S",ROUND(IF(TIPOORCAMENTO="Proposto",ORÇAMENTO.CustoUnitario*(1+$AH170),ORÇAMENTO.PrecoUnitarioLicitado),15-13*$AF$10),0)</f>
        <v>1168.51</v>
      </c>
      <c r="X170" s="125" cm="1">
        <f t="array" aca="1" ref="X170" ca="1">IF($C170="S",IF(OR(Import.TipoArredondamento&lt;&gt;"TransfereGOV",ACOMPANHAMENTO="BM"),VTOTAL1,SUM(OFFSET(CÁLCULO!$AA$15,ROW($X170)-ROW($X$15),1):OFFSET(CÁLCULO!$AL$15,ROW($X170)-ROW($X$15),-1))),IF($C170=0,0,ROUND(SomaAgrup,15-13*$AF$11)))</f>
        <v>35055.300000000003</v>
      </c>
      <c r="Y170" s="126" t="s">
        <v>751</v>
      </c>
      <c r="Z170" t="str">
        <f t="shared" ca="1" si="13"/>
        <v>RA</v>
      </c>
      <c r="AA170" s="127" cm="1">
        <f t="array" aca="1" ref="AA170" ca="1">IF($C170="S",IF($Z170="CP",$X170,IF($Z170="RA",(($X170)*QCI!$AA$3),0)),SomaAgrup)</f>
        <v>16385.820511649072</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SINAPI 86920</v>
      </c>
      <c r="AF170" s="12"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13456</v>
      </c>
      <c r="AG170" s="428" cm="1">
        <f t="array" aca="1" ref="AG170" ca="1">ROUND(IF(DESONERACAO="sim",REFERENCIA.Desonerado,REFERENCIA.NaoDesonerado),2)</f>
        <v>954.12</v>
      </c>
      <c r="AH170" s="429">
        <f t="shared" ca="1" si="14"/>
        <v>0.22470000000000001</v>
      </c>
      <c r="AJ170" s="431">
        <v>30</v>
      </c>
      <c r="AL170" s="439"/>
      <c r="AM170" s="336">
        <f t="shared" ca="1" si="46"/>
        <v>35055.300000000003</v>
      </c>
      <c r="AN170" s="470" cm="1">
        <f t="array" aca="1" ref="AN170" ca="1">ROUND(ORÇAMENTO.CustoUnitario*(1+$AH170),2)</f>
        <v>1168.51</v>
      </c>
    </row>
    <row r="171" spans="1:40" ht="63.75" x14ac:dyDescent="0.2">
      <c r="A171" t="str">
        <f t="shared" si="1"/>
        <v>S</v>
      </c>
      <c r="B171">
        <f t="shared" ca="1" si="2"/>
        <v>3</v>
      </c>
      <c r="C171" t="str">
        <f t="shared" ca="1" si="3"/>
        <v>S</v>
      </c>
      <c r="D171">
        <f t="shared" ca="1" si="4"/>
        <v>0</v>
      </c>
      <c r="E171">
        <f ca="1">IF($C171=1,OFFSET(E171,-1,0)+MAX(1,COUNTIF(QCI!$A$13:$A$24,OFFSET(ORÇAMENTO!E171,-1,0))),OFFSET(E171,-1,0))</f>
        <v>1</v>
      </c>
      <c r="F171">
        <f t="shared" ca="1" si="5"/>
        <v>8</v>
      </c>
      <c r="G171">
        <f t="shared" ca="1" si="6"/>
        <v>7</v>
      </c>
      <c r="H171">
        <f t="shared" ca="1" si="7"/>
        <v>0</v>
      </c>
      <c r="I171">
        <f t="shared" ca="1" si="8"/>
        <v>5</v>
      </c>
      <c r="J171">
        <f t="shared" ca="1" si="47"/>
        <v>0</v>
      </c>
      <c r="K171">
        <f ca="1">IF(OR($C171="S",$C171=0),0,MATCH(OFFSET($D171,0,$C171)+IF($C171&lt;&gt;1,1,COUNTIF(QCI!$A$13:$A$24,ORÇAMENTO!E171)),OFFSET($D171,1,$C171,ROW($C$240)-ROW($C171)),0))</f>
        <v>0</v>
      </c>
      <c r="L171" s="114" t="str">
        <f t="shared" ca="1" si="10"/>
        <v>F</v>
      </c>
      <c r="M171" s="115" t="s">
        <v>705</v>
      </c>
      <c r="N171" s="116" t="str">
        <f t="shared" ca="1" si="11"/>
        <v>Serviço</v>
      </c>
      <c r="O171" s="117" t="str">
        <f t="shared" ca="1" si="12"/>
        <v>1.8.7.0.5.</v>
      </c>
      <c r="P171" s="118" t="s">
        <v>750</v>
      </c>
      <c r="Q171" s="119" t="s">
        <v>1144</v>
      </c>
      <c r="R171" s="120" t="str" cm="1">
        <f t="array" aca="1" ref="R171" ca="1">IF($C171="S",REFERENCIA.Descricao,"(digite a descrição aqui)")</f>
        <v>BANCADA DE MÁRMORE SINTÉTICO 120 X 60CM, COM CUBA INTEGRADA, INCLUSO SIFÃO TIPO FLEXÍVEL EM PVC, VÁLVULA EM PLÁSTICO CROMADO TIPO AMERICANA E TORNEIRA CROMADA LONGA, DE PAREDE, PADRÃO POPULAR - FORNECIMENTO E INSTALAÇÃO. AF_02/2026</v>
      </c>
      <c r="S171" s="121" t="str" cm="1">
        <f t="array" aca="1" ref="S171" ca="1">REFERENCIA.Unidade</f>
        <v>UN</v>
      </c>
      <c r="T171" s="122">
        <f ca="1">OFFSET(CÁLCULO!H$15,ROW($T171)-ROW(T$15),0)</f>
        <v>30</v>
      </c>
      <c r="U171" s="123">
        <f t="shared" ca="1" si="51"/>
        <v>577.29999999999995</v>
      </c>
      <c r="V171" s="124" t="s">
        <v>663</v>
      </c>
      <c r="W171" s="122" cm="1">
        <f t="array" aca="1" ref="W171" ca="1">IF($C171="S",ROUND(IF(TIPOORCAMENTO="Proposto",ORÇAMENTO.CustoUnitario*(1+$AH171),ORÇAMENTO.PrecoUnitarioLicitado),15-13*$AF$10),0)</f>
        <v>707.02</v>
      </c>
      <c r="X171" s="125" cm="1">
        <f t="array" aca="1" ref="X171" ca="1">IF($C171="S",IF(OR(Import.TipoArredondamento&lt;&gt;"TransfereGOV",ACOMPANHAMENTO="BM"),VTOTAL1,SUM(OFFSET(CÁLCULO!$AA$15,ROW($X171)-ROW($X$15),1):OFFSET(CÁLCULO!$AL$15,ROW($X171)-ROW($X$15),-1))),IF($C171=0,0,ROUND(SomaAgrup,15-13*$AF$11)))</f>
        <v>21210.6</v>
      </c>
      <c r="Y171" s="126" t="s">
        <v>751</v>
      </c>
      <c r="Z171" t="str">
        <f t="shared" ca="1" si="13"/>
        <v>RA</v>
      </c>
      <c r="AA171" s="127" cm="1">
        <f t="array" aca="1" ref="AA171" ca="1">IF($C171="S",IF($Z171="CP",$X171,IF($Z171="RA",(($X171)*QCI!$AA$3),0)),SomaAgrup)</f>
        <v>9914.4233409608187</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str" cm="1">
        <f t="array" aca="1" ref="AE171" ca="1">IF(AND($C171="S",ORÇAMENTO.CodBarra&lt;&gt;""),IF(ORÇAMENTO.Fonte="",ORÇAMENTO.CodBarra,CONCATENATE(ORÇAMENTO.Fonte," ",ORÇAMENTO.CodBarra)))</f>
        <v>SINAPI 86934</v>
      </c>
      <c r="AF171" s="12"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13388</v>
      </c>
      <c r="AG171" s="428" cm="1">
        <f t="array" aca="1" ref="AG171" ca="1">ROUND(IF(DESONERACAO="sim",REFERENCIA.Desonerado,REFERENCIA.NaoDesonerado),2)</f>
        <v>577.29999999999995</v>
      </c>
      <c r="AH171" s="429">
        <f t="shared" ca="1" si="14"/>
        <v>0.22470000000000001</v>
      </c>
      <c r="AJ171" s="431">
        <v>30</v>
      </c>
      <c r="AL171" s="439"/>
      <c r="AM171" s="336">
        <f t="shared" ca="1" si="46"/>
        <v>21210.6</v>
      </c>
      <c r="AN171" s="470" cm="1">
        <f t="array" aca="1" ref="AN171" ca="1">ROUND(ORÇAMENTO.CustoUnitario*(1+$AH171),2)</f>
        <v>707.02</v>
      </c>
    </row>
    <row r="172" spans="1:40" x14ac:dyDescent="0.2">
      <c r="A172">
        <f t="shared" si="1"/>
        <v>3</v>
      </c>
      <c r="B172">
        <f t="shared" ca="1" si="2"/>
        <v>3</v>
      </c>
      <c r="C172">
        <f t="shared" ca="1" si="3"/>
        <v>3</v>
      </c>
      <c r="D172">
        <f t="shared" ca="1" si="4"/>
        <v>3</v>
      </c>
      <c r="E172">
        <f ca="1">IF($C172=1,OFFSET(E172,-1,0)+MAX(1,COUNTIF(QCI!$A$13:$A$24,OFFSET(ORÇAMENTO!E172,-1,0))),OFFSET(E172,-1,0))</f>
        <v>1</v>
      </c>
      <c r="F172">
        <f t="shared" ca="1" si="5"/>
        <v>8</v>
      </c>
      <c r="G172">
        <f t="shared" ca="1" si="6"/>
        <v>8</v>
      </c>
      <c r="H172">
        <f t="shared" ca="1" si="7"/>
        <v>0</v>
      </c>
      <c r="I172">
        <f t="shared" ca="1" si="8"/>
        <v>0</v>
      </c>
      <c r="J172">
        <f t="shared" ca="1" si="47"/>
        <v>3</v>
      </c>
      <c r="K172" t="e">
        <f ca="1">IF(OR($C172="S",$C172=0),0,MATCH(OFFSET($D172,0,$C172)+IF($C172&lt;&gt;1,1,COUNTIF(QCI!$A$13:$A$24,ORÇAMENTO!E172)),OFFSET($D172,1,$C172,ROW($C$240)-ROW($C172)),0))</f>
        <v>#N/A</v>
      </c>
      <c r="L172" s="114" t="str">
        <f t="shared" ca="1" si="10"/>
        <v>F</v>
      </c>
      <c r="M172" s="115" t="s">
        <v>703</v>
      </c>
      <c r="N172" s="116" t="str">
        <f t="shared" ca="1" si="11"/>
        <v>Nível 3</v>
      </c>
      <c r="O172" s="117" t="str">
        <f t="shared" ca="1" si="12"/>
        <v>1.8.8.</v>
      </c>
      <c r="P172" s="118" t="s">
        <v>750</v>
      </c>
      <c r="Q172" s="119"/>
      <c r="R172" s="120" t="s">
        <v>1128</v>
      </c>
      <c r="S172" s="121" t="str" cm="1">
        <f t="array" aca="1" ref="S172" ca="1">REFERENCIA.Unidade</f>
        <v>-</v>
      </c>
      <c r="T172" s="122">
        <f ca="1">OFFSET(CÁLCULO!H$15,ROW($T172)-ROW(T$15),0)</f>
        <v>0</v>
      </c>
      <c r="U172" s="123"/>
      <c r="V172" s="124" t="s">
        <v>663</v>
      </c>
      <c r="W172" s="122" cm="1">
        <f t="array" aca="1" ref="W172" ca="1">IF($C172="S",ROUND(IF(TIPOORCAMENTO="Proposto",ORÇAMENTO.CustoUnitario*(1+$AH172),ORÇAMENTO.PrecoUnitarioLicitado),15-13*$AF$10),0)</f>
        <v>0</v>
      </c>
      <c r="X172" s="125" cm="1">
        <f t="array" aca="1" ref="X172" ca="1">IF($C172="S",IF(OR(Import.TipoArredondamento&lt;&gt;"TransfereGOV",ACOMPANHAMENTO="BM"),VTOTAL1,SUM(OFFSET(CÁLCULO!$AA$15,ROW($X172)-ROW($X$15),1):OFFSET(CÁLCULO!$AL$15,ROW($X172)-ROW($X$15),-1))),IF($C172=0,0,ROUND(SomaAgrup,15-13*$AF$11)))</f>
        <v>15212.1</v>
      </c>
      <c r="Y172" s="126" t="s">
        <v>751</v>
      </c>
      <c r="Z172" t="str">
        <f t="shared" ca="1" si="13"/>
        <v/>
      </c>
      <c r="AA172" s="127" cm="1">
        <f t="array" aca="1" ref="AA172" ca="1">IF($C172="S",IF($Z172="CP",$X172,IF($Z172="RA",(($X172)*QCI!$AA$3),0)),SomaAgrup)</f>
        <v>7110.5578958176611</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b" cm="1">
        <f t="array" aca="1" ref="AE172" ca="1">IF(AND($C172="S",ORÇAMENTO.CodBarra&lt;&gt;""),IF(ORÇAMENTO.Fonte="",ORÇAMENTO.CodBarra,CONCATENATE(ORÇAMENTO.Fonte," ",ORÇAMENTO.CodBarra)))</f>
        <v>0</v>
      </c>
      <c r="AF172" s="12"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(Sem Código)</v>
      </c>
      <c r="AG172" s="428" cm="1">
        <f t="array" aca="1" ref="AG172" ca="1">ROUND(IF(DESONERACAO="sim",REFERENCIA.Desonerado,REFERENCIA.NaoDesonerado),2)</f>
        <v>0</v>
      </c>
      <c r="AH172" s="429">
        <f t="shared" ca="1" si="14"/>
        <v>0.22470000000000001</v>
      </c>
      <c r="AJ172" s="431"/>
      <c r="AL172" s="439"/>
      <c r="AM172" s="336">
        <f t="shared" ca="1" si="46"/>
        <v>15212.1</v>
      </c>
      <c r="AN172" s="470" cm="1">
        <f t="array" aca="1" ref="AN172" ca="1">ROUND(ORÇAMENTO.CustoUnitario*(1+$AH172),2)</f>
        <v>0</v>
      </c>
    </row>
    <row r="173" spans="1:40" ht="25.5" x14ac:dyDescent="0.2">
      <c r="A173" t="str">
        <f t="shared" si="1"/>
        <v>S</v>
      </c>
      <c r="B173">
        <f t="shared" ca="1" si="2"/>
        <v>3</v>
      </c>
      <c r="C173" t="str">
        <f t="shared" ca="1" si="3"/>
        <v>S</v>
      </c>
      <c r="D173">
        <f t="shared" ca="1" si="4"/>
        <v>0</v>
      </c>
      <c r="E173">
        <f ca="1">IF($C173=1,OFFSET(E173,-1,0)+MAX(1,COUNTIF(QCI!$A$13:$A$24,OFFSET(ORÇAMENTO!E173,-1,0))),OFFSET(E173,-1,0))</f>
        <v>1</v>
      </c>
      <c r="F173">
        <f t="shared" ca="1" si="5"/>
        <v>8</v>
      </c>
      <c r="G173">
        <f t="shared" ca="1" si="6"/>
        <v>8</v>
      </c>
      <c r="H173">
        <f t="shared" ca="1" si="7"/>
        <v>0</v>
      </c>
      <c r="I173">
        <f t="shared" ca="1" si="8"/>
        <v>1</v>
      </c>
      <c r="J173">
        <f t="shared" ca="1" si="47"/>
        <v>0</v>
      </c>
      <c r="K173">
        <f ca="1">IF(OR($C173="S",$C173=0),0,MATCH(OFFSET($D173,0,$C173)+IF($C173&lt;&gt;1,1,COUNTIF(QCI!$A$13:$A$24,ORÇAMENTO!E173)),OFFSET($D173,1,$C173,ROW($C$240)-ROW($C173)),0))</f>
        <v>0</v>
      </c>
      <c r="L173" s="114" t="str">
        <f t="shared" ca="1" si="10"/>
        <v>F</v>
      </c>
      <c r="M173" s="115" t="s">
        <v>705</v>
      </c>
      <c r="N173" s="116" t="str">
        <f t="shared" ca="1" si="11"/>
        <v>Serviço</v>
      </c>
      <c r="O173" s="117" t="str">
        <f t="shared" ca="1" si="12"/>
        <v>1.8.8.0.1.</v>
      </c>
      <c r="P173" s="118" t="s">
        <v>750</v>
      </c>
      <c r="Q173" s="119" t="s">
        <v>1133</v>
      </c>
      <c r="R173" s="120" t="str" cm="1">
        <f t="array" aca="1" ref="R173" ca="1">IF($C173="S",REFERENCIA.Descricao,"(digite a descrição aqui)")</f>
        <v>CAIXA D´ÁGUA EM POLIETILENO, 500 LITROS - FORNECIMENTO E INSTALAÇÃO. AF_06/2021</v>
      </c>
      <c r="S173" s="121" t="str" cm="1">
        <f t="array" aca="1" ref="S173" ca="1">REFERENCIA.Unidade</f>
        <v>UN</v>
      </c>
      <c r="T173" s="122">
        <f ca="1">OFFSET(CÁLCULO!H$15,ROW($T173)-ROW(T$15),0)</f>
        <v>30</v>
      </c>
      <c r="U173" s="123">
        <f t="shared" ref="U173:U174" ca="1" si="52">AG173</f>
        <v>281.56</v>
      </c>
      <c r="V173" s="124" t="s">
        <v>663</v>
      </c>
      <c r="W173" s="122" cm="1">
        <f t="array" aca="1" ref="W173" ca="1">IF($C173="S",ROUND(IF(TIPOORCAMENTO="Proposto",ORÇAMENTO.CustoUnitario*(1+$AH173),ORÇAMENTO.PrecoUnitarioLicitado),15-13*$AF$10),0)</f>
        <v>344.83</v>
      </c>
      <c r="X173" s="125" cm="1">
        <f t="array" aca="1" ref="X173" ca="1">IF($C173="S",IF(OR(Import.TipoArredondamento&lt;&gt;"TransfereGOV",ACOMPANHAMENTO="BM"),VTOTAL1,SUM(OFFSET(CÁLCULO!$AA$15,ROW($X173)-ROW($X$15),1):OFFSET(CÁLCULO!$AL$15,ROW($X173)-ROW($X$15),-1))),IF($C173=0,0,ROUND(SomaAgrup,15-13*$AF$11)))</f>
        <v>10344.9</v>
      </c>
      <c r="Y173" s="126" t="s">
        <v>751</v>
      </c>
      <c r="Z173" t="str">
        <f t="shared" ca="1" si="13"/>
        <v>RA</v>
      </c>
      <c r="AA173" s="127" cm="1">
        <f t="array" aca="1" ref="AA173" ca="1">IF($C173="S",IF($Z173="CP",$X173,IF($Z173="RA",(($X173)*QCI!$AA$3),0)),SomaAgrup)</f>
        <v>4835.4934806137298</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str" cm="1">
        <f t="array" aca="1" ref="AE173" ca="1">IF(AND($C173="S",ORÇAMENTO.CodBarra&lt;&gt;""),IF(ORÇAMENTO.Fonte="",ORÇAMENTO.CodBarra,CONCATENATE(ORÇAMENTO.Fonte," ",ORÇAMENTO.CodBarra)))</f>
        <v>SINAPI 102605</v>
      </c>
      <c r="AF173" s="12"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7190</v>
      </c>
      <c r="AG173" s="428" cm="1">
        <f t="array" aca="1" ref="AG173" ca="1">ROUND(IF(DESONERACAO="sim",REFERENCIA.Desonerado,REFERENCIA.NaoDesonerado),2)</f>
        <v>281.56</v>
      </c>
      <c r="AH173" s="429">
        <f t="shared" ca="1" si="14"/>
        <v>0.22470000000000001</v>
      </c>
      <c r="AJ173" s="431">
        <v>30</v>
      </c>
      <c r="AL173" s="439"/>
      <c r="AM173" s="336">
        <f t="shared" ca="1" si="46"/>
        <v>10344.9</v>
      </c>
      <c r="AN173" s="470" cm="1">
        <f t="array" aca="1" ref="AN173" ca="1">ROUND(ORÇAMENTO.CustoUnitario*(1+$AH173),2)</f>
        <v>344.83</v>
      </c>
    </row>
    <row r="174" spans="1:40" ht="25.5" x14ac:dyDescent="0.2">
      <c r="A174" t="str">
        <f t="shared" si="1"/>
        <v>S</v>
      </c>
      <c r="B174">
        <f t="shared" ca="1" si="2"/>
        <v>3</v>
      </c>
      <c r="C174" t="str">
        <f t="shared" ca="1" si="3"/>
        <v>S</v>
      </c>
      <c r="D174">
        <f t="shared" ca="1" si="4"/>
        <v>0</v>
      </c>
      <c r="E174">
        <f ca="1">IF($C174=1,OFFSET(E174,-1,0)+MAX(1,COUNTIF(QCI!$A$13:$A$24,OFFSET(ORÇAMENTO!E174,-1,0))),OFFSET(E174,-1,0))</f>
        <v>1</v>
      </c>
      <c r="F174">
        <f t="shared" ca="1" si="5"/>
        <v>8</v>
      </c>
      <c r="G174">
        <f t="shared" ca="1" si="6"/>
        <v>8</v>
      </c>
      <c r="H174">
        <f t="shared" ca="1" si="7"/>
        <v>0</v>
      </c>
      <c r="I174">
        <f t="shared" ca="1" si="8"/>
        <v>2</v>
      </c>
      <c r="J174">
        <f t="shared" ca="1" si="47"/>
        <v>0</v>
      </c>
      <c r="K174">
        <f ca="1">IF(OR($C174="S",$C174=0),0,MATCH(OFFSET($D174,0,$C174)+IF($C174&lt;&gt;1,1,COUNTIF(QCI!$A$13:$A$24,ORÇAMENTO!E174)),OFFSET($D174,1,$C174,ROW($C$240)-ROW($C174)),0))</f>
        <v>0</v>
      </c>
      <c r="L174" s="114" t="str">
        <f t="shared" ca="1" si="10"/>
        <v>F</v>
      </c>
      <c r="M174" s="115" t="s">
        <v>705</v>
      </c>
      <c r="N174" s="116" t="str">
        <f t="shared" ca="1" si="11"/>
        <v>Serviço</v>
      </c>
      <c r="O174" s="117" t="str">
        <f t="shared" ca="1" si="12"/>
        <v>1.8.8.0.2.</v>
      </c>
      <c r="P174" s="118" t="s">
        <v>750</v>
      </c>
      <c r="Q174" s="119" t="s">
        <v>1134</v>
      </c>
      <c r="R174" s="120" t="str" cm="1">
        <f t="array" aca="1" ref="R174" ca="1">IF($C174="S",REFERENCIA.Descricao,"(digite a descrição aqui)")</f>
        <v>TORNEIRA DE BOIA PARA CAIXA D'ÁGUA, ROSCÁVEL, 1" - FORNECIMENTO E INSTALAÇÃO. AF_08/2021</v>
      </c>
      <c r="S174" s="121" t="str" cm="1">
        <f t="array" aca="1" ref="S174" ca="1">REFERENCIA.Unidade</f>
        <v>UN</v>
      </c>
      <c r="T174" s="122">
        <f ca="1">OFFSET(CÁLCULO!H$15,ROW($T174)-ROW(T$15),0)</f>
        <v>30</v>
      </c>
      <c r="U174" s="123">
        <f t="shared" ca="1" si="52"/>
        <v>132.47</v>
      </c>
      <c r="V174" s="124" t="s">
        <v>663</v>
      </c>
      <c r="W174" s="122" cm="1">
        <f t="array" aca="1" ref="W174" ca="1">IF($C174="S",ROUND(IF(TIPOORCAMENTO="Proposto",ORÇAMENTO.CustoUnitario*(1+$AH174),ORÇAMENTO.PrecoUnitarioLicitado),15-13*$AF$10),0)</f>
        <v>162.24</v>
      </c>
      <c r="X174" s="125" cm="1">
        <f t="array" aca="1" ref="X174" ca="1">IF($C174="S",IF(OR(Import.TipoArredondamento&lt;&gt;"TransfereGOV",ACOMPANHAMENTO="BM"),VTOTAL1,SUM(OFFSET(CÁLCULO!$AA$15,ROW($X174)-ROW($X$15),1):OFFSET(CÁLCULO!$AL$15,ROW($X174)-ROW($X$15),-1))),IF($C174=0,0,ROUND(SomaAgrup,15-13*$AF$11)))</f>
        <v>4867.2</v>
      </c>
      <c r="Y174" s="126" t="s">
        <v>751</v>
      </c>
      <c r="Z174" t="str">
        <f t="shared" ca="1" si="13"/>
        <v>RA</v>
      </c>
      <c r="AA174" s="127" cm="1">
        <f t="array" aca="1" ref="AA174" ca="1">IF($C174="S",IF($Z174="CP",$X174,IF($Z174="RA",(($X174)*QCI!$AA$3),0)),SomaAgrup)</f>
        <v>2275.0644152039308</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str" cm="1">
        <f t="array" aca="1" ref="AE174" ca="1">IF(AND($C174="S",ORÇAMENTO.CodBarra&lt;&gt;""),IF(ORÇAMENTO.Fonte="",ORÇAMENTO.CodBarra,CONCATENATE(ORÇAMENTO.Fonte," ",ORÇAMENTO.CodBarra)))</f>
        <v>SINAPI 94797</v>
      </c>
      <c r="AF174" s="12"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16201</v>
      </c>
      <c r="AG174" s="428" cm="1">
        <f t="array" aca="1" ref="AG174" ca="1">ROUND(IF(DESONERACAO="sim",REFERENCIA.Desonerado,REFERENCIA.NaoDesonerado),2)</f>
        <v>132.47</v>
      </c>
      <c r="AH174" s="429">
        <f t="shared" ca="1" si="14"/>
        <v>0.22470000000000001</v>
      </c>
      <c r="AJ174" s="431">
        <v>30</v>
      </c>
      <c r="AL174" s="439"/>
      <c r="AM174" s="336">
        <f t="shared" ca="1" si="46"/>
        <v>4867.2</v>
      </c>
      <c r="AN174" s="470" cm="1">
        <f t="array" aca="1" ref="AN174" ca="1">ROUND(ORÇAMENTO.CustoUnitario*(1+$AH174),2)</f>
        <v>162.24</v>
      </c>
    </row>
    <row r="175" spans="1:40" x14ac:dyDescent="0.2">
      <c r="A175">
        <f t="shared" si="1"/>
        <v>2</v>
      </c>
      <c r="B175">
        <f t="shared" ca="1" si="2"/>
        <v>2</v>
      </c>
      <c r="C175">
        <f t="shared" ca="1" si="3"/>
        <v>2</v>
      </c>
      <c r="D175">
        <f t="shared" ca="1" si="4"/>
        <v>18</v>
      </c>
      <c r="E175">
        <f ca="1">IF($C175=1,OFFSET(E175,-1,0)+MAX(1,COUNTIF(QCI!$A$13:$A$24,OFFSET(ORÇAMENTO!E175,-1,0))),OFFSET(E175,-1,0))</f>
        <v>1</v>
      </c>
      <c r="F175">
        <f t="shared" ca="1" si="5"/>
        <v>9</v>
      </c>
      <c r="G175">
        <f t="shared" ca="1" si="6"/>
        <v>0</v>
      </c>
      <c r="H175">
        <f t="shared" ca="1" si="7"/>
        <v>0</v>
      </c>
      <c r="I175">
        <f t="shared" ca="1" si="8"/>
        <v>0</v>
      </c>
      <c r="J175">
        <f t="shared" ca="1" si="47"/>
        <v>65</v>
      </c>
      <c r="K175">
        <f ca="1">IF(OR($C175="S",$C175=0),0,MATCH(OFFSET($D175,0,$C175)+IF($C175&lt;&gt;1,1,COUNTIF(QCI!$A$13:$A$24,ORÇAMENTO!E175)),OFFSET($D175,1,$C175,ROW($C$240)-ROW($C175)),0))</f>
        <v>18</v>
      </c>
      <c r="L175" s="114" t="str">
        <f t="shared" ca="1" si="10"/>
        <v>F</v>
      </c>
      <c r="M175" s="115" t="s">
        <v>702</v>
      </c>
      <c r="N175" s="116" t="str">
        <f t="shared" ca="1" si="11"/>
        <v>Nível 2</v>
      </c>
      <c r="O175" s="117" t="str">
        <f t="shared" ca="1" si="12"/>
        <v>1.9.</v>
      </c>
      <c r="P175" s="118" t="s">
        <v>750</v>
      </c>
      <c r="Q175" s="119"/>
      <c r="R175" s="120" t="s">
        <v>1021</v>
      </c>
      <c r="S175" s="121" t="str" cm="1">
        <f t="array" aca="1" ref="S175" ca="1">REFERENCIA.Unidade</f>
        <v>-</v>
      </c>
      <c r="T175" s="122">
        <f ca="1">OFFSET(CÁLCULO!H$15,ROW($T175)-ROW(T$15),0)</f>
        <v>0</v>
      </c>
      <c r="U175" s="123"/>
      <c r="V175" s="124" t="s">
        <v>663</v>
      </c>
      <c r="W175" s="122" cm="1">
        <f t="array" aca="1" ref="W175" ca="1">IF($C175="S",ROUND(IF(TIPOORCAMENTO="Proposto",ORÇAMENTO.CustoUnitario*(1+$AH175),ORÇAMENTO.PrecoUnitarioLicitado),15-13*$AF$10),0)</f>
        <v>0</v>
      </c>
      <c r="X175" s="125" cm="1">
        <f t="array" aca="1" ref="X175" ca="1">IF($C175="S",IF(OR(Import.TipoArredondamento&lt;&gt;"TransfereGOV",ACOMPANHAMENTO="BM"),VTOTAL1,SUM(OFFSET(CÁLCULO!$AA$15,ROW($X175)-ROW($X$15),1):OFFSET(CÁLCULO!$AL$15,ROW($X175)-ROW($X$15),-1))),IF($C175=0,0,ROUND(SomaAgrup,15-13*$AF$11)))</f>
        <v>291170.40000000002</v>
      </c>
      <c r="Y175" s="126" t="s">
        <v>751</v>
      </c>
      <c r="Z175" t="str">
        <f t="shared" ca="1" si="13"/>
        <v/>
      </c>
      <c r="AA175" s="127" cm="1">
        <f t="array" aca="1" ref="AA175" ca="1">IF($C175="S",IF($Z175="CP",$X175,IF($Z175="RA",(($X175)*QCI!$AA$3),0)),SomaAgrup)</f>
        <v>136101.12915037284</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f ca="1">IF(C175&lt;=CRONO.NivelExibicao,MAX($AD$15:OFFSET(AD175,-1,0))+IF($C175&lt;&gt;1,1,MAX(1,COUNTIF(QCI!$A$13:$A$24,OFFSET($E175,-1,0)))),"")</f>
        <v>10</v>
      </c>
      <c r="AE175" s="7" t="b" cm="1">
        <f t="array" aca="1" ref="AE175" ca="1">IF(AND($C175="S",ORÇAMENTO.CodBarra&lt;&gt;""),IF(ORÇAMENTO.Fonte="",ORÇAMENTO.CodBarra,CONCATENATE(ORÇAMENTO.Fonte," ",ORÇAMENTO.CodBarra)))</f>
        <v>0</v>
      </c>
      <c r="AF175" s="12" t="str"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(Sem Código)</v>
      </c>
      <c r="AG175" s="428" cm="1">
        <f t="array" aca="1" ref="AG175" ca="1">ROUND(IF(DESONERACAO="sim",REFERENCIA.Desonerado,REFERENCIA.NaoDesonerado),2)</f>
        <v>0</v>
      </c>
      <c r="AH175" s="429">
        <f t="shared" ca="1" si="14"/>
        <v>0.22470000000000001</v>
      </c>
      <c r="AJ175" s="431"/>
      <c r="AL175" s="439"/>
      <c r="AM175" s="336">
        <f t="shared" ca="1" si="0"/>
        <v>291170.40000000002</v>
      </c>
      <c r="AN175" s="470" cm="1">
        <f t="array" aca="1" ref="AN175" ca="1">ROUND(ORÇAMENTO.CustoUnitario*(1+$AH175),2)</f>
        <v>0</v>
      </c>
    </row>
    <row r="176" spans="1:40" x14ac:dyDescent="0.2">
      <c r="A176">
        <f t="shared" si="1"/>
        <v>3</v>
      </c>
      <c r="B176">
        <f t="shared" ca="1" si="2"/>
        <v>3</v>
      </c>
      <c r="C176">
        <f t="shared" ca="1" si="3"/>
        <v>3</v>
      </c>
      <c r="D176">
        <f t="shared" ca="1" si="4"/>
        <v>4</v>
      </c>
      <c r="E176">
        <f ca="1">IF($C176=1,OFFSET(E176,-1,0)+MAX(1,COUNTIF(QCI!$A$13:$A$24,OFFSET(ORÇAMENTO!E176,-1,0))),OFFSET(E176,-1,0))</f>
        <v>1</v>
      </c>
      <c r="F176">
        <f t="shared" ca="1" si="5"/>
        <v>9</v>
      </c>
      <c r="G176">
        <f t="shared" ca="1" si="6"/>
        <v>1</v>
      </c>
      <c r="H176">
        <f t="shared" ca="1" si="7"/>
        <v>0</v>
      </c>
      <c r="I176">
        <f t="shared" ca="1" si="8"/>
        <v>0</v>
      </c>
      <c r="J176">
        <f t="shared" ca="1" si="47"/>
        <v>17</v>
      </c>
      <c r="K176">
        <f ca="1">IF(OR($C176="S",$C176=0),0,MATCH(OFFSET($D176,0,$C176)+IF($C176&lt;&gt;1,1,COUNTIF(QCI!$A$13:$A$24,ORÇAMENTO!E176)),OFFSET($D176,1,$C176,ROW($C$240)-ROW($C176)),0))</f>
        <v>4</v>
      </c>
      <c r="L176" s="114" t="str">
        <f t="shared" ca="1" si="10"/>
        <v>F</v>
      </c>
      <c r="M176" s="115" t="s">
        <v>703</v>
      </c>
      <c r="N176" s="116" t="str">
        <f t="shared" ca="1" si="11"/>
        <v>Nível 3</v>
      </c>
      <c r="O176" s="117" t="str">
        <f t="shared" ca="1" si="12"/>
        <v>1.9.1.</v>
      </c>
      <c r="P176" s="118" t="s">
        <v>750</v>
      </c>
      <c r="Q176" s="119"/>
      <c r="R176" s="120" t="s">
        <v>1051</v>
      </c>
      <c r="S176" s="121" t="str" cm="1">
        <f t="array" aca="1" ref="S176" ca="1">REFERENCIA.Unidade</f>
        <v>-</v>
      </c>
      <c r="T176" s="122">
        <f ca="1">OFFSET(CÁLCULO!H$15,ROW($T176)-ROW(T$15),0)</f>
        <v>0</v>
      </c>
      <c r="U176" s="123"/>
      <c r="V176" s="124" t="s">
        <v>663</v>
      </c>
      <c r="W176" s="122" cm="1">
        <f t="array" aca="1" ref="W176" ca="1">IF($C176="S",ROUND(IF(TIPOORCAMENTO="Proposto",ORÇAMENTO.CustoUnitario*(1+$AH176),ORÇAMENTO.PrecoUnitarioLicitado),15-13*$AF$10),0)</f>
        <v>0</v>
      </c>
      <c r="X176" s="125" cm="1">
        <f t="array" aca="1" ref="X176" ca="1">IF($C176="S",IF(OR(Import.TipoArredondamento&lt;&gt;"TransfereGOV",ACOMPANHAMENTO="BM"),VTOTAL1,SUM(OFFSET(CÁLCULO!$AA$15,ROW($X176)-ROW($X$15),1):OFFSET(CÁLCULO!$AL$15,ROW($X176)-ROW($X$15),-1))),IF($C176=0,0,ROUND(SomaAgrup,15-13*$AF$11)))</f>
        <v>108878.7</v>
      </c>
      <c r="Y176" s="126" t="s">
        <v>751</v>
      </c>
      <c r="Z176" t="str">
        <f t="shared" ca="1" si="13"/>
        <v/>
      </c>
      <c r="AA176" s="127" cm="1">
        <f t="array" aca="1" ref="AA176" ca="1">IF($C176="S",IF($Z176="CP",$X176,IF($Z176="RA",(($X176)*QCI!$AA$3),0)),SomaAgrup)</f>
        <v>50892.92733885278</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b" cm="1">
        <f t="array" aca="1" ref="AE176" ca="1">IF(AND($C176="S",ORÇAMENTO.CodBarra&lt;&gt;""),IF(ORÇAMENTO.Fonte="",ORÇAMENTO.CodBarra,CONCATENATE(ORÇAMENTO.Fonte," ",ORÇAMENTO.CodBarra)))</f>
        <v>0</v>
      </c>
      <c r="AF176" s="12" t="str"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(Sem Código)</v>
      </c>
      <c r="AG176" s="428" cm="1">
        <f t="array" aca="1" ref="AG176" ca="1">ROUND(IF(DESONERACAO="sim",REFERENCIA.Desonerado,REFERENCIA.NaoDesonerado),2)</f>
        <v>0</v>
      </c>
      <c r="AH176" s="429">
        <f t="shared" ca="1" si="14"/>
        <v>0.22470000000000001</v>
      </c>
      <c r="AJ176" s="431"/>
      <c r="AL176" s="439"/>
      <c r="AM176" s="336">
        <f t="shared" ca="1" si="0"/>
        <v>108878.7</v>
      </c>
      <c r="AN176" s="470" cm="1">
        <f t="array" aca="1" ref="AN176" ca="1">ROUND(ORÇAMENTO.CustoUnitario*(1+$AH176),2)</f>
        <v>0</v>
      </c>
    </row>
    <row r="177" spans="1:40" ht="38.25" x14ac:dyDescent="0.2">
      <c r="A177" t="str">
        <f t="shared" si="1"/>
        <v>S</v>
      </c>
      <c r="B177">
        <f t="shared" ca="1" si="2"/>
        <v>3</v>
      </c>
      <c r="C177" t="str">
        <f t="shared" ca="1" si="3"/>
        <v>S</v>
      </c>
      <c r="D177">
        <f t="shared" ca="1" si="4"/>
        <v>0</v>
      </c>
      <c r="E177">
        <f ca="1">IF($C177=1,OFFSET(E177,-1,0)+MAX(1,COUNTIF(QCI!$A$13:$A$24,OFFSET(ORÇAMENTO!E177,-1,0))),OFFSET(E177,-1,0))</f>
        <v>1</v>
      </c>
      <c r="F177">
        <f t="shared" ca="1" si="5"/>
        <v>9</v>
      </c>
      <c r="G177">
        <f t="shared" ca="1" si="6"/>
        <v>1</v>
      </c>
      <c r="H177">
        <f t="shared" ca="1" si="7"/>
        <v>0</v>
      </c>
      <c r="I177">
        <f t="shared" ca="1" si="8"/>
        <v>1</v>
      </c>
      <c r="J177">
        <f t="shared" ca="1" si="47"/>
        <v>0</v>
      </c>
      <c r="K177">
        <f ca="1">IF(OR($C177="S",$C177=0),0,MATCH(OFFSET($D177,0,$C177)+IF($C177&lt;&gt;1,1,COUNTIF(QCI!$A$13:$A$24,ORÇAMENTO!E177)),OFFSET($D177,1,$C177,ROW($C$240)-ROW($C177)),0))</f>
        <v>0</v>
      </c>
      <c r="L177" s="114" t="str">
        <f t="shared" ca="1" si="10"/>
        <v>F</v>
      </c>
      <c r="M177" s="115" t="s">
        <v>705</v>
      </c>
      <c r="N177" s="116" t="str">
        <f t="shared" ca="1" si="11"/>
        <v>Serviço</v>
      </c>
      <c r="O177" s="117" t="str">
        <f t="shared" ca="1" si="12"/>
        <v>1.9.1.0.1.</v>
      </c>
      <c r="P177" s="118" t="s">
        <v>750</v>
      </c>
      <c r="Q177" s="119" t="s">
        <v>1093</v>
      </c>
      <c r="R177" s="120" t="str" cm="1">
        <f t="array" aca="1" ref="R177" ca="1">IF($C177="S",REFERENCIA.Descricao,"(digite a descrição aqui)")</f>
        <v>ENTRADA DE ENERGIA ELÉTRICA, AÉREA, MONOFÁSICA, COM CAIXA DE SOBREPOR, CABO DE 10 MM2 E DISJUNTOR DIN 50A (NÃO INCLUSO O POSTE DE CONCRETO). AF_12/2025</v>
      </c>
      <c r="S177" s="121" t="str" cm="1">
        <f t="array" aca="1" ref="S177" ca="1">REFERENCIA.Unidade</f>
        <v>UN</v>
      </c>
      <c r="T177" s="122">
        <f ca="1">OFFSET(CÁLCULO!H$15,ROW($T177)-ROW(T$15),0)</f>
        <v>30</v>
      </c>
      <c r="U177" s="123">
        <f t="shared" ref="U177:U179" ca="1" si="53">AG177</f>
        <v>1685.98</v>
      </c>
      <c r="V177" s="124" t="s">
        <v>663</v>
      </c>
      <c r="W177" s="122" cm="1">
        <f t="array" aca="1" ref="W177" ca="1">IF($C177="S",ROUND(IF(TIPOORCAMENTO="Proposto",ORÇAMENTO.CustoUnitario*(1+$AH177),ORÇAMENTO.PrecoUnitarioLicitado),15-13*$AF$10),0)</f>
        <v>2064.8200000000002</v>
      </c>
      <c r="X177" s="125" cm="1">
        <f t="array" aca="1" ref="X177" ca="1">IF($C177="S",IF(OR(Import.TipoArredondamento&lt;&gt;"TransfereGOV",ACOMPANHAMENTO="BM"),VTOTAL1,SUM(OFFSET(CÁLCULO!$AA$15,ROW($X177)-ROW($X$15),1):OFFSET(CÁLCULO!$AL$15,ROW($X177)-ROW($X$15),-1))),IF($C177=0,0,ROUND(SomaAgrup,15-13*$AF$11)))</f>
        <v>61944.6</v>
      </c>
      <c r="Y177" s="126" t="s">
        <v>751</v>
      </c>
      <c r="Z177" t="str">
        <f t="shared" ca="1" si="13"/>
        <v>RA</v>
      </c>
      <c r="AA177" s="127" cm="1">
        <f t="array" aca="1" ref="AA177" ca="1">IF($C177="S",IF($Z177="CP",$X177,IF($Z177="RA",(($X177)*QCI!$AA$3),0)),SomaAgrup)</f>
        <v>28954.62589867715</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str" cm="1">
        <f t="array" aca="1" ref="AE177" ca="1">IF(AND($C177="S",ORÇAMENTO.CodBarra&lt;&gt;""),IF(ORÇAMENTO.Fonte="",ORÇAMENTO.CodBarra,CONCATENATE(ORÇAMENTO.Fonte," ",ORÇAMENTO.CodBarra)))</f>
        <v>SINAPI 101489</v>
      </c>
      <c r="AF177" s="12"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10950</v>
      </c>
      <c r="AG177" s="428" cm="1">
        <f t="array" aca="1" ref="AG177" ca="1">ROUND(IF(DESONERACAO="sim",REFERENCIA.Desonerado,REFERENCIA.NaoDesonerado),2)</f>
        <v>1685.98</v>
      </c>
      <c r="AH177" s="429">
        <f t="shared" ca="1" si="14"/>
        <v>0.22470000000000001</v>
      </c>
      <c r="AJ177" s="431">
        <v>30</v>
      </c>
      <c r="AL177" s="439"/>
      <c r="AM177" s="336">
        <f t="shared" ref="AM177:AM192" ca="1" si="54">$X177</f>
        <v>61944.6</v>
      </c>
      <c r="AN177" s="470" cm="1">
        <f t="array" aca="1" ref="AN177" ca="1">ROUND(ORÇAMENTO.CustoUnitario*(1+$AH177),2)</f>
        <v>2064.8200000000002</v>
      </c>
    </row>
    <row r="178" spans="1:40" ht="25.5" x14ac:dyDescent="0.2">
      <c r="A178" t="str">
        <f t="shared" si="1"/>
        <v>S</v>
      </c>
      <c r="B178">
        <f t="shared" ca="1" si="2"/>
        <v>3</v>
      </c>
      <c r="C178" t="str">
        <f t="shared" ca="1" si="3"/>
        <v>S</v>
      </c>
      <c r="D178">
        <f t="shared" ca="1" si="4"/>
        <v>0</v>
      </c>
      <c r="E178">
        <f ca="1">IF($C178=1,OFFSET(E178,-1,0)+MAX(1,COUNTIF(QCI!$A$13:$A$24,OFFSET(ORÇAMENTO!E178,-1,0))),OFFSET(E178,-1,0))</f>
        <v>1</v>
      </c>
      <c r="F178">
        <f t="shared" ca="1" si="5"/>
        <v>9</v>
      </c>
      <c r="G178">
        <f t="shared" ca="1" si="6"/>
        <v>1</v>
      </c>
      <c r="H178">
        <f t="shared" ca="1" si="7"/>
        <v>0</v>
      </c>
      <c r="I178">
        <f t="shared" ca="1" si="8"/>
        <v>2</v>
      </c>
      <c r="J178">
        <f t="shared" ca="1" si="47"/>
        <v>0</v>
      </c>
      <c r="K178">
        <f ca="1">IF(OR($C178="S",$C178=0),0,MATCH(OFFSET($D178,0,$C178)+IF($C178&lt;&gt;1,1,COUNTIF(QCI!$A$13:$A$24,ORÇAMENTO!E178)),OFFSET($D178,1,$C178,ROW($C$240)-ROW($C178)),0))</f>
        <v>0</v>
      </c>
      <c r="L178" s="114" t="str">
        <f t="shared" ca="1" si="10"/>
        <v>F</v>
      </c>
      <c r="M178" s="115" t="s">
        <v>705</v>
      </c>
      <c r="N178" s="116" t="str">
        <f t="shared" ca="1" si="11"/>
        <v>Serviço</v>
      </c>
      <c r="O178" s="117" t="str">
        <f t="shared" ca="1" si="12"/>
        <v>1.9.1.0.2.</v>
      </c>
      <c r="P178" s="118" t="s">
        <v>954</v>
      </c>
      <c r="Q178" s="119" t="s">
        <v>1094</v>
      </c>
      <c r="R178" s="120" t="str" cm="1">
        <f t="array" aca="1" ref="R178" ca="1">IF($C178="S",REFERENCIA.Descricao,"(digite a descrição aqui)")</f>
        <v>POSTE DE CONCRETO ARMADO DE SECAO DUPLO T, EXTENSAO DE 8,00 M, RESISTENCIA DE 150 DAN, TIPO D</v>
      </c>
      <c r="S178" s="121" t="str" cm="1">
        <f t="array" aca="1" ref="S178" ca="1">REFERENCIA.Unidade</f>
        <v>UN</v>
      </c>
      <c r="T178" s="122">
        <f ca="1">OFFSET(CÁLCULO!H$15,ROW($T178)-ROW(T$15),0)</f>
        <v>30</v>
      </c>
      <c r="U178" s="123">
        <f t="shared" ca="1" si="53"/>
        <v>645.16999999999996</v>
      </c>
      <c r="V178" s="124" t="s">
        <v>663</v>
      </c>
      <c r="W178" s="122" cm="1">
        <f t="array" aca="1" ref="W178" ca="1">IF($C178="S",ROUND(IF(TIPOORCAMENTO="Proposto",ORÇAMENTO.CustoUnitario*(1+$AH178),ORÇAMENTO.PrecoUnitarioLicitado),15-13*$AF$10),0)</f>
        <v>790.14</v>
      </c>
      <c r="X178" s="125" cm="1">
        <f t="array" aca="1" ref="X178" ca="1">IF($C178="S",IF(OR(Import.TipoArredondamento&lt;&gt;"TransfereGOV",ACOMPANHAMENTO="BM"),VTOTAL1,SUM(OFFSET(CÁLCULO!$AA$15,ROW($X178)-ROW($X$15),1):OFFSET(CÁLCULO!$AL$15,ROW($X178)-ROW($X$15),-1))),IF($C178=0,0,ROUND(SomaAgrup,15-13*$AF$11)))</f>
        <v>23704.2</v>
      </c>
      <c r="Y178" s="126" t="s">
        <v>751</v>
      </c>
      <c r="Z178" t="str">
        <f t="shared" ca="1" si="13"/>
        <v>RA</v>
      </c>
      <c r="AA178" s="127" cm="1">
        <f t="array" aca="1" ref="AA178" ca="1">IF($C178="S",IF($Z178="CP",$X178,IF($Z178="RA",(($X178)*QCI!$AA$3),0)),SomaAgrup)</f>
        <v>11080.001214430684</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str" cm="1">
        <f t="array" aca="1" ref="AE178" ca="1">IF(AND($C178="S",ORÇAMENTO.CodBarra&lt;&gt;""),IF(ORÇAMENTO.Fonte="",ORÇAMENTO.CodBarra,CONCATENATE(ORÇAMENTO.Fonte," ",ORÇAMENTO.CodBarra)))</f>
        <v>SINAPI-I 41195</v>
      </c>
      <c r="AF178" s="12"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3558</v>
      </c>
      <c r="AG178" s="428" cm="1">
        <f t="array" aca="1" ref="AG178" ca="1">ROUND(IF(DESONERACAO="sim",REFERENCIA.Desonerado,REFERENCIA.NaoDesonerado),2)</f>
        <v>645.16999999999996</v>
      </c>
      <c r="AH178" s="429">
        <f t="shared" ca="1" si="14"/>
        <v>0.22470000000000001</v>
      </c>
      <c r="AJ178" s="431">
        <v>30</v>
      </c>
      <c r="AL178" s="439"/>
      <c r="AM178" s="336">
        <f t="shared" ca="1" si="54"/>
        <v>23704.2</v>
      </c>
      <c r="AN178" s="470" cm="1">
        <f t="array" aca="1" ref="AN178" ca="1">ROUND(ORÇAMENTO.CustoUnitario*(1+$AH178),2)</f>
        <v>790.14</v>
      </c>
    </row>
    <row r="179" spans="1:40" ht="51" x14ac:dyDescent="0.2">
      <c r="A179" t="str">
        <f t="shared" si="1"/>
        <v>S</v>
      </c>
      <c r="B179">
        <f t="shared" ca="1" si="2"/>
        <v>3</v>
      </c>
      <c r="C179" t="str">
        <f t="shared" ca="1" si="3"/>
        <v>S</v>
      </c>
      <c r="D179">
        <f t="shared" ca="1" si="4"/>
        <v>0</v>
      </c>
      <c r="E179">
        <f ca="1">IF($C179=1,OFFSET(E179,-1,0)+MAX(1,COUNTIF(QCI!$A$13:$A$24,OFFSET(ORÇAMENTO!E179,-1,0))),OFFSET(E179,-1,0))</f>
        <v>1</v>
      </c>
      <c r="F179">
        <f t="shared" ca="1" si="5"/>
        <v>9</v>
      </c>
      <c r="G179">
        <f t="shared" ca="1" si="6"/>
        <v>1</v>
      </c>
      <c r="H179">
        <f t="shared" ca="1" si="7"/>
        <v>0</v>
      </c>
      <c r="I179">
        <f t="shared" ca="1" si="8"/>
        <v>3</v>
      </c>
      <c r="J179">
        <f t="shared" ca="1" si="47"/>
        <v>0</v>
      </c>
      <c r="K179">
        <f ca="1">IF(OR($C179="S",$C179=0),0,MATCH(OFFSET($D179,0,$C179)+IF($C179&lt;&gt;1,1,COUNTIF(QCI!$A$13:$A$24,ORÇAMENTO!E179)),OFFSET($D179,1,$C179,ROW($C$240)-ROW($C179)),0))</f>
        <v>0</v>
      </c>
      <c r="L179" s="114" t="str">
        <f t="shared" ca="1" si="10"/>
        <v>F</v>
      </c>
      <c r="M179" s="115" t="s">
        <v>705</v>
      </c>
      <c r="N179" s="116" t="str">
        <f t="shared" ca="1" si="11"/>
        <v>Serviço</v>
      </c>
      <c r="O179" s="117" t="str">
        <f t="shared" ca="1" si="12"/>
        <v>1.9.1.0.3.</v>
      </c>
      <c r="P179" s="118" t="s">
        <v>750</v>
      </c>
      <c r="Q179" s="119" t="s">
        <v>1095</v>
      </c>
      <c r="R179" s="120" t="str" cm="1">
        <f t="array" aca="1" ref="R179" ca="1">IF($C179="S",REFERENCIA.Descricao,"(digite a descrição aqui)")</f>
        <v>ASSENTAMENTO DE POSTE DE CONCRETO COM COMPRIMENTO NOMINAL DE 9 M, CARGA NOMINAL MENOR OU IGUAL A 1000 DAN, ENGASTAMENTO SIMPLES COM 1,5 M DE SOLO (NÃO INCLUI FORNECIMENTO). AF_04/2025</v>
      </c>
      <c r="S179" s="121" t="str" cm="1">
        <f t="array" aca="1" ref="S179" ca="1">REFERENCIA.Unidade</f>
        <v>UN</v>
      </c>
      <c r="T179" s="122">
        <f ca="1">OFFSET(CÁLCULO!H$15,ROW($T179)-ROW(T$15),0)</f>
        <v>30</v>
      </c>
      <c r="U179" s="123">
        <f t="shared" ca="1" si="53"/>
        <v>632.26</v>
      </c>
      <c r="V179" s="124" t="s">
        <v>663</v>
      </c>
      <c r="W179" s="122" cm="1">
        <f t="array" aca="1" ref="W179" ca="1">IF($C179="S",ROUND(IF(TIPOORCAMENTO="Proposto",ORÇAMENTO.CustoUnitario*(1+$AH179),ORÇAMENTO.PrecoUnitarioLicitado),15-13*$AF$10),0)</f>
        <v>774.33</v>
      </c>
      <c r="X179" s="125" cm="1">
        <f t="array" aca="1" ref="X179" ca="1">IF($C179="S",IF(OR(Import.TipoArredondamento&lt;&gt;"TransfereGOV",ACOMPANHAMENTO="BM"),VTOTAL1,SUM(OFFSET(CÁLCULO!$AA$15,ROW($X179)-ROW($X$15),1):OFFSET(CÁLCULO!$AL$15,ROW($X179)-ROW($X$15),-1))),IF($C179=0,0,ROUND(SomaAgrup,15-13*$AF$11)))</f>
        <v>23229.9</v>
      </c>
      <c r="Y179" s="126" t="s">
        <v>751</v>
      </c>
      <c r="Z179" t="str">
        <f t="shared" ca="1" si="13"/>
        <v>RA</v>
      </c>
      <c r="AA179" s="127" cm="1">
        <f t="array" aca="1" ref="AA179" ca="1">IF($C179="S",IF($Z179="CP",$X179,IF($Z179="RA",(($X179)*QCI!$AA$3),0)),SomaAgrup)</f>
        <v>10858.300225744946</v>
      </c>
      <c r="AB179" s="128" cm="1">
        <f t="array" aca="1" ref="AB179" ca="1">IF($C179="S",IF($Z179="OU",ROUND($X179,2),0),SomaAgrup)</f>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str" cm="1">
        <f t="array" aca="1" ref="AE179" ca="1">IF(AND($C179="S",ORÇAMENTO.CodBarra&lt;&gt;""),IF(ORÇAMENTO.Fonte="",ORÇAMENTO.CodBarra,CONCATENATE(ORÇAMENTO.Fonte," ",ORÇAMENTO.CodBarra)))</f>
        <v>SINAPI 100578</v>
      </c>
      <c r="AF179" s="12"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14401</v>
      </c>
      <c r="AG179" s="428" cm="1">
        <f t="array" aca="1" ref="AG179" ca="1">ROUND(IF(DESONERACAO="sim",REFERENCIA.Desonerado,REFERENCIA.NaoDesonerado),2)</f>
        <v>632.26</v>
      </c>
      <c r="AH179" s="429">
        <f t="shared" ca="1" si="14"/>
        <v>0.22470000000000001</v>
      </c>
      <c r="AJ179" s="431">
        <v>30</v>
      </c>
      <c r="AL179" s="439"/>
      <c r="AM179" s="336">
        <f t="shared" ca="1" si="54"/>
        <v>23229.9</v>
      </c>
      <c r="AN179" s="470" cm="1">
        <f t="array" aca="1" ref="AN179" ca="1">ROUND(ORÇAMENTO.CustoUnitario*(1+$AH179),2)</f>
        <v>774.33</v>
      </c>
    </row>
    <row r="180" spans="1:40" x14ac:dyDescent="0.2">
      <c r="A180">
        <f t="shared" si="1"/>
        <v>3</v>
      </c>
      <c r="B180">
        <f t="shared" ca="1" si="2"/>
        <v>3</v>
      </c>
      <c r="C180">
        <f t="shared" ca="1" si="3"/>
        <v>3</v>
      </c>
      <c r="D180">
        <f t="shared" ca="1" si="4"/>
        <v>5</v>
      </c>
      <c r="E180">
        <f ca="1">IF($C180=1,OFFSET(E180,-1,0)+MAX(1,COUNTIF(QCI!$A$13:$A$24,OFFSET(ORÇAMENTO!E180,-1,0))),OFFSET(E180,-1,0))</f>
        <v>1</v>
      </c>
      <c r="F180">
        <f t="shared" ca="1" si="5"/>
        <v>9</v>
      </c>
      <c r="G180">
        <f t="shared" ca="1" si="6"/>
        <v>2</v>
      </c>
      <c r="H180">
        <f t="shared" ca="1" si="7"/>
        <v>0</v>
      </c>
      <c r="I180">
        <f t="shared" ca="1" si="8"/>
        <v>0</v>
      </c>
      <c r="J180">
        <f t="shared" ca="1" si="47"/>
        <v>13</v>
      </c>
      <c r="K180">
        <f ca="1">IF(OR($C180="S",$C180=0),0,MATCH(OFFSET($D180,0,$C180)+IF($C180&lt;&gt;1,1,COUNTIF(QCI!$A$13:$A$24,ORÇAMENTO!E180)),OFFSET($D180,1,$C180,ROW($C$240)-ROW($C180)),0))</f>
        <v>5</v>
      </c>
      <c r="L180" s="114" t="str">
        <f t="shared" ca="1" si="10"/>
        <v>F</v>
      </c>
      <c r="M180" s="115" t="s">
        <v>703</v>
      </c>
      <c r="N180" s="116" t="str">
        <f t="shared" ca="1" si="11"/>
        <v>Nível 3</v>
      </c>
      <c r="O180" s="117" t="str">
        <f t="shared" ca="1" si="12"/>
        <v>1.9.2.</v>
      </c>
      <c r="P180" s="118" t="s">
        <v>750</v>
      </c>
      <c r="Q180" s="119"/>
      <c r="R180" s="120" t="s">
        <v>1096</v>
      </c>
      <c r="S180" s="121" t="str" cm="1">
        <f t="array" aca="1" ref="S180" ca="1">REFERENCIA.Unidade</f>
        <v>-</v>
      </c>
      <c r="T180" s="122">
        <f ca="1">OFFSET(CÁLCULO!H$15,ROW($T180)-ROW(T$15),0)</f>
        <v>0</v>
      </c>
      <c r="U180" s="123"/>
      <c r="V180" s="124" t="s">
        <v>663</v>
      </c>
      <c r="W180" s="122" cm="1">
        <f t="array" aca="1" ref="W180" ca="1">IF($C180="S",ROUND(IF(TIPOORCAMENTO="Proposto",ORÇAMENTO.CustoUnitario*(1+$AH180),ORÇAMENTO.PrecoUnitarioLicitado),15-13*$AF$10),0)</f>
        <v>0</v>
      </c>
      <c r="X180" s="125" cm="1">
        <f t="array" aca="1" ref="X180" ca="1">IF($C180="S",IF(OR(Import.TipoArredondamento&lt;&gt;"TransfereGOV",ACOMPANHAMENTO="BM"),VTOTAL1,SUM(OFFSET(CÁLCULO!$AA$15,ROW($X180)-ROW($X$15),1):OFFSET(CÁLCULO!$AL$15,ROW($X180)-ROW($X$15),-1))),IF($C180=0,0,ROUND(SomaAgrup,15-13*$AF$11)))</f>
        <v>160608.9</v>
      </c>
      <c r="Y180" s="126" t="s">
        <v>751</v>
      </c>
      <c r="Z180" t="str">
        <f t="shared" ca="1" si="13"/>
        <v/>
      </c>
      <c r="AA180" s="127" cm="1">
        <f t="array" aca="1" ref="AA180" ca="1">IF($C180="S",IF($Z180="CP",$X180,IF($Z180="RA",(($X180)*QCI!$AA$3),0)),SomaAgrup)</f>
        <v>75073.059080178879</v>
      </c>
      <c r="AB180" s="128" cm="1">
        <f t="array" aca="1" ref="AB180" ca="1">IF($C180="S",IF($Z180="OU",ROUND($X180,2),0),SomaAgrup)</f>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7" t="b" cm="1">
        <f t="array" aca="1" ref="AE180" ca="1">IF(AND($C180="S",ORÇAMENTO.CodBarra&lt;&gt;""),IF(ORÇAMENTO.Fonte="",ORÇAMENTO.CodBarra,CONCATENATE(ORÇAMENTO.Fonte," ",ORÇAMENTO.CodBarra)))</f>
        <v>0</v>
      </c>
      <c r="AF180" s="12"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(Sem Código)</v>
      </c>
      <c r="AG180" s="428" cm="1">
        <f t="array" aca="1" ref="AG180" ca="1">ROUND(IF(DESONERACAO="sim",REFERENCIA.Desonerado,REFERENCIA.NaoDesonerado),2)</f>
        <v>0</v>
      </c>
      <c r="AH180" s="429">
        <f t="shared" ca="1" si="14"/>
        <v>0.22470000000000001</v>
      </c>
      <c r="AJ180" s="431"/>
      <c r="AL180" s="439"/>
      <c r="AM180" s="336">
        <f t="shared" ca="1" si="54"/>
        <v>160608.9</v>
      </c>
      <c r="AN180" s="470" cm="1">
        <f t="array" aca="1" ref="AN180" ca="1">ROUND(ORÇAMENTO.CustoUnitario*(1+$AH180),2)</f>
        <v>0</v>
      </c>
    </row>
    <row r="181" spans="1:40" ht="51" x14ac:dyDescent="0.2">
      <c r="A181" t="str">
        <f t="shared" si="1"/>
        <v>S</v>
      </c>
      <c r="B181">
        <f t="shared" ca="1" si="2"/>
        <v>3</v>
      </c>
      <c r="C181" t="str">
        <f t="shared" ca="1" si="3"/>
        <v>S</v>
      </c>
      <c r="D181">
        <f t="shared" ca="1" si="4"/>
        <v>0</v>
      </c>
      <c r="E181">
        <f ca="1">IF($C181=1,OFFSET(E181,-1,0)+MAX(1,COUNTIF(QCI!$A$13:$A$24,OFFSET(ORÇAMENTO!E181,-1,0))),OFFSET(E181,-1,0))</f>
        <v>1</v>
      </c>
      <c r="F181">
        <f t="shared" ca="1" si="5"/>
        <v>9</v>
      </c>
      <c r="G181">
        <f t="shared" ca="1" si="6"/>
        <v>2</v>
      </c>
      <c r="H181">
        <f t="shared" ca="1" si="7"/>
        <v>0</v>
      </c>
      <c r="I181">
        <f t="shared" ca="1" si="8"/>
        <v>1</v>
      </c>
      <c r="J181">
        <f t="shared" ca="1" si="47"/>
        <v>0</v>
      </c>
      <c r="K181">
        <f ca="1">IF(OR($C181="S",$C181=0),0,MATCH(OFFSET($D181,0,$C181)+IF($C181&lt;&gt;1,1,COUNTIF(QCI!$A$13:$A$24,ORÇAMENTO!E181)),OFFSET($D181,1,$C181,ROW($C$240)-ROW($C181)),0))</f>
        <v>0</v>
      </c>
      <c r="L181" s="114" t="str">
        <f t="shared" ca="1" si="10"/>
        <v>F</v>
      </c>
      <c r="M181" s="115" t="s">
        <v>705</v>
      </c>
      <c r="N181" s="116" t="str">
        <f t="shared" ca="1" si="11"/>
        <v>Serviço</v>
      </c>
      <c r="O181" s="117" t="str">
        <f t="shared" ca="1" si="12"/>
        <v>1.9.2.0.1.</v>
      </c>
      <c r="P181" s="118" t="s">
        <v>1097</v>
      </c>
      <c r="Q181" s="119" t="s">
        <v>1098</v>
      </c>
      <c r="R181" s="120" t="str" cm="1">
        <f t="array" aca="1" ref="R181" ca="1">IF($C181="S",REFERENCIA.Descricao,"(digite a descrição aqui)")</f>
        <v>PONTO ELÉTRICO DE ILUMINAÇÃO, COM INTERRUPTOR SIMPLES, EM EDIFÍCIO RESIDENCIAL COM ELETRODUTO EMBUTIDO EM RASGOS NAS PAREDES, INCLUSO TOMADA, ELETRODUTO, CABO, RASGO E CHUMBAMENTO (SEM LUMINÁRIA E LÂMPADA)</v>
      </c>
      <c r="S181" s="121" t="str" cm="1">
        <f t="array" aca="1" ref="S181" ca="1">REFERENCIA.Unidade</f>
        <v>UN</v>
      </c>
      <c r="T181" s="122">
        <f ca="1">OFFSET(CÁLCULO!H$15,ROW($T181)-ROW(T$15),0)</f>
        <v>240</v>
      </c>
      <c r="U181" s="123">
        <f t="shared" ref="U181:U184" ca="1" si="55">AG181</f>
        <v>193.29</v>
      </c>
      <c r="V181" s="124" t="s">
        <v>663</v>
      </c>
      <c r="W181" s="122" cm="1">
        <f t="array" aca="1" ref="W181" ca="1">IF($C181="S",ROUND(IF(TIPOORCAMENTO="Proposto",ORÇAMENTO.CustoUnitario*(1+$AH181),ORÇAMENTO.PrecoUnitarioLicitado),15-13*$AF$10),0)</f>
        <v>236.72</v>
      </c>
      <c r="X181" s="125" cm="1">
        <f t="array" aca="1" ref="X181" ca="1">IF($C181="S",IF(OR(Import.TipoArredondamento&lt;&gt;"TransfereGOV",ACOMPANHAMENTO="BM"),VTOTAL1,SUM(OFFSET(CÁLCULO!$AA$15,ROW($X181)-ROW($X$15),1):OFFSET(CÁLCULO!$AL$15,ROW($X181)-ROW($X$15),-1))),IF($C181=0,0,ROUND(SomaAgrup,15-13*$AF$11)))</f>
        <v>56812.800000000003</v>
      </c>
      <c r="Y181" s="126" t="s">
        <v>751</v>
      </c>
      <c r="Z181" t="str">
        <f t="shared" ca="1" si="13"/>
        <v>RA</v>
      </c>
      <c r="AA181" s="127" cm="1">
        <f t="array" aca="1" ref="AA181" ca="1">IF($C181="S",IF($Z181="CP",$X181,IF($Z181="RA",(($X181)*QCI!$AA$3),0)),SomaAgrup)</f>
        <v>26555.880096995788</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str" cm="1">
        <f t="array" aca="1" ref="AE181" ca="1">IF(AND($C181="S",ORÇAMENTO.CodBarra&lt;&gt;""),IF(ORÇAMENTO.Fonte="",ORÇAMENTO.CodBarra,CONCATENATE(ORÇAMENTO.Fonte," ",ORÇAMENTO.CodBarra)))</f>
        <v>COMPOSIÇÃO 002</v>
      </c>
      <c r="AF181" s="12"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4</v>
      </c>
      <c r="AG181" s="428" cm="1">
        <f t="array" aca="1" ref="AG181" ca="1">ROUND(IF(DESONERACAO="sim",REFERENCIA.Desonerado,REFERENCIA.NaoDesonerado),2)</f>
        <v>193.29</v>
      </c>
      <c r="AH181" s="429">
        <f t="shared" ca="1" si="14"/>
        <v>0.22470000000000001</v>
      </c>
      <c r="AJ181" s="431">
        <v>240</v>
      </c>
      <c r="AL181" s="439"/>
      <c r="AM181" s="336">
        <f t="shared" ca="1" si="54"/>
        <v>56812.800000000003</v>
      </c>
      <c r="AN181" s="470" cm="1">
        <f t="array" aca="1" ref="AN181" ca="1">ROUND(ORÇAMENTO.CustoUnitario*(1+$AH181),2)</f>
        <v>236.72</v>
      </c>
    </row>
    <row r="182" spans="1:40" ht="63.75" x14ac:dyDescent="0.2">
      <c r="A182" t="str">
        <f t="shared" si="1"/>
        <v>S</v>
      </c>
      <c r="B182">
        <f t="shared" ca="1" si="2"/>
        <v>3</v>
      </c>
      <c r="C182" t="str">
        <f t="shared" ca="1" si="3"/>
        <v>S</v>
      </c>
      <c r="D182">
        <f t="shared" ca="1" si="4"/>
        <v>0</v>
      </c>
      <c r="E182">
        <f ca="1">IF($C182=1,OFFSET(E182,-1,0)+MAX(1,COUNTIF(QCI!$A$13:$A$24,OFFSET(ORÇAMENTO!E182,-1,0))),OFFSET(E182,-1,0))</f>
        <v>1</v>
      </c>
      <c r="F182">
        <f t="shared" ca="1" si="5"/>
        <v>9</v>
      </c>
      <c r="G182">
        <f t="shared" ca="1" si="6"/>
        <v>2</v>
      </c>
      <c r="H182">
        <f t="shared" ca="1" si="7"/>
        <v>0</v>
      </c>
      <c r="I182">
        <f t="shared" ca="1" si="8"/>
        <v>2</v>
      </c>
      <c r="J182">
        <f t="shared" ca="1" si="47"/>
        <v>0</v>
      </c>
      <c r="K182">
        <f ca="1">IF(OR($C182="S",$C182=0),0,MATCH(OFFSET($D182,0,$C182)+IF($C182&lt;&gt;1,1,COUNTIF(QCI!$A$13:$A$24,ORÇAMENTO!E182)),OFFSET($D182,1,$C182,ROW($C$240)-ROW($C182)),0))</f>
        <v>0</v>
      </c>
      <c r="L182" s="114" t="str">
        <f t="shared" ca="1" si="10"/>
        <v>F</v>
      </c>
      <c r="M182" s="115" t="s">
        <v>705</v>
      </c>
      <c r="N182" s="116" t="str">
        <f t="shared" ca="1" si="11"/>
        <v>Serviço</v>
      </c>
      <c r="O182" s="117" t="str">
        <f t="shared" ca="1" si="12"/>
        <v>1.9.2.0.2.</v>
      </c>
      <c r="P182" s="118" t="s">
        <v>1097</v>
      </c>
      <c r="Q182" s="119" t="s">
        <v>1099</v>
      </c>
      <c r="R182" s="120" t="str" cm="1">
        <f t="array" aca="1" ref="R182" ca="1">IF($C182="S",REFERENCIA.Descricao,"(digite a descrição aqui)")</f>
        <v>PONTO ELÉTRICO DE ILUMINAÇÃO, COM INTERRUPTOR PARALELO, EM EDIFÍCIO RESIDENCIAL COM ELETRODUTO EMBUTIDO EM RASGOS NAS PAREDES, INCLUSO CAIXA ELÉTRICA, MÓDULO DE TOMADA, ELETRODUTO, CABO, RASGO, QUEBRA E CHUMBAMENTO (SEM LUMINÁRIA E LÂMPADA)</v>
      </c>
      <c r="S182" s="121" t="str" cm="1">
        <f t="array" aca="1" ref="S182" ca="1">REFERENCIA.Unidade</f>
        <v>UN</v>
      </c>
      <c r="T182" s="122">
        <f ca="1">OFFSET(CÁLCULO!H$15,ROW($T182)-ROW(T$15),0)</f>
        <v>330</v>
      </c>
      <c r="U182" s="123">
        <f t="shared" ca="1" si="55"/>
        <v>164.48</v>
      </c>
      <c r="V182" s="124" t="s">
        <v>663</v>
      </c>
      <c r="W182" s="122" cm="1">
        <f t="array" aca="1" ref="W182" ca="1">IF($C182="S",ROUND(IF(TIPOORCAMENTO="Proposto",ORÇAMENTO.CustoUnitario*(1+$AH182),ORÇAMENTO.PrecoUnitarioLicitado),15-13*$AF$10),0)</f>
        <v>201.44</v>
      </c>
      <c r="X182" s="125" cm="1">
        <f t="array" aca="1" ref="X182" ca="1">IF($C182="S",IF(OR(Import.TipoArredondamento&lt;&gt;"TransfereGOV",ACOMPANHAMENTO="BM"),VTOTAL1,SUM(OFFSET(CÁLCULO!$AA$15,ROW($X182)-ROW($X$15),1):OFFSET(CÁLCULO!$AL$15,ROW($X182)-ROW($X$15),-1))),IF($C182=0,0,ROUND(SomaAgrup,15-13*$AF$11)))</f>
        <v>66475.199999999997</v>
      </c>
      <c r="Y182" s="126" t="s">
        <v>751</v>
      </c>
      <c r="Z182" t="str">
        <f t="shared" ca="1" si="13"/>
        <v>RA</v>
      </c>
      <c r="AA182" s="127" cm="1">
        <f t="array" aca="1" ref="AA182" ca="1">IF($C182="S",IF($Z182="CP",$X182,IF($Z182="RA",(($X182)*QCI!$AA$3),0)),SomaAgrup)</f>
        <v>31072.354128362171</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str" cm="1">
        <f t="array" aca="1" ref="AE182" ca="1">IF(AND($C182="S",ORÇAMENTO.CodBarra&lt;&gt;""),IF(ORÇAMENTO.Fonte="",ORÇAMENTO.CodBarra,CONCATENATE(ORÇAMENTO.Fonte," ",ORÇAMENTO.CodBarra)))</f>
        <v>COMPOSIÇÃO 003</v>
      </c>
      <c r="AF182" s="12"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5</v>
      </c>
      <c r="AG182" s="428" cm="1">
        <f t="array" aca="1" ref="AG182" ca="1">ROUND(IF(DESONERACAO="sim",REFERENCIA.Desonerado,REFERENCIA.NaoDesonerado),2)</f>
        <v>164.48</v>
      </c>
      <c r="AH182" s="429">
        <f t="shared" ca="1" si="14"/>
        <v>0.22470000000000001</v>
      </c>
      <c r="AJ182" s="431">
        <v>330</v>
      </c>
      <c r="AL182" s="439"/>
      <c r="AM182" s="336">
        <f t="shared" ca="1" si="54"/>
        <v>66475.199999999997</v>
      </c>
      <c r="AN182" s="470" cm="1">
        <f t="array" aca="1" ref="AN182" ca="1">ROUND(ORÇAMENTO.CustoUnitario*(1+$AH182),2)</f>
        <v>201.44</v>
      </c>
    </row>
    <row r="183" spans="1:40" ht="51" x14ac:dyDescent="0.2">
      <c r="A183" t="str">
        <f t="shared" si="1"/>
        <v>S</v>
      </c>
      <c r="B183">
        <f t="shared" ca="1" si="2"/>
        <v>3</v>
      </c>
      <c r="C183" t="str">
        <f t="shared" ca="1" si="3"/>
        <v>S</v>
      </c>
      <c r="D183">
        <f t="shared" ca="1" si="4"/>
        <v>0</v>
      </c>
      <c r="E183">
        <f ca="1">IF($C183=1,OFFSET(E183,-1,0)+MAX(1,COUNTIF(QCI!$A$13:$A$24,OFFSET(ORÇAMENTO!E183,-1,0))),OFFSET(E183,-1,0))</f>
        <v>1</v>
      </c>
      <c r="F183">
        <f t="shared" ca="1" si="5"/>
        <v>9</v>
      </c>
      <c r="G183">
        <f t="shared" ca="1" si="6"/>
        <v>2</v>
      </c>
      <c r="H183">
        <f t="shared" ca="1" si="7"/>
        <v>0</v>
      </c>
      <c r="I183">
        <f t="shared" ca="1" si="8"/>
        <v>3</v>
      </c>
      <c r="J183">
        <f t="shared" ca="1" si="47"/>
        <v>0</v>
      </c>
      <c r="K183">
        <f ca="1">IF(OR($C183="S",$C183=0),0,MATCH(OFFSET($D183,0,$C183)+IF($C183&lt;&gt;1,1,COUNTIF(QCI!$A$13:$A$24,ORÇAMENTO!E183)),OFFSET($D183,1,$C183,ROW($C$240)-ROW($C183)),0))</f>
        <v>0</v>
      </c>
      <c r="L183" s="114" t="str">
        <f t="shared" ca="1" si="10"/>
        <v>F</v>
      </c>
      <c r="M183" s="115" t="s">
        <v>705</v>
      </c>
      <c r="N183" s="116" t="str">
        <f t="shared" ca="1" si="11"/>
        <v>Serviço</v>
      </c>
      <c r="O183" s="117" t="str">
        <f t="shared" ca="1" si="12"/>
        <v>1.9.2.0.3.</v>
      </c>
      <c r="P183" s="118" t="s">
        <v>1097</v>
      </c>
      <c r="Q183" s="119" t="s">
        <v>1100</v>
      </c>
      <c r="R183" s="120" t="str" cm="1">
        <f t="array" aca="1" ref="R183" ca="1">IF($C183="S",REFERENCIA.Descricao,"(digite a descrição aqui)")</f>
        <v>PONTO ELÉTRICO DE TOMADA DE USO GERAL 2P+T (10A/250V) EM EDIFÍCIO RESIDENCIAL COM ELETRODUTO EMBUTIDO EM RASGOS NAS PAREDES, INCLUSO TOMADA, ELETRODUTO, CABO, RASGO, QUEBRA E CHUMBAMENTO.</v>
      </c>
      <c r="S183" s="121" t="str" cm="1">
        <f t="array" aca="1" ref="S183" ca="1">REFERENCIA.Unidade</f>
        <v>UN</v>
      </c>
      <c r="T183" s="122">
        <f ca="1">OFFSET(CÁLCULO!H$15,ROW($T183)-ROW(T$15),0)</f>
        <v>90</v>
      </c>
      <c r="U183" s="123">
        <f t="shared" ca="1" si="55"/>
        <v>210.78</v>
      </c>
      <c r="V183" s="124" t="s">
        <v>663</v>
      </c>
      <c r="W183" s="122" cm="1">
        <f t="array" aca="1" ref="W183" ca="1">IF($C183="S",ROUND(IF(TIPOORCAMENTO="Proposto",ORÇAMENTO.CustoUnitario*(1+$AH183),ORÇAMENTO.PrecoUnitarioLicitado),15-13*$AF$10),0)</f>
        <v>258.14</v>
      </c>
      <c r="X183" s="125" cm="1">
        <f t="array" aca="1" ref="X183" ca="1">IF($C183="S",IF(OR(Import.TipoArredondamento&lt;&gt;"TransfereGOV",ACOMPANHAMENTO="BM"),VTOTAL1,SUM(OFFSET(CÁLCULO!$AA$15,ROW($X183)-ROW($X$15),1):OFFSET(CÁLCULO!$AL$15,ROW($X183)-ROW($X$15),-1))),IF($C183=0,0,ROUND(SomaAgrup,15-13*$AF$11)))</f>
        <v>23232.6</v>
      </c>
      <c r="Y183" s="126" t="s">
        <v>751</v>
      </c>
      <c r="Z183" t="str">
        <f t="shared" ca="1" si="13"/>
        <v>RA</v>
      </c>
      <c r="AA183" s="127" cm="1">
        <f t="array" aca="1" ref="AA183" ca="1">IF($C183="S",IF($Z183="CP",$X183,IF($Z183="RA",(($X183)*QCI!$AA$3),0)),SomaAgrup)</f>
        <v>10859.562280709</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7" t="str" cm="1">
        <f t="array" aca="1" ref="AE183" ca="1">IF(AND($C183="S",ORÇAMENTO.CodBarra&lt;&gt;""),IF(ORÇAMENTO.Fonte="",ORÇAMENTO.CodBarra,CONCATENATE(ORÇAMENTO.Fonte," ",ORÇAMENTO.CodBarra)))</f>
        <v>COMPOSIÇÃO 004</v>
      </c>
      <c r="AF183" s="12"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6</v>
      </c>
      <c r="AG183" s="428" cm="1">
        <f t="array" aca="1" ref="AG183" ca="1">ROUND(IF(DESONERACAO="sim",REFERENCIA.Desonerado,REFERENCIA.NaoDesonerado),2)</f>
        <v>210.78</v>
      </c>
      <c r="AH183" s="429">
        <f t="shared" ca="1" si="14"/>
        <v>0.22470000000000001</v>
      </c>
      <c r="AJ183" s="431">
        <v>90</v>
      </c>
      <c r="AL183" s="439"/>
      <c r="AM183" s="336">
        <f t="shared" ca="1" si="54"/>
        <v>23232.6</v>
      </c>
      <c r="AN183" s="470" cm="1">
        <f t="array" aca="1" ref="AN183" ca="1">ROUND(ORÇAMENTO.CustoUnitario*(1+$AH183),2)</f>
        <v>258.14</v>
      </c>
    </row>
    <row r="184" spans="1:40" ht="51" x14ac:dyDescent="0.2">
      <c r="A184" t="str">
        <f t="shared" si="1"/>
        <v>S</v>
      </c>
      <c r="B184">
        <f t="shared" ca="1" si="2"/>
        <v>3</v>
      </c>
      <c r="C184" t="str">
        <f t="shared" ca="1" si="3"/>
        <v>S</v>
      </c>
      <c r="D184">
        <f t="shared" ca="1" si="4"/>
        <v>0</v>
      </c>
      <c r="E184">
        <f ca="1">IF($C184=1,OFFSET(E184,-1,0)+MAX(1,COUNTIF(QCI!$A$13:$A$24,OFFSET(ORÇAMENTO!E184,-1,0))),OFFSET(E184,-1,0))</f>
        <v>1</v>
      </c>
      <c r="F184">
        <f t="shared" ca="1" si="5"/>
        <v>9</v>
      </c>
      <c r="G184">
        <f t="shared" ca="1" si="6"/>
        <v>2</v>
      </c>
      <c r="H184">
        <f t="shared" ca="1" si="7"/>
        <v>0</v>
      </c>
      <c r="I184">
        <f t="shared" ca="1" si="8"/>
        <v>4</v>
      </c>
      <c r="J184">
        <f t="shared" ca="1" si="47"/>
        <v>0</v>
      </c>
      <c r="K184">
        <f ca="1">IF(OR($C184="S",$C184=0),0,MATCH(OFFSET($D184,0,$C184)+IF($C184&lt;&gt;1,1,COUNTIF(QCI!$A$13:$A$24,ORÇAMENTO!E184)),OFFSET($D184,1,$C184,ROW($C$240)-ROW($C184)),0))</f>
        <v>0</v>
      </c>
      <c r="L184" s="114" t="str">
        <f t="shared" ca="1" si="10"/>
        <v>F</v>
      </c>
      <c r="M184" s="115" t="s">
        <v>705</v>
      </c>
      <c r="N184" s="116" t="str">
        <f t="shared" ca="1" si="11"/>
        <v>Serviço</v>
      </c>
      <c r="O184" s="117" t="str">
        <f t="shared" ca="1" si="12"/>
        <v>1.9.2.0.4.</v>
      </c>
      <c r="P184" s="118" t="s">
        <v>1097</v>
      </c>
      <c r="Q184" s="119" t="s">
        <v>1101</v>
      </c>
      <c r="R184" s="120" t="str" cm="1">
        <f t="array" aca="1" ref="R184" ca="1">IF($C184="S",REFERENCIA.Descricao,"(digite a descrição aqui)")</f>
        <v>PONTO ELÉTRICO DE TOMADA DE USO ESPECÍFICO 2P+T (20A/250V) EM EDIFÍCIO RESIDENCIAL COM ELETRODUTO EMBUTIDO SEM NECESSIDADE DE RASGOS, INCLUSO TOMADA, ELETRODUTO, CABO E QUEBRA (EXCETO CHUVEIRO).</v>
      </c>
      <c r="S184" s="121" t="str" cm="1">
        <f t="array" aca="1" ref="S184" ca="1">REFERENCIA.Unidade</f>
        <v>UN</v>
      </c>
      <c r="T184" s="122">
        <f ca="1">OFFSET(CÁLCULO!H$15,ROW($T184)-ROW(T$15),0)</f>
        <v>30</v>
      </c>
      <c r="U184" s="123">
        <f t="shared" ca="1" si="55"/>
        <v>383.45</v>
      </c>
      <c r="V184" s="124" t="s">
        <v>663</v>
      </c>
      <c r="W184" s="122" cm="1">
        <f t="array" aca="1" ref="W184" ca="1">IF($C184="S",ROUND(IF(TIPOORCAMENTO="Proposto",ORÇAMENTO.CustoUnitario*(1+$AH184),ORÇAMENTO.PrecoUnitarioLicitado),15-13*$AF$10),0)</f>
        <v>469.61</v>
      </c>
      <c r="X184" s="125" cm="1">
        <f t="array" aca="1" ref="X184" ca="1">IF($C184="S",IF(OR(Import.TipoArredondamento&lt;&gt;"TransfereGOV",ACOMPANHAMENTO="BM"),VTOTAL1,SUM(OFFSET(CÁLCULO!$AA$15,ROW($X184)-ROW($X$15),1):OFFSET(CÁLCULO!$AL$15,ROW($X184)-ROW($X$15),-1))),IF($C184=0,0,ROUND(SomaAgrup,15-13*$AF$11)))</f>
        <v>14088.3</v>
      </c>
      <c r="Y184" s="126" t="s">
        <v>751</v>
      </c>
      <c r="Z184" t="str">
        <f t="shared" ca="1" si="13"/>
        <v>RA</v>
      </c>
      <c r="AA184" s="127" cm="1">
        <f t="array" aca="1" ref="AA184" ca="1">IF($C184="S",IF($Z184="CP",$X184,IF($Z184="RA",(($X184)*QCI!$AA$3),0)),SomaAgrup)</f>
        <v>6585.2625741119209</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str" cm="1">
        <f t="array" aca="1" ref="AE184" ca="1">IF(AND($C184="S",ORÇAMENTO.CodBarra&lt;&gt;""),IF(ORÇAMENTO.Fonte="",ORÇAMENTO.CodBarra,CONCATENATE(ORÇAMENTO.Fonte," ",ORÇAMENTO.CodBarra)))</f>
        <v>COMPOSIÇÃO 005</v>
      </c>
      <c r="AF184" s="12"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7</v>
      </c>
      <c r="AG184" s="428" cm="1">
        <f t="array" aca="1" ref="AG184" ca="1">ROUND(IF(DESONERACAO="sim",REFERENCIA.Desonerado,REFERENCIA.NaoDesonerado),2)</f>
        <v>383.45</v>
      </c>
      <c r="AH184" s="429">
        <f t="shared" ca="1" si="14"/>
        <v>0.22470000000000001</v>
      </c>
      <c r="AJ184" s="431">
        <v>30</v>
      </c>
      <c r="AL184" s="439"/>
      <c r="AM184" s="336">
        <f t="shared" ca="1" si="54"/>
        <v>14088.3</v>
      </c>
      <c r="AN184" s="470" cm="1">
        <f t="array" aca="1" ref="AN184" ca="1">ROUND(ORÇAMENTO.CustoUnitario*(1+$AH184),2)</f>
        <v>469.61</v>
      </c>
    </row>
    <row r="185" spans="1:40" x14ac:dyDescent="0.2">
      <c r="A185">
        <f t="shared" si="1"/>
        <v>3</v>
      </c>
      <c r="B185">
        <f t="shared" ca="1" si="2"/>
        <v>3</v>
      </c>
      <c r="C185">
        <f t="shared" ca="1" si="3"/>
        <v>3</v>
      </c>
      <c r="D185">
        <f t="shared" ca="1" si="4"/>
        <v>5</v>
      </c>
      <c r="E185">
        <f ca="1">IF($C185=1,OFFSET(E185,-1,0)+MAX(1,COUNTIF(QCI!$A$13:$A$24,OFFSET(ORÇAMENTO!E185,-1,0))),OFFSET(E185,-1,0))</f>
        <v>1</v>
      </c>
      <c r="F185">
        <f t="shared" ca="1" si="5"/>
        <v>9</v>
      </c>
      <c r="G185">
        <f t="shared" ca="1" si="6"/>
        <v>3</v>
      </c>
      <c r="H185">
        <f t="shared" ca="1" si="7"/>
        <v>0</v>
      </c>
      <c r="I185">
        <f t="shared" ca="1" si="8"/>
        <v>0</v>
      </c>
      <c r="J185">
        <f t="shared" ca="1" si="47"/>
        <v>8</v>
      </c>
      <c r="K185">
        <f ca="1">IF(OR($C185="S",$C185=0),0,MATCH(OFFSET($D185,0,$C185)+IF($C185&lt;&gt;1,1,COUNTIF(QCI!$A$13:$A$24,ORÇAMENTO!E185)),OFFSET($D185,1,$C185,ROW($C$240)-ROW($C185)),0))</f>
        <v>5</v>
      </c>
      <c r="L185" s="114" t="str">
        <f t="shared" ca="1" si="10"/>
        <v>F</v>
      </c>
      <c r="M185" s="115" t="s">
        <v>703</v>
      </c>
      <c r="N185" s="116" t="str">
        <f t="shared" ca="1" si="11"/>
        <v>Nível 3</v>
      </c>
      <c r="O185" s="117" t="str">
        <f t="shared" ca="1" si="12"/>
        <v>1.9.3.</v>
      </c>
      <c r="P185" s="118" t="s">
        <v>750</v>
      </c>
      <c r="Q185" s="119"/>
      <c r="R185" s="120" t="s">
        <v>1052</v>
      </c>
      <c r="S185" s="121" t="str" cm="1">
        <f t="array" aca="1" ref="S185" ca="1">REFERENCIA.Unidade</f>
        <v>-</v>
      </c>
      <c r="T185" s="122">
        <f ca="1">OFFSET(CÁLCULO!H$15,ROW($T185)-ROW(T$15),0)</f>
        <v>0</v>
      </c>
      <c r="U185" s="123"/>
      <c r="V185" s="124" t="s">
        <v>663</v>
      </c>
      <c r="W185" s="122" cm="1">
        <f t="array" aca="1" ref="W185" ca="1">IF($C185="S",ROUND(IF(TIPOORCAMENTO="Proposto",ORÇAMENTO.CustoUnitario*(1+$AH185),ORÇAMENTO.PrecoUnitarioLicitado),15-13*$AF$10),0)</f>
        <v>0</v>
      </c>
      <c r="X185" s="125" cm="1">
        <f t="array" aca="1" ref="X185" ca="1">IF($C185="S",IF(OR(Import.TipoArredondamento&lt;&gt;"TransfereGOV",ACOMPANHAMENTO="BM"),VTOTAL1,SUM(OFFSET(CÁLCULO!$AA$15,ROW($X185)-ROW($X$15),1):OFFSET(CÁLCULO!$AL$15,ROW($X185)-ROW($X$15),-1))),IF($C185=0,0,ROUND(SomaAgrup,15-13*$AF$11)))</f>
        <v>10315.799999999999</v>
      </c>
      <c r="Y185" s="126" t="s">
        <v>751</v>
      </c>
      <c r="Z185" t="str">
        <f t="shared" ca="1" si="13"/>
        <v/>
      </c>
      <c r="AA185" s="127" cm="1">
        <f t="array" aca="1" ref="AA185" ca="1">IF($C185="S",IF($Z185="CP",$X185,IF($Z185="RA",(($X185)*QCI!$AA$3),0)),SomaAgrup)</f>
        <v>4821.8913326677994</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b" cm="1">
        <f t="array" aca="1" ref="AE185" ca="1">IF(AND($C185="S",ORÇAMENTO.CodBarra&lt;&gt;""),IF(ORÇAMENTO.Fonte="",ORÇAMENTO.CodBarra,CONCATENATE(ORÇAMENTO.Fonte," ",ORÇAMENTO.CodBarra)))</f>
        <v>0</v>
      </c>
      <c r="AF185" s="12"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(Sem Código)</v>
      </c>
      <c r="AG185" s="428" cm="1">
        <f t="array" aca="1" ref="AG185" ca="1">ROUND(IF(DESONERACAO="sim",REFERENCIA.Desonerado,REFERENCIA.NaoDesonerado),2)</f>
        <v>0</v>
      </c>
      <c r="AH185" s="429">
        <f t="shared" ca="1" si="14"/>
        <v>0.22470000000000001</v>
      </c>
      <c r="AJ185" s="431"/>
      <c r="AL185" s="439"/>
      <c r="AM185" s="336">
        <f t="shared" ca="1" si="54"/>
        <v>10315.799999999999</v>
      </c>
      <c r="AN185" s="470" cm="1">
        <f t="array" aca="1" ref="AN185" ca="1">ROUND(ORÇAMENTO.CustoUnitario*(1+$AH185),2)</f>
        <v>0</v>
      </c>
    </row>
    <row r="186" spans="1:40" ht="38.25" x14ac:dyDescent="0.2">
      <c r="A186" t="str">
        <f t="shared" si="1"/>
        <v>S</v>
      </c>
      <c r="B186">
        <f t="shared" ca="1" si="2"/>
        <v>3</v>
      </c>
      <c r="C186" t="str">
        <f t="shared" ca="1" si="3"/>
        <v>S</v>
      </c>
      <c r="D186">
        <f t="shared" ca="1" si="4"/>
        <v>0</v>
      </c>
      <c r="E186">
        <f ca="1">IF($C186=1,OFFSET(E186,-1,0)+MAX(1,COUNTIF(QCI!$A$13:$A$24,OFFSET(ORÇAMENTO!E186,-1,0))),OFFSET(E186,-1,0))</f>
        <v>1</v>
      </c>
      <c r="F186">
        <f t="shared" ca="1" si="5"/>
        <v>9</v>
      </c>
      <c r="G186">
        <f t="shared" ca="1" si="6"/>
        <v>3</v>
      </c>
      <c r="H186">
        <f t="shared" ca="1" si="7"/>
        <v>0</v>
      </c>
      <c r="I186">
        <f t="shared" ca="1" si="8"/>
        <v>1</v>
      </c>
      <c r="J186">
        <f t="shared" ca="1" si="47"/>
        <v>0</v>
      </c>
      <c r="K186">
        <f ca="1">IF(OR($C186="S",$C186=0),0,MATCH(OFFSET($D186,0,$C186)+IF($C186&lt;&gt;1,1,COUNTIF(QCI!$A$13:$A$24,ORÇAMENTO!E186)),OFFSET($D186,1,$C186,ROW($C$240)-ROW($C186)),0))</f>
        <v>0</v>
      </c>
      <c r="L186" s="114" t="str">
        <f t="shared" ca="1" si="10"/>
        <v>F</v>
      </c>
      <c r="M186" s="115" t="s">
        <v>705</v>
      </c>
      <c r="N186" s="116" t="str">
        <f t="shared" ca="1" si="11"/>
        <v>Serviço</v>
      </c>
      <c r="O186" s="117" t="str">
        <f t="shared" ca="1" si="12"/>
        <v>1.9.3.0.1.</v>
      </c>
      <c r="P186" s="118" t="s">
        <v>750</v>
      </c>
      <c r="Q186" s="119" t="s">
        <v>1102</v>
      </c>
      <c r="R186" s="120" t="str" cm="1">
        <f t="array" aca="1" ref="R186" ca="1">IF($C186="S",REFERENCIA.Descricao,"(digite a descrição aqui)")</f>
        <v>QUADRO DE DISTRIBUIÇÃO DE ENERGIA EM PVC, DE EMBUTIR, SEM BARRAMENTO, PARA 6 DISJUNTORES - FORNECIMENTO E INSTALAÇÃO. AF_07/2025</v>
      </c>
      <c r="S186" s="121" t="str" cm="1">
        <f t="array" aca="1" ref="S186" ca="1">REFERENCIA.Unidade</f>
        <v>UN</v>
      </c>
      <c r="T186" s="122">
        <f ca="1">OFFSET(CÁLCULO!H$15,ROW($T186)-ROW(T$15),0)</f>
        <v>30</v>
      </c>
      <c r="U186" s="123">
        <f t="shared" ref="U186:U189" ca="1" si="56">AG186</f>
        <v>113.76</v>
      </c>
      <c r="V186" s="124" t="s">
        <v>663</v>
      </c>
      <c r="W186" s="122" cm="1">
        <f t="array" aca="1" ref="W186" ca="1">IF($C186="S",ROUND(IF(TIPOORCAMENTO="Proposto",ORÇAMENTO.CustoUnitario*(1+$AH186),ORÇAMENTO.PrecoUnitarioLicitado),15-13*$AF$10),0)</f>
        <v>139.32</v>
      </c>
      <c r="X186" s="125" cm="1">
        <f t="array" aca="1" ref="X186" ca="1">IF($C186="S",IF(OR(Import.TipoArredondamento&lt;&gt;"TransfereGOV",ACOMPANHAMENTO="BM"),VTOTAL1,SUM(OFFSET(CÁLCULO!$AA$15,ROW($X186)-ROW($X$15),1):OFFSET(CÁLCULO!$AL$15,ROW($X186)-ROW($X$15),-1))),IF($C186=0,0,ROUND(SomaAgrup,15-13*$AF$11)))</f>
        <v>4179.6000000000004</v>
      </c>
      <c r="Y186" s="126" t="s">
        <v>751</v>
      </c>
      <c r="Z186" t="str">
        <f t="shared" ca="1" si="13"/>
        <v>RA</v>
      </c>
      <c r="AA186" s="127" cm="1">
        <f t="array" aca="1" ref="AA186" ca="1">IF($C186="S",IF($Z186="CP",$X186,IF($Z186="RA",(($X186)*QCI!$AA$3),0)),SomaAgrup)</f>
        <v>1953.6610843578137</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str" cm="1">
        <f t="array" aca="1" ref="AE186" ca="1">IF(AND($C186="S",ORÇAMENTO.CodBarra&lt;&gt;""),IF(ORÇAMENTO.Fonte="",ORÇAMENTO.CodBarra,CONCATENATE(ORÇAMENTO.Fonte," ",ORÇAMENTO.CodBarra)))</f>
        <v>SINAPI 101876</v>
      </c>
      <c r="AF186" s="12"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10889</v>
      </c>
      <c r="AG186" s="428" cm="1">
        <f t="array" aca="1" ref="AG186" ca="1">ROUND(IF(DESONERACAO="sim",REFERENCIA.Desonerado,REFERENCIA.NaoDesonerado),2)</f>
        <v>113.76</v>
      </c>
      <c r="AH186" s="429">
        <f t="shared" ca="1" si="14"/>
        <v>0.22470000000000001</v>
      </c>
      <c r="AJ186" s="431">
        <v>30</v>
      </c>
      <c r="AL186" s="439"/>
      <c r="AM186" s="336">
        <f t="shared" ca="1" si="54"/>
        <v>4179.6000000000004</v>
      </c>
      <c r="AN186" s="470" cm="1">
        <f t="array" aca="1" ref="AN186" ca="1">ROUND(ORÇAMENTO.CustoUnitario*(1+$AH186),2)</f>
        <v>139.32</v>
      </c>
    </row>
    <row r="187" spans="1:40" ht="25.5" x14ac:dyDescent="0.2">
      <c r="A187" t="str">
        <f t="shared" si="1"/>
        <v>S</v>
      </c>
      <c r="B187">
        <f t="shared" ca="1" si="2"/>
        <v>3</v>
      </c>
      <c r="C187" t="str">
        <f t="shared" ca="1" si="3"/>
        <v>S</v>
      </c>
      <c r="D187">
        <f t="shared" ca="1" si="4"/>
        <v>0</v>
      </c>
      <c r="E187">
        <f ca="1">IF($C187=1,OFFSET(E187,-1,0)+MAX(1,COUNTIF(QCI!$A$13:$A$24,OFFSET(ORÇAMENTO!E187,-1,0))),OFFSET(E187,-1,0))</f>
        <v>1</v>
      </c>
      <c r="F187">
        <f t="shared" ca="1" si="5"/>
        <v>9</v>
      </c>
      <c r="G187">
        <f t="shared" ca="1" si="6"/>
        <v>3</v>
      </c>
      <c r="H187">
        <f t="shared" ca="1" si="7"/>
        <v>0</v>
      </c>
      <c r="I187">
        <f t="shared" ca="1" si="8"/>
        <v>2</v>
      </c>
      <c r="J187">
        <f t="shared" ca="1" si="47"/>
        <v>0</v>
      </c>
      <c r="K187">
        <f ca="1">IF(OR($C187="S",$C187=0),0,MATCH(OFFSET($D187,0,$C187)+IF($C187&lt;&gt;1,1,COUNTIF(QCI!$A$13:$A$24,ORÇAMENTO!E187)),OFFSET($D187,1,$C187,ROW($C$240)-ROW($C187)),0))</f>
        <v>0</v>
      </c>
      <c r="L187" s="114" t="str">
        <f t="shared" ca="1" si="10"/>
        <v>F</v>
      </c>
      <c r="M187" s="115" t="s">
        <v>705</v>
      </c>
      <c r="N187" s="116" t="str">
        <f t="shared" ca="1" si="11"/>
        <v>Serviço</v>
      </c>
      <c r="O187" s="117" t="str">
        <f t="shared" ca="1" si="12"/>
        <v>1.9.3.0.2.</v>
      </c>
      <c r="P187" s="118" t="s">
        <v>750</v>
      </c>
      <c r="Q187" s="119" t="s">
        <v>1103</v>
      </c>
      <c r="R187" s="120" t="str" cm="1">
        <f t="array" aca="1" ref="R187" ca="1">IF($C187="S",REFERENCIA.Descricao,"(digite a descrição aqui)")</f>
        <v>DISJUNTOR MONOPOLAR TIPO DIN, CORRENTE NOMINAL DE 16A - FORNECIMENTO E INSTALAÇÃO. AF_07/2025</v>
      </c>
      <c r="S187" s="121" t="str" cm="1">
        <f t="array" aca="1" ref="S187" ca="1">REFERENCIA.Unidade</f>
        <v>UN</v>
      </c>
      <c r="T187" s="122">
        <f ca="1">OFFSET(CÁLCULO!H$15,ROW($T187)-ROW(T$15),0)</f>
        <v>90</v>
      </c>
      <c r="U187" s="123">
        <f t="shared" ca="1" si="56"/>
        <v>11.14</v>
      </c>
      <c r="V187" s="124" t="s">
        <v>663</v>
      </c>
      <c r="W187" s="122" cm="1">
        <f t="array" aca="1" ref="W187" ca="1">IF($C187="S",ROUND(IF(TIPOORCAMENTO="Proposto",ORÇAMENTO.CustoUnitario*(1+$AH187),ORÇAMENTO.PrecoUnitarioLicitado),15-13*$AF$10),0)</f>
        <v>13.64</v>
      </c>
      <c r="X187" s="125" cm="1">
        <f t="array" aca="1" ref="X187" ca="1">IF($C187="S",IF(OR(Import.TipoArredondamento&lt;&gt;"TransfereGOV",ACOMPANHAMENTO="BM"),VTOTAL1,SUM(OFFSET(CÁLCULO!$AA$15,ROW($X187)-ROW($X$15),1):OFFSET(CÁLCULO!$AL$15,ROW($X187)-ROW($X$15),-1))),IF($C187=0,0,ROUND(SomaAgrup,15-13*$AF$11)))</f>
        <v>1227.5999999999999</v>
      </c>
      <c r="Y187" s="126" t="s">
        <v>751</v>
      </c>
      <c r="Z187" t="str">
        <f t="shared" ca="1" si="13"/>
        <v>RA</v>
      </c>
      <c r="AA187" s="127" cm="1">
        <f t="array" aca="1" ref="AA187" ca="1">IF($C187="S",IF($Z187="CP",$X187,IF($Z187="RA",(($X187)*QCI!$AA$3),0)),SomaAgrup)</f>
        <v>573.81432365720445</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str" cm="1">
        <f t="array" aca="1" ref="AE187" ca="1">IF(AND($C187="S",ORÇAMENTO.CodBarra&lt;&gt;""),IF(ORÇAMENTO.Fonte="",ORÇAMENTO.CodBarra,CONCATENATE(ORÇAMENTO.Fonte," ",ORÇAMENTO.CodBarra)))</f>
        <v>SINAPI 93654</v>
      </c>
      <c r="AF187" s="12"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10835</v>
      </c>
      <c r="AG187" s="428" cm="1">
        <f t="array" aca="1" ref="AG187" ca="1">ROUND(IF(DESONERACAO="sim",REFERENCIA.Desonerado,REFERENCIA.NaoDesonerado),2)</f>
        <v>11.14</v>
      </c>
      <c r="AH187" s="429">
        <f t="shared" ca="1" si="14"/>
        <v>0.22470000000000001</v>
      </c>
      <c r="AJ187" s="431">
        <v>90</v>
      </c>
      <c r="AL187" s="439"/>
      <c r="AM187" s="336">
        <f t="shared" ca="1" si="54"/>
        <v>1227.5999999999999</v>
      </c>
      <c r="AN187" s="470" cm="1">
        <f t="array" aca="1" ref="AN187" ca="1">ROUND(ORÇAMENTO.CustoUnitario*(1+$AH187),2)</f>
        <v>13.64</v>
      </c>
    </row>
    <row r="188" spans="1:40" ht="25.5" x14ac:dyDescent="0.2">
      <c r="A188" t="str">
        <f t="shared" si="1"/>
        <v>S</v>
      </c>
      <c r="B188">
        <f t="shared" ca="1" si="2"/>
        <v>3</v>
      </c>
      <c r="C188" t="str">
        <f t="shared" ca="1" si="3"/>
        <v>S</v>
      </c>
      <c r="D188">
        <f t="shared" ca="1" si="4"/>
        <v>0</v>
      </c>
      <c r="E188">
        <f ca="1">IF($C188=1,OFFSET(E188,-1,0)+MAX(1,COUNTIF(QCI!$A$13:$A$24,OFFSET(ORÇAMENTO!E188,-1,0))),OFFSET(E188,-1,0))</f>
        <v>1</v>
      </c>
      <c r="F188">
        <f t="shared" ca="1" si="5"/>
        <v>9</v>
      </c>
      <c r="G188">
        <f t="shared" ca="1" si="6"/>
        <v>3</v>
      </c>
      <c r="H188">
        <f t="shared" ca="1" si="7"/>
        <v>0</v>
      </c>
      <c r="I188">
        <f t="shared" ca="1" si="8"/>
        <v>3</v>
      </c>
      <c r="J188">
        <f t="shared" ca="1" si="47"/>
        <v>0</v>
      </c>
      <c r="K188">
        <f ca="1">IF(OR($C188="S",$C188=0),0,MATCH(OFFSET($D188,0,$C188)+IF($C188&lt;&gt;1,1,COUNTIF(QCI!$A$13:$A$24,ORÇAMENTO!E188)),OFFSET($D188,1,$C188,ROW($C$240)-ROW($C188)),0))</f>
        <v>0</v>
      </c>
      <c r="L188" s="114" t="str">
        <f t="shared" ca="1" si="10"/>
        <v>F</v>
      </c>
      <c r="M188" s="115" t="s">
        <v>705</v>
      </c>
      <c r="N188" s="116" t="str">
        <f t="shared" ca="1" si="11"/>
        <v>Serviço</v>
      </c>
      <c r="O188" s="117" t="str">
        <f t="shared" ca="1" si="12"/>
        <v>1.9.3.0.3.</v>
      </c>
      <c r="P188" s="118" t="s">
        <v>750</v>
      </c>
      <c r="Q188" s="119" t="s">
        <v>1105</v>
      </c>
      <c r="R188" s="120" t="str" cm="1">
        <f t="array" aca="1" ref="R188" ca="1">IF($C188="S",REFERENCIA.Descricao,"(digite a descrição aqui)")</f>
        <v>DISJUNTOR BIPOLAR TIPO DIN, CORRENTE NOMINAL DE 40A - FORNECIMENTO E INSTALAÇÃO. AF_07/2025</v>
      </c>
      <c r="S188" s="121" t="str" cm="1">
        <f t="array" aca="1" ref="S188" ca="1">REFERENCIA.Unidade</f>
        <v>UN</v>
      </c>
      <c r="T188" s="122">
        <f ca="1">OFFSET(CÁLCULO!H$15,ROW($T188)-ROW(T$15),0)</f>
        <v>30</v>
      </c>
      <c r="U188" s="123">
        <f t="shared" ca="1" si="56"/>
        <v>63.56</v>
      </c>
      <c r="V188" s="124" t="s">
        <v>663</v>
      </c>
      <c r="W188" s="122" cm="1">
        <f t="array" aca="1" ref="W188" ca="1">IF($C188="S",ROUND(IF(TIPOORCAMENTO="Proposto",ORÇAMENTO.CustoUnitario*(1+$AH188),ORÇAMENTO.PrecoUnitarioLicitado),15-13*$AF$10),0)</f>
        <v>77.84</v>
      </c>
      <c r="X188" s="125" cm="1">
        <f t="array" aca="1" ref="X188" ca="1">IF($C188="S",IF(OR(Import.TipoArredondamento&lt;&gt;"TransfereGOV",ACOMPANHAMENTO="BM"),VTOTAL1,SUM(OFFSET(CÁLCULO!$AA$15,ROW($X188)-ROW($X$15),1):OFFSET(CÁLCULO!$AL$15,ROW($X188)-ROW($X$15),-1))),IF($C188=0,0,ROUND(SomaAgrup,15-13*$AF$11)))</f>
        <v>2335.1999999999998</v>
      </c>
      <c r="Y188" s="126" t="s">
        <v>751</v>
      </c>
      <c r="Z188" t="str">
        <f t="shared" ca="1" si="13"/>
        <v>RA</v>
      </c>
      <c r="AA188" s="127" cm="1">
        <f t="array" aca="1" ref="AA188" ca="1">IF($C188="S",IF($Z188="CP",$X188,IF($Z188="RA",(($X188)*QCI!$AA$3),0)),SomaAgrup)</f>
        <v>1091.5373155786117</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str" cm="1">
        <f t="array" aca="1" ref="AE188" ca="1">IF(AND($C188="S",ORÇAMENTO.CodBarra&lt;&gt;""),IF(ORÇAMENTO.Fonte="",ORÇAMENTO.CodBarra,CONCATENATE(ORÇAMENTO.Fonte," ",ORÇAMENTO.CodBarra)))</f>
        <v>SINAPI 93665</v>
      </c>
      <c r="AF188" s="12"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10829</v>
      </c>
      <c r="AG188" s="428" cm="1">
        <f t="array" aca="1" ref="AG188" ca="1">ROUND(IF(DESONERACAO="sim",REFERENCIA.Desonerado,REFERENCIA.NaoDesonerado),2)</f>
        <v>63.56</v>
      </c>
      <c r="AH188" s="429">
        <f t="shared" ca="1" si="14"/>
        <v>0.22470000000000001</v>
      </c>
      <c r="AJ188" s="431">
        <v>30</v>
      </c>
      <c r="AL188" s="439"/>
      <c r="AM188" s="336">
        <f t="shared" ca="1" si="54"/>
        <v>2335.1999999999998</v>
      </c>
      <c r="AN188" s="470" cm="1">
        <f t="array" aca="1" ref="AN188" ca="1">ROUND(ORÇAMENTO.CustoUnitario*(1+$AH188),2)</f>
        <v>77.84</v>
      </c>
    </row>
    <row r="189" spans="1:40" ht="25.5" x14ac:dyDescent="0.2">
      <c r="A189" t="str">
        <f t="shared" si="1"/>
        <v>S</v>
      </c>
      <c r="B189">
        <f t="shared" ca="1" si="2"/>
        <v>3</v>
      </c>
      <c r="C189" t="str">
        <f t="shared" ca="1" si="3"/>
        <v>S</v>
      </c>
      <c r="D189">
        <f t="shared" ca="1" si="4"/>
        <v>0</v>
      </c>
      <c r="E189">
        <f ca="1">IF($C189=1,OFFSET(E189,-1,0)+MAX(1,COUNTIF(QCI!$A$13:$A$24,OFFSET(ORÇAMENTO!E189,-1,0))),OFFSET(E189,-1,0))</f>
        <v>1</v>
      </c>
      <c r="F189">
        <f t="shared" ca="1" si="5"/>
        <v>9</v>
      </c>
      <c r="G189">
        <f t="shared" ca="1" si="6"/>
        <v>3</v>
      </c>
      <c r="H189">
        <f t="shared" ca="1" si="7"/>
        <v>0</v>
      </c>
      <c r="I189">
        <f t="shared" ca="1" si="8"/>
        <v>4</v>
      </c>
      <c r="J189">
        <f t="shared" ca="1" si="47"/>
        <v>0</v>
      </c>
      <c r="K189">
        <f ca="1">IF(OR($C189="S",$C189=0),0,MATCH(OFFSET($D189,0,$C189)+IF($C189&lt;&gt;1,1,COUNTIF(QCI!$A$13:$A$24,ORÇAMENTO!E189)),OFFSET($D189,1,$C189,ROW($C$240)-ROW($C189)),0))</f>
        <v>0</v>
      </c>
      <c r="L189" s="114" t="str">
        <f t="shared" ca="1" si="10"/>
        <v>F</v>
      </c>
      <c r="M189" s="115" t="s">
        <v>705</v>
      </c>
      <c r="N189" s="116" t="str">
        <f t="shared" ca="1" si="11"/>
        <v>Serviço</v>
      </c>
      <c r="O189" s="117" t="str">
        <f t="shared" ca="1" si="12"/>
        <v>1.9.3.0.4.</v>
      </c>
      <c r="P189" s="118" t="s">
        <v>750</v>
      </c>
      <c r="Q189" s="119" t="s">
        <v>1104</v>
      </c>
      <c r="R189" s="120" t="str" cm="1">
        <f t="array" aca="1" ref="R189" ca="1">IF($C189="S",REFERENCIA.Descricao,"(digite a descrição aqui)")</f>
        <v>DISJUNTOR BIPOLAR TIPO DIN, CORRENTE NOMINAL DE 50A - FORNECIMENTO E INSTALAÇÃO. AF_07/2025</v>
      </c>
      <c r="S189" s="121" t="str" cm="1">
        <f t="array" aca="1" ref="S189" ca="1">REFERENCIA.Unidade</f>
        <v>UN</v>
      </c>
      <c r="T189" s="122">
        <f ca="1">OFFSET(CÁLCULO!H$15,ROW($T189)-ROW(T$15),0)</f>
        <v>30</v>
      </c>
      <c r="U189" s="123">
        <f t="shared" ca="1" si="56"/>
        <v>70.040000000000006</v>
      </c>
      <c r="V189" s="124" t="s">
        <v>663</v>
      </c>
      <c r="W189" s="122" cm="1">
        <f t="array" aca="1" ref="W189" ca="1">IF($C189="S",ROUND(IF(TIPOORCAMENTO="Proposto",ORÇAMENTO.CustoUnitario*(1+$AH189),ORÇAMENTO.PrecoUnitarioLicitado),15-13*$AF$10),0)</f>
        <v>85.78</v>
      </c>
      <c r="X189" s="125" cm="1">
        <f t="array" aca="1" ref="X189" ca="1">IF($C189="S",IF(OR(Import.TipoArredondamento&lt;&gt;"TransfereGOV",ACOMPANHAMENTO="BM"),VTOTAL1,SUM(OFFSET(CÁLCULO!$AA$15,ROW($X189)-ROW($X$15),1):OFFSET(CÁLCULO!$AL$15,ROW($X189)-ROW($X$15),-1))),IF($C189=0,0,ROUND(SomaAgrup,15-13*$AF$11)))</f>
        <v>2573.4</v>
      </c>
      <c r="Y189" s="126" t="s">
        <v>751</v>
      </c>
      <c r="Z189" t="str">
        <f t="shared" ca="1" si="13"/>
        <v>RA</v>
      </c>
      <c r="AA189" s="127" cm="1">
        <f t="array" aca="1" ref="AA189" ca="1">IF($C189="S",IF($Z189="CP",$X189,IF($Z189="RA",(($X189)*QCI!$AA$3),0)),SomaAgrup)</f>
        <v>1202.8786090741692</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str" cm="1">
        <f t="array" aca="1" ref="AE189" ca="1">IF(AND($C189="S",ORÇAMENTO.CodBarra&lt;&gt;""),IF(ORÇAMENTO.Fonte="",ORÇAMENTO.CodBarra,CONCATENATE(ORÇAMENTO.Fonte," ",ORÇAMENTO.CodBarra)))</f>
        <v>SINAPI 93666</v>
      </c>
      <c r="AF189" s="12"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10830</v>
      </c>
      <c r="AG189" s="428" cm="1">
        <f t="array" aca="1" ref="AG189" ca="1">ROUND(IF(DESONERACAO="sim",REFERENCIA.Desonerado,REFERENCIA.NaoDesonerado),2)</f>
        <v>70.040000000000006</v>
      </c>
      <c r="AH189" s="429">
        <f t="shared" ca="1" si="14"/>
        <v>0.22470000000000001</v>
      </c>
      <c r="AJ189" s="431">
        <v>30</v>
      </c>
      <c r="AL189" s="439"/>
      <c r="AM189" s="336">
        <f t="shared" ca="1" si="54"/>
        <v>2573.4</v>
      </c>
      <c r="AN189" s="470" cm="1">
        <f t="array" aca="1" ref="AN189" ca="1">ROUND(ORÇAMENTO.CustoUnitario*(1+$AH189),2)</f>
        <v>85.78</v>
      </c>
    </row>
    <row r="190" spans="1:40" x14ac:dyDescent="0.2">
      <c r="A190">
        <f t="shared" si="1"/>
        <v>3</v>
      </c>
      <c r="B190">
        <f t="shared" ca="1" si="2"/>
        <v>3</v>
      </c>
      <c r="C190">
        <f t="shared" ca="1" si="3"/>
        <v>3</v>
      </c>
      <c r="D190">
        <f t="shared" ca="1" si="4"/>
        <v>3</v>
      </c>
      <c r="E190">
        <f ca="1">IF($C190=1,OFFSET(E190,-1,0)+MAX(1,COUNTIF(QCI!$A$13:$A$24,OFFSET(ORÇAMENTO!E190,-1,0))),OFFSET(E190,-1,0))</f>
        <v>1</v>
      </c>
      <c r="F190">
        <f t="shared" ca="1" si="5"/>
        <v>9</v>
      </c>
      <c r="G190">
        <f t="shared" ca="1" si="6"/>
        <v>4</v>
      </c>
      <c r="H190">
        <f t="shared" ca="1" si="7"/>
        <v>0</v>
      </c>
      <c r="I190">
        <f t="shared" ca="1" si="8"/>
        <v>0</v>
      </c>
      <c r="J190">
        <f t="shared" ca="1" si="47"/>
        <v>3</v>
      </c>
      <c r="K190" t="e">
        <f ca="1">IF(OR($C190="S",$C190=0),0,MATCH(OFFSET($D190,0,$C190)+IF($C190&lt;&gt;1,1,COUNTIF(QCI!$A$13:$A$24,ORÇAMENTO!E190)),OFFSET($D190,1,$C190,ROW($C$240)-ROW($C190)),0))</f>
        <v>#N/A</v>
      </c>
      <c r="L190" s="114" t="str">
        <f t="shared" ca="1" si="10"/>
        <v>F</v>
      </c>
      <c r="M190" s="115" t="s">
        <v>703</v>
      </c>
      <c r="N190" s="116" t="str">
        <f t="shared" ca="1" si="11"/>
        <v>Nível 3</v>
      </c>
      <c r="O190" s="117" t="str">
        <f t="shared" ca="1" si="12"/>
        <v>1.9.4.</v>
      </c>
      <c r="P190" s="118" t="s">
        <v>750</v>
      </c>
      <c r="Q190" s="119"/>
      <c r="R190" s="120" t="s">
        <v>1053</v>
      </c>
      <c r="S190" s="121" t="str" cm="1">
        <f t="array" aca="1" ref="S190" ca="1">REFERENCIA.Unidade</f>
        <v>-</v>
      </c>
      <c r="T190" s="122">
        <f ca="1">OFFSET(CÁLCULO!H$15,ROW($T190)-ROW(T$15),0)</f>
        <v>0</v>
      </c>
      <c r="U190" s="123"/>
      <c r="V190" s="124" t="s">
        <v>663</v>
      </c>
      <c r="W190" s="122" cm="1">
        <f t="array" aca="1" ref="W190" ca="1">IF($C190="S",ROUND(IF(TIPOORCAMENTO="Proposto",ORÇAMENTO.CustoUnitario*(1+$AH190),ORÇAMENTO.PrecoUnitarioLicitado),15-13*$AF$10),0)</f>
        <v>0</v>
      </c>
      <c r="X190" s="125" cm="1">
        <f t="array" aca="1" ref="X190" ca="1">IF($C190="S",IF(OR(Import.TipoArredondamento&lt;&gt;"TransfereGOV",ACOMPANHAMENTO="BM"),VTOTAL1,SUM(OFFSET(CÁLCULO!$AA$15,ROW($X190)-ROW($X$15),1):OFFSET(CÁLCULO!$AL$15,ROW($X190)-ROW($X$15),-1))),IF($C190=0,0,ROUND(SomaAgrup,15-13*$AF$11)))</f>
        <v>11367</v>
      </c>
      <c r="Y190" s="126" t="s">
        <v>751</v>
      </c>
      <c r="Z190" t="str">
        <f t="shared" ca="1" si="13"/>
        <v/>
      </c>
      <c r="AA190" s="127" cm="1">
        <f t="array" aca="1" ref="AA190" ca="1">IF($C190="S",IF($Z190="CP",$X190,IF($Z190="RA",(($X190)*QCI!$AA$3),0)),SomaAgrup)</f>
        <v>5313.251398673382</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b" cm="1">
        <f t="array" aca="1" ref="AE190" ca="1">IF(AND($C190="S",ORÇAMENTO.CodBarra&lt;&gt;""),IF(ORÇAMENTO.Fonte="",ORÇAMENTO.CodBarra,CONCATENATE(ORÇAMENTO.Fonte," ",ORÇAMENTO.CodBarra)))</f>
        <v>0</v>
      </c>
      <c r="AF190" s="12" t="str"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(Sem Código)</v>
      </c>
      <c r="AG190" s="428" cm="1">
        <f t="array" aca="1" ref="AG190" ca="1">ROUND(IF(DESONERACAO="sim",REFERENCIA.Desonerado,REFERENCIA.NaoDesonerado),2)</f>
        <v>0</v>
      </c>
      <c r="AH190" s="429">
        <f t="shared" ca="1" si="14"/>
        <v>0.22470000000000001</v>
      </c>
      <c r="AJ190" s="431"/>
      <c r="AL190" s="439"/>
      <c r="AM190" s="336">
        <f t="shared" ca="1" si="54"/>
        <v>11367</v>
      </c>
      <c r="AN190" s="470" cm="1">
        <f t="array" aca="1" ref="AN190" ca="1">ROUND(ORÇAMENTO.CustoUnitario*(1+$AH190),2)</f>
        <v>0</v>
      </c>
    </row>
    <row r="191" spans="1:40" ht="25.5" x14ac:dyDescent="0.2">
      <c r="A191" t="str">
        <f t="shared" si="1"/>
        <v>S</v>
      </c>
      <c r="B191">
        <f t="shared" ca="1" si="2"/>
        <v>3</v>
      </c>
      <c r="C191" t="str">
        <f t="shared" ca="1" si="3"/>
        <v>S</v>
      </c>
      <c r="D191">
        <f t="shared" ca="1" si="4"/>
        <v>0</v>
      </c>
      <c r="E191">
        <f ca="1">IF($C191=1,OFFSET(E191,-1,0)+MAX(1,COUNTIF(QCI!$A$13:$A$24,OFFSET(ORÇAMENTO!E191,-1,0))),OFFSET(E191,-1,0))</f>
        <v>1</v>
      </c>
      <c r="F191">
        <f t="shared" ca="1" si="5"/>
        <v>9</v>
      </c>
      <c r="G191">
        <f t="shared" ca="1" si="6"/>
        <v>4</v>
      </c>
      <c r="H191">
        <f t="shared" ca="1" si="7"/>
        <v>0</v>
      </c>
      <c r="I191">
        <f t="shared" ca="1" si="8"/>
        <v>1</v>
      </c>
      <c r="J191">
        <f t="shared" ca="1" si="47"/>
        <v>0</v>
      </c>
      <c r="K191">
        <f ca="1">IF(OR($C191="S",$C191=0),0,MATCH(OFFSET($D191,0,$C191)+IF($C191&lt;&gt;1,1,COUNTIF(QCI!$A$13:$A$24,ORÇAMENTO!E191)),OFFSET($D191,1,$C191,ROW($C$240)-ROW($C191)),0))</f>
        <v>0</v>
      </c>
      <c r="L191" s="114" t="str">
        <f t="shared" ca="1" si="10"/>
        <v>F</v>
      </c>
      <c r="M191" s="115" t="s">
        <v>705</v>
      </c>
      <c r="N191" s="116" t="str">
        <f t="shared" ca="1" si="11"/>
        <v>Serviço</v>
      </c>
      <c r="O191" s="117" t="str">
        <f t="shared" ca="1" si="12"/>
        <v>1.9.4.0.1.</v>
      </c>
      <c r="P191" s="118" t="s">
        <v>750</v>
      </c>
      <c r="Q191" s="119" t="s">
        <v>1106</v>
      </c>
      <c r="R191" s="120" t="str" cm="1">
        <f t="array" aca="1" ref="R191" ca="1">IF($C191="S",REFERENCIA.Descricao,"(digite a descrição aqui)")</f>
        <v>LUMINÁRIA TIPO PLAFON CIRCULAR, DE SOBREPOR, COM LED DE 12/13 W - FORNECIMENTO E INSTALAÇÃO. AF_09/2024</v>
      </c>
      <c r="S191" s="121" t="str" cm="1">
        <f t="array" aca="1" ref="S191" ca="1">REFERENCIA.Unidade</f>
        <v>UN</v>
      </c>
      <c r="T191" s="122">
        <f ca="1">OFFSET(CÁLCULO!H$15,ROW($T191)-ROW(T$15),0)</f>
        <v>210</v>
      </c>
      <c r="U191" s="123">
        <f t="shared" ref="U191:U192" ca="1" si="57">AG191</f>
        <v>30.73</v>
      </c>
      <c r="V191" s="124" t="s">
        <v>663</v>
      </c>
      <c r="W191" s="122" cm="1">
        <f t="array" aca="1" ref="W191" ca="1">IF($C191="S",ROUND(IF(TIPOORCAMENTO="Proposto",ORÇAMENTO.CustoUnitario*(1+$AH191),ORÇAMENTO.PrecoUnitarioLicitado),15-13*$AF$10),0)</f>
        <v>37.64</v>
      </c>
      <c r="X191" s="125" cm="1">
        <f t="array" aca="1" ref="X191" ca="1">IF($C191="S",IF(OR(Import.TipoArredondamento&lt;&gt;"TransfereGOV",ACOMPANHAMENTO="BM"),VTOTAL1,SUM(OFFSET(CÁLCULO!$AA$15,ROW($X191)-ROW($X$15),1):OFFSET(CÁLCULO!$AL$15,ROW($X191)-ROW($X$15),-1))),IF($C191=0,0,ROUND(SomaAgrup,15-13*$AF$11)))</f>
        <v>7904.4</v>
      </c>
      <c r="Y191" s="126" t="s">
        <v>751</v>
      </c>
      <c r="Z191" t="str">
        <f t="shared" ca="1" si="13"/>
        <v>RA</v>
      </c>
      <c r="AA191" s="127" cm="1">
        <f t="array" aca="1" ref="AA191" ca="1">IF($C191="S",IF($Z191="CP",$X191,IF($Z191="RA",(($X191)*QCI!$AA$3),0)),SomaAgrup)</f>
        <v>3694.736021436956</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str" cm="1">
        <f t="array" aca="1" ref="AE191" ca="1">IF(AND($C191="S",ORÇAMENTO.CodBarra&lt;&gt;""),IF(ORÇAMENTO.Fonte="",ORÇAMENTO.CodBarra,CONCATENATE(ORÇAMENTO.Fonte," ",ORÇAMENTO.CodBarra)))</f>
        <v>SINAPI 103782</v>
      </c>
      <c r="AF191" s="12"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10466</v>
      </c>
      <c r="AG191" s="428" cm="1">
        <f t="array" aca="1" ref="AG191" ca="1">ROUND(IF(DESONERACAO="sim",REFERENCIA.Desonerado,REFERENCIA.NaoDesonerado),2)</f>
        <v>30.73</v>
      </c>
      <c r="AH191" s="429">
        <f t="shared" ca="1" si="14"/>
        <v>0.22470000000000001</v>
      </c>
      <c r="AJ191" s="431">
        <v>210</v>
      </c>
      <c r="AL191" s="439"/>
      <c r="AM191" s="336">
        <f t="shared" ca="1" si="54"/>
        <v>7904.4</v>
      </c>
      <c r="AN191" s="470" cm="1">
        <f t="array" aca="1" ref="AN191" ca="1">ROUND(ORÇAMENTO.CustoUnitario*(1+$AH191),2)</f>
        <v>37.64</v>
      </c>
    </row>
    <row r="192" spans="1:40" ht="38.25" x14ac:dyDescent="0.2">
      <c r="A192" t="str">
        <f t="shared" si="1"/>
        <v>S</v>
      </c>
      <c r="B192">
        <f t="shared" ca="1" si="2"/>
        <v>3</v>
      </c>
      <c r="C192" t="str">
        <f t="shared" ca="1" si="3"/>
        <v>S</v>
      </c>
      <c r="D192">
        <f t="shared" ca="1" si="4"/>
        <v>0</v>
      </c>
      <c r="E192">
        <f ca="1">IF($C192=1,OFFSET(E192,-1,0)+MAX(1,COUNTIF(QCI!$A$13:$A$24,OFFSET(ORÇAMENTO!E192,-1,0))),OFFSET(E192,-1,0))</f>
        <v>1</v>
      </c>
      <c r="F192">
        <f t="shared" ca="1" si="5"/>
        <v>9</v>
      </c>
      <c r="G192">
        <f t="shared" ca="1" si="6"/>
        <v>4</v>
      </c>
      <c r="H192">
        <f t="shared" ca="1" si="7"/>
        <v>0</v>
      </c>
      <c r="I192">
        <f t="shared" ca="1" si="8"/>
        <v>2</v>
      </c>
      <c r="J192">
        <f t="shared" ca="1" si="47"/>
        <v>0</v>
      </c>
      <c r="K192">
        <f ca="1">IF(OR($C192="S",$C192=0),0,MATCH(OFFSET($D192,0,$C192)+IF($C192&lt;&gt;1,1,COUNTIF(QCI!$A$13:$A$24,ORÇAMENTO!E192)),OFFSET($D192,1,$C192,ROW($C$240)-ROW($C192)),0))</f>
        <v>0</v>
      </c>
      <c r="L192" s="114" t="str">
        <f t="shared" ca="1" si="10"/>
        <v>F</v>
      </c>
      <c r="M192" s="115" t="s">
        <v>705</v>
      </c>
      <c r="N192" s="116" t="str">
        <f t="shared" ca="1" si="11"/>
        <v>Serviço</v>
      </c>
      <c r="O192" s="117" t="str">
        <f t="shared" ca="1" si="12"/>
        <v>1.9.4.0.2.</v>
      </c>
      <c r="P192" s="118" t="s">
        <v>750</v>
      </c>
      <c r="Q192" s="119" t="s">
        <v>1107</v>
      </c>
      <c r="R192" s="120" t="str" cm="1">
        <f t="array" aca="1" ref="R192" ca="1">IF($C192="S",REFERENCIA.Descricao,"(digite a descrição aqui)")</f>
        <v>LUMINÁRIA ARANDELA TIPO TARTARUGA, DE SOBREPOR, COM 1 LÂMPADA LED DE 6 W, SEM REATOR - FORNECIMENTO E INSTALAÇÃO. AF_09/2024</v>
      </c>
      <c r="S192" s="121" t="str" cm="1">
        <f t="array" aca="1" ref="S192" ca="1">REFERENCIA.Unidade</f>
        <v>UN</v>
      </c>
      <c r="T192" s="122">
        <f ca="1">OFFSET(CÁLCULO!H$15,ROW($T192)-ROW(T$15),0)</f>
        <v>30</v>
      </c>
      <c r="U192" s="123">
        <f t="shared" ca="1" si="57"/>
        <v>94.24</v>
      </c>
      <c r="V192" s="124" t="s">
        <v>663</v>
      </c>
      <c r="W192" s="122" cm="1">
        <f t="array" aca="1" ref="W192" ca="1">IF($C192="S",ROUND(IF(TIPOORCAMENTO="Proposto",ORÇAMENTO.CustoUnitario*(1+$AH192),ORÇAMENTO.PrecoUnitarioLicitado),15-13*$AF$10),0)</f>
        <v>115.42</v>
      </c>
      <c r="X192" s="125" cm="1">
        <f t="array" aca="1" ref="X192" ca="1">IF($C192="S",IF(OR(Import.TipoArredondamento&lt;&gt;"TransfereGOV",ACOMPANHAMENTO="BM"),VTOTAL1,SUM(OFFSET(CÁLCULO!$AA$15,ROW($X192)-ROW($X$15),1):OFFSET(CÁLCULO!$AL$15,ROW($X192)-ROW($X$15),-1))),IF($C192=0,0,ROUND(SomaAgrup,15-13*$AF$11)))</f>
        <v>3462.6</v>
      </c>
      <c r="Y192" s="126" t="s">
        <v>751</v>
      </c>
      <c r="Z192" t="str">
        <f t="shared" ca="1" si="13"/>
        <v>RA</v>
      </c>
      <c r="AA192" s="127" cm="1">
        <f t="array" aca="1" ref="AA192" ca="1">IF($C192="S",IF($Z192="CP",$X192,IF($Z192="RA",(($X192)*QCI!$AA$3),0)),SomaAgrup)</f>
        <v>1618.5153772364258</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str" cm="1">
        <f t="array" aca="1" ref="AE192" ca="1">IF(AND($C192="S",ORÇAMENTO.CodBarra&lt;&gt;""),IF(ORÇAMENTO.Fonte="",ORÇAMENTO.CodBarra,CONCATENATE(ORÇAMENTO.Fonte," ",ORÇAMENTO.CodBarra)))</f>
        <v>SINAPI 97607</v>
      </c>
      <c r="AF192" s="12"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10450</v>
      </c>
      <c r="AG192" s="428" cm="1">
        <f t="array" aca="1" ref="AG192" ca="1">ROUND(IF(DESONERACAO="sim",REFERENCIA.Desonerado,REFERENCIA.NaoDesonerado),2)</f>
        <v>94.24</v>
      </c>
      <c r="AH192" s="429">
        <f t="shared" ca="1" si="14"/>
        <v>0.22470000000000001</v>
      </c>
      <c r="AJ192" s="431">
        <v>30</v>
      </c>
      <c r="AL192" s="439"/>
      <c r="AM192" s="336">
        <f t="shared" ca="1" si="54"/>
        <v>3462.6</v>
      </c>
      <c r="AN192" s="470" cm="1">
        <f t="array" aca="1" ref="AN192" ca="1">ROUND(ORÇAMENTO.CustoUnitario*(1+$AH192),2)</f>
        <v>115.42</v>
      </c>
    </row>
    <row r="193" spans="1:40" x14ac:dyDescent="0.2">
      <c r="A193">
        <f t="shared" si="1"/>
        <v>2</v>
      </c>
      <c r="B193">
        <f t="shared" ca="1" si="2"/>
        <v>2</v>
      </c>
      <c r="C193">
        <f t="shared" ca="1" si="3"/>
        <v>2</v>
      </c>
      <c r="D193">
        <f t="shared" ca="1" si="4"/>
        <v>26</v>
      </c>
      <c r="E193">
        <f ca="1">IF($C193=1,OFFSET(E193,-1,0)+MAX(1,COUNTIF(QCI!$A$13:$A$24,OFFSET(ORÇAMENTO!E193,-1,0))),OFFSET(E193,-1,0))</f>
        <v>1</v>
      </c>
      <c r="F193">
        <f t="shared" ca="1" si="5"/>
        <v>10</v>
      </c>
      <c r="G193">
        <f t="shared" ca="1" si="6"/>
        <v>0</v>
      </c>
      <c r="H193">
        <f t="shared" ca="1" si="7"/>
        <v>0</v>
      </c>
      <c r="I193">
        <f t="shared" ca="1" si="8"/>
        <v>0</v>
      </c>
      <c r="J193">
        <f t="shared" ca="1" si="47"/>
        <v>47</v>
      </c>
      <c r="K193">
        <f ca="1">IF(OR($C193="S",$C193=0),0,MATCH(OFFSET($D193,0,$C193)+IF($C193&lt;&gt;1,1,COUNTIF(QCI!$A$13:$A$24,ORÇAMENTO!E193)),OFFSET($D193,1,$C193,ROW($C$240)-ROW($C193)),0))</f>
        <v>26</v>
      </c>
      <c r="L193" s="114" t="str">
        <f t="shared" ca="1" si="10"/>
        <v>F</v>
      </c>
      <c r="M193" s="115" t="s">
        <v>702</v>
      </c>
      <c r="N193" s="116" t="str">
        <f t="shared" ca="1" si="11"/>
        <v>Nível 2</v>
      </c>
      <c r="O193" s="117" t="str">
        <f t="shared" ca="1" si="12"/>
        <v>1.10.</v>
      </c>
      <c r="P193" s="118" t="s">
        <v>750</v>
      </c>
      <c r="Q193" s="119"/>
      <c r="R193" s="120" t="s">
        <v>1022</v>
      </c>
      <c r="S193" s="121" t="str" cm="1">
        <f t="array" aca="1" ref="S193" ca="1">REFERENCIA.Unidade</f>
        <v>-</v>
      </c>
      <c r="T193" s="122">
        <f ca="1">OFFSET(CÁLCULO!H$15,ROW($T193)-ROW(T$15),0)</f>
        <v>0</v>
      </c>
      <c r="U193" s="123"/>
      <c r="V193" s="124" t="s">
        <v>663</v>
      </c>
      <c r="W193" s="122" cm="1">
        <f t="array" aca="1" ref="W193" ca="1">IF($C193="S",ROUND(IF(TIPOORCAMENTO="Proposto",ORÇAMENTO.CustoUnitario*(1+$AH193),ORÇAMENTO.PrecoUnitarioLicitado),15-13*$AF$10),0)</f>
        <v>0</v>
      </c>
      <c r="X193" s="125" cm="1">
        <f t="array" aca="1" ref="X193" ca="1">IF($C193="S",IF(OR(Import.TipoArredondamento&lt;&gt;"TransfereGOV",ACOMPANHAMENTO="BM"),VTOTAL1,SUM(OFFSET(CÁLCULO!$AA$15,ROW($X193)-ROW($X$15),1):OFFSET(CÁLCULO!$AL$15,ROW($X193)-ROW($X$15),-1))),IF($C193=0,0,ROUND(SomaAgrup,15-13*$AF$11)))</f>
        <v>658491.43999999994</v>
      </c>
      <c r="Y193" s="126" t="s">
        <v>751</v>
      </c>
      <c r="Z193" t="str">
        <f t="shared" ca="1" si="13"/>
        <v/>
      </c>
      <c r="AA193" s="127" cm="1">
        <f t="array" aca="1" ref="AA193" ca="1">IF($C193="S",IF($Z193="CP",$X193,IF($Z193="RA",(($X193)*QCI!$AA$3),0)),SomaAgrup)</f>
        <v>307797.1817185228</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f ca="1">IF(C193&lt;=CRONO.NivelExibicao,MAX($AD$15:OFFSET(AD193,-1,0))+IF($C193&lt;&gt;1,1,MAX(1,COUNTIF(QCI!$A$13:$A$24,OFFSET($E193,-1,0)))),"")</f>
        <v>11</v>
      </c>
      <c r="AE193" s="7" t="b" cm="1">
        <f t="array" aca="1" ref="AE193" ca="1">IF(AND($C193="S",ORÇAMENTO.CodBarra&lt;&gt;""),IF(ORÇAMENTO.Fonte="",ORÇAMENTO.CodBarra,CONCATENATE(ORÇAMENTO.Fonte," ",ORÇAMENTO.CodBarra)))</f>
        <v>0</v>
      </c>
      <c r="AF193" s="12"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(Sem Código)</v>
      </c>
      <c r="AG193" s="428" cm="1">
        <f t="array" aca="1" ref="AG193" ca="1">ROUND(IF(DESONERACAO="sim",REFERENCIA.Desonerado,REFERENCIA.NaoDesonerado),2)</f>
        <v>0</v>
      </c>
      <c r="AH193" s="429">
        <f t="shared" ca="1" si="14"/>
        <v>0.22470000000000001</v>
      </c>
      <c r="AJ193" s="431"/>
      <c r="AL193" s="439"/>
      <c r="AM193" s="336">
        <f t="shared" ca="1" si="0"/>
        <v>658491.43999999994</v>
      </c>
      <c r="AN193" s="470" cm="1">
        <f t="array" aca="1" ref="AN193" ca="1">ROUND(ORÇAMENTO.CustoUnitario*(1+$AH193),2)</f>
        <v>0</v>
      </c>
    </row>
    <row r="194" spans="1:40" x14ac:dyDescent="0.2">
      <c r="A194">
        <f t="shared" si="1"/>
        <v>3</v>
      </c>
      <c r="B194">
        <f t="shared" ca="1" si="2"/>
        <v>3</v>
      </c>
      <c r="C194">
        <f t="shared" ca="1" si="3"/>
        <v>3</v>
      </c>
      <c r="D194">
        <f t="shared" ca="1" si="4"/>
        <v>2</v>
      </c>
      <c r="E194">
        <f ca="1">IF($C194=1,OFFSET(E194,-1,0)+MAX(1,COUNTIF(QCI!$A$13:$A$24,OFFSET(ORÇAMENTO!E194,-1,0))),OFFSET(E194,-1,0))</f>
        <v>1</v>
      </c>
      <c r="F194">
        <f t="shared" ca="1" si="5"/>
        <v>10</v>
      </c>
      <c r="G194">
        <f t="shared" ca="1" si="6"/>
        <v>1</v>
      </c>
      <c r="H194">
        <f t="shared" ca="1" si="7"/>
        <v>0</v>
      </c>
      <c r="I194">
        <f t="shared" ca="1" si="8"/>
        <v>0</v>
      </c>
      <c r="J194">
        <f t="shared" ca="1" si="47"/>
        <v>25</v>
      </c>
      <c r="K194">
        <f ca="1">IF(OR($C194="S",$C194=0),0,MATCH(OFFSET($D194,0,$C194)+IF($C194&lt;&gt;1,1,COUNTIF(QCI!$A$13:$A$24,ORÇAMENTO!E194)),OFFSET($D194,1,$C194,ROW($C$240)-ROW($C194)),0))</f>
        <v>2</v>
      </c>
      <c r="L194" s="114" t="str">
        <f t="shared" ca="1" si="10"/>
        <v>F</v>
      </c>
      <c r="M194" s="115" t="s">
        <v>703</v>
      </c>
      <c r="N194" s="116" t="str">
        <f t="shared" ca="1" si="11"/>
        <v>Nível 3</v>
      </c>
      <c r="O194" s="117" t="str">
        <f t="shared" ca="1" si="12"/>
        <v>1.10.1.</v>
      </c>
      <c r="P194" s="118" t="s">
        <v>750</v>
      </c>
      <c r="Q194" s="119"/>
      <c r="R194" s="120" t="s">
        <v>1037</v>
      </c>
      <c r="S194" s="121" t="str" cm="1">
        <f t="array" aca="1" ref="S194" ca="1">REFERENCIA.Unidade</f>
        <v>-</v>
      </c>
      <c r="T194" s="122">
        <f ca="1">OFFSET(CÁLCULO!H$15,ROW($T194)-ROW(T$15),0)</f>
        <v>0</v>
      </c>
      <c r="U194" s="123"/>
      <c r="V194" s="124" t="s">
        <v>663</v>
      </c>
      <c r="W194" s="122" cm="1">
        <f t="array" aca="1" ref="W194" ca="1">IF($C194="S",ROUND(IF(TIPOORCAMENTO="Proposto",ORÇAMENTO.CustoUnitario*(1+$AH194),ORÇAMENTO.PrecoUnitarioLicitado),15-13*$AF$10),0)</f>
        <v>0</v>
      </c>
      <c r="X194" s="125" cm="1">
        <f t="array" aca="1" ref="X194" ca="1">IF($C194="S",IF(OR(Import.TipoArredondamento&lt;&gt;"TransfereGOV",ACOMPANHAMENTO="BM"),VTOTAL1,SUM(OFFSET(CÁLCULO!$AA$15,ROW($X194)-ROW($X$15),1):OFFSET(CÁLCULO!$AL$15,ROW($X194)-ROW($X$15),-1))),IF($C194=0,0,ROUND(SomaAgrup,15-13*$AF$11)))</f>
        <v>36545.58</v>
      </c>
      <c r="Y194" s="126" t="s">
        <v>751</v>
      </c>
      <c r="Z194" t="str">
        <f t="shared" ca="1" si="13"/>
        <v/>
      </c>
      <c r="AA194" s="127" cm="1">
        <f t="array" aca="1" ref="AA194" ca="1">IF($C194="S",IF($Z194="CP",$X194,IF($Z194="RA",(($X194)*QCI!$AA$3),0)),SomaAgrup)</f>
        <v>17082.418760475939</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b" cm="1">
        <f t="array" aca="1" ref="AE194" ca="1">IF(AND($C194="S",ORÇAMENTO.CodBarra&lt;&gt;""),IF(ORÇAMENTO.Fonte="",ORÇAMENTO.CodBarra,CONCATENATE(ORÇAMENTO.Fonte," ",ORÇAMENTO.CodBarra)))</f>
        <v>0</v>
      </c>
      <c r="AF194" s="12" t="str"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(Sem Código)</v>
      </c>
      <c r="AG194" s="428" cm="1">
        <f t="array" aca="1" ref="AG194" ca="1">ROUND(IF(DESONERACAO="sim",REFERENCIA.Desonerado,REFERENCIA.NaoDesonerado),2)</f>
        <v>0</v>
      </c>
      <c r="AH194" s="429">
        <f t="shared" ca="1" si="14"/>
        <v>0.22470000000000001</v>
      </c>
      <c r="AJ194" s="431"/>
      <c r="AL194" s="439"/>
      <c r="AM194" s="336">
        <f t="shared" ca="1" si="0"/>
        <v>36545.58</v>
      </c>
      <c r="AN194" s="470" cm="1">
        <f t="array" aca="1" ref="AN194" ca="1">ROUND(ORÇAMENTO.CustoUnitario*(1+$AH194),2)</f>
        <v>0</v>
      </c>
    </row>
    <row r="195" spans="1:40" ht="25.5" x14ac:dyDescent="0.2">
      <c r="A195" t="str">
        <f t="shared" si="1"/>
        <v>S</v>
      </c>
      <c r="B195">
        <f t="shared" ca="1" si="2"/>
        <v>3</v>
      </c>
      <c r="C195" t="str">
        <f t="shared" ca="1" si="3"/>
        <v>S</v>
      </c>
      <c r="D195">
        <f t="shared" ca="1" si="4"/>
        <v>0</v>
      </c>
      <c r="E195">
        <f ca="1">IF($C195=1,OFFSET(E195,-1,0)+MAX(1,COUNTIF(QCI!$A$13:$A$24,OFFSET(ORÇAMENTO!E195,-1,0))),OFFSET(E195,-1,0))</f>
        <v>1</v>
      </c>
      <c r="F195">
        <f t="shared" ca="1" si="5"/>
        <v>10</v>
      </c>
      <c r="G195">
        <f t="shared" ca="1" si="6"/>
        <v>1</v>
      </c>
      <c r="H195">
        <f t="shared" ca="1" si="7"/>
        <v>0</v>
      </c>
      <c r="I195">
        <f t="shared" ca="1" si="8"/>
        <v>1</v>
      </c>
      <c r="J195">
        <f t="shared" ca="1" si="47"/>
        <v>0</v>
      </c>
      <c r="K195">
        <f ca="1">IF(OR($C195="S",$C195=0),0,MATCH(OFFSET($D195,0,$C195)+IF($C195&lt;&gt;1,1,COUNTIF(QCI!$A$13:$A$24,ORÇAMENTO!E195)),OFFSET($D195,1,$C195,ROW($C$240)-ROW($C195)),0))</f>
        <v>0</v>
      </c>
      <c r="L195" s="114" t="str">
        <f t="shared" ca="1" si="10"/>
        <v>F</v>
      </c>
      <c r="M195" s="115" t="s">
        <v>705</v>
      </c>
      <c r="N195" s="116" t="str">
        <f t="shared" ca="1" si="11"/>
        <v>Serviço</v>
      </c>
      <c r="O195" s="117" t="str">
        <f t="shared" ca="1" si="12"/>
        <v>1.10.1.0.1.</v>
      </c>
      <c r="P195" s="118" t="s">
        <v>750</v>
      </c>
      <c r="Q195" s="119" t="s">
        <v>1074</v>
      </c>
      <c r="R195" s="120" t="str" cm="1">
        <f t="array" aca="1" ref="R195" ca="1">IF($C195="S",REFERENCIA.Descricao,"(digite a descrição aqui)")</f>
        <v>PEITORIL LINEAR EM GRANITO OU MÁRMORE, L = 15CM, ASSENTADO COM ARGAMASSA 1:6 COM ADITIVO. AF_11/2020</v>
      </c>
      <c r="S195" s="121" t="str" cm="1">
        <f t="array" aca="1" ref="S195" ca="1">REFERENCIA.Unidade</f>
        <v>M</v>
      </c>
      <c r="T195" s="122">
        <f ca="1">OFFSET(CÁLCULO!H$15,ROW($T195)-ROW(T$15),0)</f>
        <v>162</v>
      </c>
      <c r="U195" s="123">
        <f ca="1">AG195</f>
        <v>184.2</v>
      </c>
      <c r="V195" s="124" t="s">
        <v>663</v>
      </c>
      <c r="W195" s="122" cm="1">
        <f t="array" aca="1" ref="W195" ca="1">IF($C195="S",ROUND(IF(TIPOORCAMENTO="Proposto",ORÇAMENTO.CustoUnitario*(1+$AH195),ORÇAMENTO.PrecoUnitarioLicitado),15-13*$AF$10),0)</f>
        <v>225.59</v>
      </c>
      <c r="X195" s="125" cm="1">
        <f t="array" aca="1" ref="X195" ca="1">IF($C195="S",IF(OR(Import.TipoArredondamento&lt;&gt;"TransfereGOV",ACOMPANHAMENTO="BM"),VTOTAL1,SUM(OFFSET(CÁLCULO!$AA$15,ROW($X195)-ROW($X$15),1):OFFSET(CÁLCULO!$AL$15,ROW($X195)-ROW($X$15),-1))),IF($C195=0,0,ROUND(SomaAgrup,15-13*$AF$11)))</f>
        <v>36545.58</v>
      </c>
      <c r="Y195" s="126" t="s">
        <v>751</v>
      </c>
      <c r="Z195" t="str">
        <f t="shared" ca="1" si="13"/>
        <v>RA</v>
      </c>
      <c r="AA195" s="127" cm="1">
        <f t="array" aca="1" ref="AA195" ca="1">IF($C195="S",IF($Z195="CP",$X195,IF($Z195="RA",(($X195)*QCI!$AA$3),0)),SomaAgrup)</f>
        <v>17082.418760475939</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str" cm="1">
        <f t="array" aca="1" ref="AE195" ca="1">IF(AND($C195="S",ORÇAMENTO.CodBarra&lt;&gt;""),IF(ORÇAMENTO.Fonte="",ORÇAMENTO.CodBarra,CONCATENATE(ORÇAMENTO.Fonte," ",ORÇAMENTO.CodBarra)))</f>
        <v>SINAPI 101965</v>
      </c>
      <c r="AF195" s="12"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14055</v>
      </c>
      <c r="AG195" s="428" cm="1">
        <f t="array" aca="1" ref="AG195" ca="1">ROUND(IF(DESONERACAO="sim",REFERENCIA.Desonerado,REFERENCIA.NaoDesonerado),2)</f>
        <v>184.2</v>
      </c>
      <c r="AH195" s="429">
        <f t="shared" ca="1" si="14"/>
        <v>0.22470000000000001</v>
      </c>
      <c r="AJ195" s="431">
        <v>162</v>
      </c>
      <c r="AL195" s="439"/>
      <c r="AM195" s="336">
        <f t="shared" ref="AM195:AM218" ca="1" si="58">$X195</f>
        <v>36545.58</v>
      </c>
      <c r="AN195" s="470" cm="1">
        <f t="array" aca="1" ref="AN195" ca="1">ROUND(ORÇAMENTO.CustoUnitario*(1+$AH195),2)</f>
        <v>225.59</v>
      </c>
    </row>
    <row r="196" spans="1:40" x14ac:dyDescent="0.2">
      <c r="A196">
        <f t="shared" si="1"/>
        <v>3</v>
      </c>
      <c r="B196">
        <f t="shared" ca="1" si="2"/>
        <v>3</v>
      </c>
      <c r="C196">
        <f t="shared" ca="1" si="3"/>
        <v>3</v>
      </c>
      <c r="D196">
        <f t="shared" ca="1" si="4"/>
        <v>7</v>
      </c>
      <c r="E196">
        <f ca="1">IF($C196=1,OFFSET(E196,-1,0)+MAX(1,COUNTIF(QCI!$A$13:$A$24,OFFSET(ORÇAMENTO!E196,-1,0))),OFFSET(E196,-1,0))</f>
        <v>1</v>
      </c>
      <c r="F196">
        <f t="shared" ca="1" si="5"/>
        <v>10</v>
      </c>
      <c r="G196">
        <f t="shared" ca="1" si="6"/>
        <v>2</v>
      </c>
      <c r="H196">
        <f t="shared" ca="1" si="7"/>
        <v>0</v>
      </c>
      <c r="I196">
        <f t="shared" ca="1" si="8"/>
        <v>0</v>
      </c>
      <c r="J196">
        <f t="shared" ca="1" si="47"/>
        <v>23</v>
      </c>
      <c r="K196">
        <f ca="1">IF(OR($C196="S",$C196=0),0,MATCH(OFFSET($D196,0,$C196)+IF($C196&lt;&gt;1,1,COUNTIF(QCI!$A$13:$A$24,ORÇAMENTO!E196)),OFFSET($D196,1,$C196,ROW($C$240)-ROW($C196)),0))</f>
        <v>7</v>
      </c>
      <c r="L196" s="114" t="str">
        <f t="shared" ca="1" si="10"/>
        <v>F</v>
      </c>
      <c r="M196" s="115" t="s">
        <v>703</v>
      </c>
      <c r="N196" s="116" t="str">
        <f t="shared" ca="1" si="11"/>
        <v>Nível 3</v>
      </c>
      <c r="O196" s="117" t="str">
        <f t="shared" ca="1" si="12"/>
        <v>1.10.2.</v>
      </c>
      <c r="P196" s="118" t="s">
        <v>750</v>
      </c>
      <c r="Q196" s="119"/>
      <c r="R196" s="120" t="s">
        <v>1054</v>
      </c>
      <c r="S196" s="121" t="str" cm="1">
        <f t="array" aca="1" ref="S196" ca="1">REFERENCIA.Unidade</f>
        <v>-</v>
      </c>
      <c r="T196" s="122">
        <f ca="1">OFFSET(CÁLCULO!H$15,ROW($T196)-ROW(T$15),0)</f>
        <v>0</v>
      </c>
      <c r="U196" s="123"/>
      <c r="V196" s="124" t="s">
        <v>663</v>
      </c>
      <c r="W196" s="122" cm="1">
        <f t="array" aca="1" ref="W196" ca="1">IF($C196="S",ROUND(IF(TIPOORCAMENTO="Proposto",ORÇAMENTO.CustoUnitario*(1+$AH196),ORÇAMENTO.PrecoUnitarioLicitado),15-13*$AF$10),0)</f>
        <v>0</v>
      </c>
      <c r="X196" s="125" cm="1">
        <f t="array" aca="1" ref="X196" ca="1">IF($C196="S",IF(OR(Import.TipoArredondamento&lt;&gt;"TransfereGOV",ACOMPANHAMENTO="BM"),VTOTAL1,SUM(OFFSET(CÁLCULO!$AA$15,ROW($X196)-ROW($X$15),1):OFFSET(CÁLCULO!$AL$15,ROW($X196)-ROW($X$15),-1))),IF($C196=0,0,ROUND(SomaAgrup,15-13*$AF$11)))</f>
        <v>173792.96</v>
      </c>
      <c r="Y196" s="126" t="s">
        <v>751</v>
      </c>
      <c r="Z196" t="str">
        <f t="shared" ca="1" si="13"/>
        <v/>
      </c>
      <c r="AA196" s="127" cm="1">
        <f t="array" aca="1" ref="AA196" ca="1">IF($C196="S",IF($Z196="CP",$X196,IF($Z196="RA",(($X196)*QCI!$AA$3),0)),SomaAgrup)</f>
        <v>81235.654772550988</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b" cm="1">
        <f t="array" aca="1" ref="AE196" ca="1">IF(AND($C196="S",ORÇAMENTO.CodBarra&lt;&gt;""),IF(ORÇAMENTO.Fonte="",ORÇAMENTO.CodBarra,CONCATENATE(ORÇAMENTO.Fonte," ",ORÇAMENTO.CodBarra)))</f>
        <v>0</v>
      </c>
      <c r="AF196" s="12" t="str"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(Sem Código)</v>
      </c>
      <c r="AG196" s="428" cm="1">
        <f t="array" aca="1" ref="AG196" ca="1">ROUND(IF(DESONERACAO="sim",REFERENCIA.Desonerado,REFERENCIA.NaoDesonerado),2)</f>
        <v>0</v>
      </c>
      <c r="AH196" s="429">
        <f t="shared" ca="1" si="14"/>
        <v>0.22470000000000001</v>
      </c>
      <c r="AJ196" s="431"/>
      <c r="AL196" s="439"/>
      <c r="AM196" s="336">
        <f t="shared" ca="1" si="58"/>
        <v>173792.96</v>
      </c>
      <c r="AN196" s="470" cm="1">
        <f t="array" aca="1" ref="AN196" ca="1">ROUND(ORÇAMENTO.CustoUnitario*(1+$AH196),2)</f>
        <v>0</v>
      </c>
    </row>
    <row r="197" spans="1:40" x14ac:dyDescent="0.2">
      <c r="A197">
        <f t="shared" si="1"/>
        <v>4</v>
      </c>
      <c r="B197">
        <f t="shared" ca="1" si="2"/>
        <v>4</v>
      </c>
      <c r="C197">
        <f t="shared" ca="1" si="3"/>
        <v>4</v>
      </c>
      <c r="D197">
        <f t="shared" ca="1" si="4"/>
        <v>3</v>
      </c>
      <c r="E197">
        <f ca="1">IF($C197=1,OFFSET(E197,-1,0)+MAX(1,COUNTIF(QCI!$A$13:$A$24,OFFSET(ORÇAMENTO!E197,-1,0))),OFFSET(E197,-1,0))</f>
        <v>1</v>
      </c>
      <c r="F197">
        <f t="shared" ca="1" si="5"/>
        <v>10</v>
      </c>
      <c r="G197">
        <f t="shared" ca="1" si="6"/>
        <v>2</v>
      </c>
      <c r="H197">
        <f t="shared" ca="1" si="7"/>
        <v>1</v>
      </c>
      <c r="I197">
        <f t="shared" ca="1" si="8"/>
        <v>0</v>
      </c>
      <c r="J197">
        <f t="shared" ca="1" si="47"/>
        <v>6</v>
      </c>
      <c r="K197">
        <f ca="1">IF(OR($C197="S",$C197=0),0,MATCH(OFFSET($D197,0,$C197)+IF($C197&lt;&gt;1,1,COUNTIF(QCI!$A$13:$A$24,ORÇAMENTO!E197)),OFFSET($D197,1,$C197,ROW($C$240)-ROW($C197)),0))</f>
        <v>3</v>
      </c>
      <c r="L197" s="114" t="str">
        <f t="shared" ca="1" si="10"/>
        <v>F</v>
      </c>
      <c r="M197" s="115" t="s">
        <v>704</v>
      </c>
      <c r="N197" s="116" t="str">
        <f t="shared" ca="1" si="11"/>
        <v>Nível 4</v>
      </c>
      <c r="O197" s="117" t="str">
        <f t="shared" ca="1" si="12"/>
        <v>1.10.2.1.</v>
      </c>
      <c r="P197" s="118" t="s">
        <v>750</v>
      </c>
      <c r="Q197" s="119"/>
      <c r="R197" s="120" t="s">
        <v>1056</v>
      </c>
      <c r="S197" s="121" t="str" cm="1">
        <f t="array" aca="1" ref="S197" ca="1">REFERENCIA.Unidade</f>
        <v>-</v>
      </c>
      <c r="T197" s="122">
        <f ca="1">OFFSET(CÁLCULO!H$15,ROW($T197)-ROW(T$15),0)</f>
        <v>0</v>
      </c>
      <c r="U197" s="123"/>
      <c r="V197" s="124" t="s">
        <v>663</v>
      </c>
      <c r="W197" s="122" cm="1">
        <f t="array" aca="1" ref="W197" ca="1">IF($C197="S",ROUND(IF(TIPOORCAMENTO="Proposto",ORÇAMENTO.CustoUnitario*(1+$AH197),ORÇAMENTO.PrecoUnitarioLicitado),15-13*$AF$10),0)</f>
        <v>0</v>
      </c>
      <c r="X197" s="125" cm="1">
        <f t="array" aca="1" ref="X197" ca="1">IF($C197="S",IF(OR(Import.TipoArredondamento&lt;&gt;"TransfereGOV",ACOMPANHAMENTO="BM"),VTOTAL1,SUM(OFFSET(CÁLCULO!$AA$15,ROW($X197)-ROW($X$15),1):OFFSET(CÁLCULO!$AL$15,ROW($X197)-ROW($X$15),-1))),IF($C197=0,0,ROUND(SomaAgrup,15-13*$AF$11)))</f>
        <v>5102.67</v>
      </c>
      <c r="Y197" s="126" t="s">
        <v>751</v>
      </c>
      <c r="Z197" t="str">
        <f t="shared" ca="1" si="13"/>
        <v/>
      </c>
      <c r="AA197" s="127" cm="1">
        <f t="array" aca="1" ref="AA197" ca="1">IF($C197="S",IF($Z197="CP",$X197,IF($Z197="RA",(($X197)*QCI!$AA$3),0)),SomaAgrup)</f>
        <v>2385.1296309024988</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b" cm="1">
        <f t="array" aca="1" ref="AE197" ca="1">IF(AND($C197="S",ORÇAMENTO.CodBarra&lt;&gt;""),IF(ORÇAMENTO.Fonte="",ORÇAMENTO.CodBarra,CONCATENATE(ORÇAMENTO.Fonte," ",ORÇAMENTO.CodBarra)))</f>
        <v>0</v>
      </c>
      <c r="AF197" s="12" t="str"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(Sem Código)</v>
      </c>
      <c r="AG197" s="428" cm="1">
        <f t="array" aca="1" ref="AG197" ca="1">ROUND(IF(DESONERACAO="sim",REFERENCIA.Desonerado,REFERENCIA.NaoDesonerado),2)</f>
        <v>0</v>
      </c>
      <c r="AH197" s="429">
        <f t="shared" ca="1" si="14"/>
        <v>0.22470000000000001</v>
      </c>
      <c r="AJ197" s="431"/>
      <c r="AL197" s="439"/>
      <c r="AM197" s="336">
        <f t="shared" ca="1" si="58"/>
        <v>5102.67</v>
      </c>
      <c r="AN197" s="470" cm="1">
        <f t="array" aca="1" ref="AN197" ca="1">ROUND(ORÇAMENTO.CustoUnitario*(1+$AH197),2)</f>
        <v>0</v>
      </c>
    </row>
    <row r="198" spans="1:40" ht="38.25" x14ac:dyDescent="0.2">
      <c r="A198" t="str">
        <f t="shared" si="1"/>
        <v>S</v>
      </c>
      <c r="B198">
        <f t="shared" ca="1" si="2"/>
        <v>4</v>
      </c>
      <c r="C198" t="str">
        <f t="shared" ca="1" si="3"/>
        <v>S</v>
      </c>
      <c r="D198">
        <f t="shared" ca="1" si="4"/>
        <v>0</v>
      </c>
      <c r="E198">
        <f ca="1">IF($C198=1,OFFSET(E198,-1,0)+MAX(1,COUNTIF(QCI!$A$13:$A$24,OFFSET(ORÇAMENTO!E198,-1,0))),OFFSET(E198,-1,0))</f>
        <v>1</v>
      </c>
      <c r="F198">
        <f t="shared" ca="1" si="5"/>
        <v>10</v>
      </c>
      <c r="G198">
        <f t="shared" ca="1" si="6"/>
        <v>2</v>
      </c>
      <c r="H198">
        <f t="shared" ca="1" si="7"/>
        <v>1</v>
      </c>
      <c r="I198">
        <f t="shared" ca="1" si="8"/>
        <v>1</v>
      </c>
      <c r="J198">
        <f t="shared" ca="1" si="47"/>
        <v>0</v>
      </c>
      <c r="K198">
        <f ca="1">IF(OR($C198="S",$C198=0),0,MATCH(OFFSET($D198,0,$C198)+IF($C198&lt;&gt;1,1,COUNTIF(QCI!$A$13:$A$24,ORÇAMENTO!E198)),OFFSET($D198,1,$C198,ROW($C$240)-ROW($C198)),0))</f>
        <v>0</v>
      </c>
      <c r="L198" s="114" t="str">
        <f t="shared" ca="1" si="10"/>
        <v>F</v>
      </c>
      <c r="M198" s="115" t="s">
        <v>705</v>
      </c>
      <c r="N198" s="116" t="str">
        <f t="shared" ca="1" si="11"/>
        <v>Serviço</v>
      </c>
      <c r="O198" s="117" t="str">
        <f t="shared" ca="1" si="12"/>
        <v>1.10.2.1.1.</v>
      </c>
      <c r="P198" s="118" t="s">
        <v>750</v>
      </c>
      <c r="Q198" s="119" t="s">
        <v>1075</v>
      </c>
      <c r="R198" s="120" t="str" cm="1">
        <f t="array" aca="1" ref="R198" ca="1">IF($C198="S",REFERENCIA.Descricao,"(digite a descrição aqui)")</f>
        <v>LASTRO COM MATERIAL GRANULAR (PEDRA BRITADA N.2), APLICADO EM PISOS OU LAJES SOBRE SOLO, ESPESSURA DE *10 CM*. AF_01/2024</v>
      </c>
      <c r="S198" s="121" t="str" cm="1">
        <f t="array" aca="1" ref="S198" ca="1">REFERENCIA.Unidade</f>
        <v>M3</v>
      </c>
      <c r="T198" s="122">
        <f ca="1">OFFSET(CÁLCULO!H$15,ROW($T198)-ROW(T$15),0)</f>
        <v>7.98</v>
      </c>
      <c r="U198" s="123">
        <f t="shared" ref="U198:U199" ca="1" si="59">AG198</f>
        <v>181.42</v>
      </c>
      <c r="V198" s="124" t="s">
        <v>663</v>
      </c>
      <c r="W198" s="122" cm="1">
        <f t="array" aca="1" ref="W198" ca="1">IF($C198="S",ROUND(IF(TIPOORCAMENTO="Proposto",ORÇAMENTO.CustoUnitario*(1+$AH198),ORÇAMENTO.PrecoUnitarioLicitado),15-13*$AF$10),0)</f>
        <v>222.19</v>
      </c>
      <c r="X198" s="125" cm="1">
        <f t="array" aca="1" ref="X198" ca="1">IF($C198="S",IF(OR(Import.TipoArredondamento&lt;&gt;"TransfereGOV",ACOMPANHAMENTO="BM"),VTOTAL1,SUM(OFFSET(CÁLCULO!$AA$15,ROW($X198)-ROW($X$15),1):OFFSET(CÁLCULO!$AL$15,ROW($X198)-ROW($X$15),-1))),IF($C198=0,0,ROUND(SomaAgrup,15-13*$AF$11)))</f>
        <v>1773.08</v>
      </c>
      <c r="Y198" s="126" t="s">
        <v>751</v>
      </c>
      <c r="Z198" t="str">
        <f t="shared" ca="1" si="13"/>
        <v>RA</v>
      </c>
      <c r="AA198" s="127" cm="1">
        <f t="array" aca="1" ref="AA198" ca="1">IF($C198="S",IF($Z198="CP",$X198,IF($Z198="RA",(($X198)*QCI!$AA$3),0)),SomaAgrup)</f>
        <v>828.78682061755956</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str" cm="1">
        <f t="array" aca="1" ref="AE198" ca="1">IF(AND($C198="S",ORÇAMENTO.CodBarra&lt;&gt;""),IF(ORÇAMENTO.Fonte="",ORÇAMENTO.CodBarra,CONCATENATE(ORÇAMENTO.Fonte," ",ORÇAMENTO.CodBarra)))</f>
        <v>SINAPI 96624</v>
      </c>
      <c r="AF198" s="12"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12896</v>
      </c>
      <c r="AG198" s="428" cm="1">
        <f t="array" aca="1" ref="AG198" ca="1">ROUND(IF(DESONERACAO="sim",REFERENCIA.Desonerado,REFERENCIA.NaoDesonerado),2)</f>
        <v>181.42</v>
      </c>
      <c r="AH198" s="429">
        <f t="shared" ca="1" si="14"/>
        <v>0.22470000000000001</v>
      </c>
      <c r="AJ198" s="431">
        <v>7.98</v>
      </c>
      <c r="AL198" s="439"/>
      <c r="AM198" s="336">
        <f t="shared" ca="1" si="58"/>
        <v>1773.08</v>
      </c>
      <c r="AN198" s="470" cm="1">
        <f t="array" aca="1" ref="AN198" ca="1">ROUND(ORÇAMENTO.CustoUnitario*(1+$AH198),2)</f>
        <v>222.19</v>
      </c>
    </row>
    <row r="199" spans="1:40" ht="38.25" x14ac:dyDescent="0.2">
      <c r="A199" t="str">
        <f>CHOOSE(1+LOG(1+2*(ORÇAMENTO.Nivel="Meta")+4*(ORÇAMENTO.Nivel="Nível 2")+8*(ORÇAMENTO.Nivel="Nível 3")+16*(ORÇAMENTO.Nivel="Nível 4")+32*(ORÇAMENTO.Nivel="Serviço"),2),0,1,2,3,4,"S")</f>
        <v>S</v>
      </c>
      <c r="B199">
        <f ca="1">IF(OR(C199="s",C199=0),OFFSET(B199,-1,0),C199)</f>
        <v>4</v>
      </c>
      <c r="C199" t="str">
        <f ca="1">IF(OFFSET(C199,-1,0)="L",1,IF(OFFSET(C199,-1,0)=1,2,IF(OR(A199="s",A199=0),"S",IF(AND(OFFSET(C199,-1,0)=2,A199=4),3,IF(AND(OR(OFFSET(C199,-1,0)="s",OFFSET(C199,-1,0)=0),A199&lt;&gt;"s",A199&gt;OFFSET(B199,-1,0)),OFFSET(B199,-1,0),A199)))))</f>
        <v>S</v>
      </c>
      <c r="D199">
        <f ca="1">IF(OR(C199="S",C199=0),0,IF(ISERROR(K199),J199,SMALL(J199:K199,1)))</f>
        <v>0</v>
      </c>
      <c r="E199">
        <f ca="1">IF($C199=1,OFFSET(E199,-1,0)+MAX(1,COUNTIF(QCI!$A$13:$A$24,OFFSET(ORÇAMENTO!E199,-1,0))),OFFSET(E199,-1,0))</f>
        <v>1</v>
      </c>
      <c r="F199">
        <f ca="1">IF($C199=1,0,IF($C199=2,OFFSET(F199,-1,0)+1,OFFSET(F199,-1,0)))</f>
        <v>10</v>
      </c>
      <c r="G199">
        <f ca="1">IF(AND($C199&lt;=2,$C199&lt;&gt;0),0,IF($C199=3,OFFSET(G199,-1,0)+1,OFFSET(G199,-1,0)))</f>
        <v>2</v>
      </c>
      <c r="H199">
        <f ca="1">IF(AND($C199&lt;=3,$C199&lt;&gt;0),0,IF($C199=4,OFFSET(H199,-1,0)+1,OFFSET(H199,-1,0)))</f>
        <v>1</v>
      </c>
      <c r="I199">
        <f ca="1">IF(AND($C199&lt;=4,$C199&lt;&gt;0),0,IF(AND($C199="S",$X199&gt;0),OFFSET(I199,-1,0)+1,OFFSET(I199,-1,0)))</f>
        <v>2</v>
      </c>
      <c r="J199">
        <f t="shared" ca="1" si="47"/>
        <v>0</v>
      </c>
      <c r="K199">
        <f ca="1">IF(OR($C199="S",$C199=0),0,MATCH(OFFSET($D199,0,$C199)+IF($C199&lt;&gt;1,1,COUNTIF(QCI!$A$13:$A$24,ORÇAMENTO!E199)),OFFSET($D199,1,$C199,ROW($C$240)-ROW($C199)),0))</f>
        <v>0</v>
      </c>
      <c r="L199" s="114" t="str">
        <f ca="1">IF(OR($X199&gt;0,$C199=1,$C199=2,$C199=3,$C199=4),"F","")</f>
        <v>F</v>
      </c>
      <c r="M199" s="115" t="s">
        <v>705</v>
      </c>
      <c r="N199" s="116" t="str">
        <f ca="1">CHOOSE(1+LOG(1+2*(C199=1)+4*(C199=2)+8*(C199=3)+16*(C199=4)+32*(C199="S"),2),"","Meta","Nível 2","Nível 3","Nível 4","Serviço")</f>
        <v>Serviço</v>
      </c>
      <c r="O199" s="117" t="str">
        <f ca="1">IF(OR($C199=0,$L199=""),"-",CONCATENATE(E199&amp;".",IF(AND($A$5&gt;=2,$C199&gt;=2),F199&amp;".",""),IF(AND($A$5&gt;=3,$C199&gt;=3),G199&amp;".",""),IF(AND($A$5&gt;=4,$C199&gt;=4),H199&amp;".",""),IF($C199="S",I199&amp;".","")))</f>
        <v>1.10.2.1.2.</v>
      </c>
      <c r="P199" s="118" t="s">
        <v>750</v>
      </c>
      <c r="Q199" s="119" t="s">
        <v>1076</v>
      </c>
      <c r="R199" s="120" t="str" cm="1">
        <f t="array" aca="1" ref="R199" ca="1">IF($C199="S",REFERENCIA.Descricao,"(digite a descrição aqui)")</f>
        <v>EXECUÇÃO DE PASSEIO (CALÇADA) OU PISO DE CONCRETO COM CONCRETO MOLDADO IN LOCO, FEITO EM OBRA, ACABAMENTO CONVENCIONAL, NÃO ARMADO. AF_08/2022</v>
      </c>
      <c r="S199" s="121" t="str" cm="1">
        <f t="array" aca="1" ref="S199" ca="1">REFERENCIA.Unidade</f>
        <v>M3</v>
      </c>
      <c r="T199" s="122">
        <f ca="1">OFFSET(CÁLCULO!H$15,ROW($T199)-ROW(T$15),0)</f>
        <v>3.24</v>
      </c>
      <c r="U199" s="123">
        <f t="shared" ca="1" si="59"/>
        <v>839.1</v>
      </c>
      <c r="V199" s="124" t="s">
        <v>663</v>
      </c>
      <c r="W199" s="122" cm="1">
        <f t="array" aca="1" ref="W199" ca="1">IF($C199="S",ROUND(IF(TIPOORCAMENTO="Proposto",ORÇAMENTO.CustoUnitario*(1+$AH199),ORÇAMENTO.PrecoUnitarioLicitado),15-13*$AF$10),0)</f>
        <v>1027.6500000000001</v>
      </c>
      <c r="X199" s="125" cm="1">
        <f t="array" aca="1" ref="X199" ca="1">IF($C199="S",IF(OR(Import.TipoArredondamento&lt;&gt;"TransfereGOV",ACOMPANHAMENTO="BM"),VTOTAL1,SUM(OFFSET(CÁLCULO!$AA$15,ROW($X199)-ROW($X$15),1):OFFSET(CÁLCULO!$AL$15,ROW($X199)-ROW($X$15),-1))),IF($C199=0,0,ROUND(SomaAgrup,15-13*$AF$11)))</f>
        <v>3329.59</v>
      </c>
      <c r="Y199" s="126" t="s">
        <v>751</v>
      </c>
      <c r="Z199" t="str">
        <f ca="1">IF(AND($C199="S",$X199&gt;0),IF(ISBLANK($Y199),"RA",LEFT($Y199,2)),"")</f>
        <v>RA</v>
      </c>
      <c r="AA199" s="127" cm="1">
        <f t="array" aca="1" ref="AA199" ca="1">IF($C199="S",IF($Z199="CP",$X199,IF($Z199="RA",(($X199)*QCI!$AA$3),0)),SomaAgrup)</f>
        <v>1556.3428102849393</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7" t="str" cm="1">
        <f t="array" aca="1" ref="AE199" ca="1">IF(AND($C199="S",ORÇAMENTO.CodBarra&lt;&gt;""),IF(ORÇAMENTO.Fonte="",ORÇAMENTO.CodBarra,CONCATENATE(ORÇAMENTO.Fonte," ",ORÇAMENTO.CodBarra)))</f>
        <v>SINAPI 94990</v>
      </c>
      <c r="AF199" s="12"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13970</v>
      </c>
      <c r="AG199" s="428" cm="1">
        <f t="array" aca="1" ref="AG199" ca="1">ROUND(IF(DESONERACAO="sim",REFERENCIA.Desonerado,REFERENCIA.NaoDesonerado),2)</f>
        <v>839.1</v>
      </c>
      <c r="AH199" s="429">
        <f ca="1">ROUND(IF(ISNUMBER(ORÇAMENTO.OpcaoBDI),ORÇAMENTO.OpcaoBDI,IF(LEFT(ORÇAMENTO.OpcaoBDI,3)="BDI",HLOOKUP(ORÇAMENTO.OpcaoBDI,$F$4:$H$5,2,FALSE),0)),15-11*$AF$9)</f>
        <v>0.22470000000000001</v>
      </c>
      <c r="AJ199" s="431">
        <v>3.24</v>
      </c>
      <c r="AL199" s="439"/>
      <c r="AM199" s="336">
        <f t="shared" ca="1" si="58"/>
        <v>3329.59</v>
      </c>
      <c r="AN199" s="470" cm="1">
        <f t="array" aca="1" ref="AN199" ca="1">ROUND(ORÇAMENTO.CustoUnitario*(1+$AH199),2)</f>
        <v>1027.6500000000001</v>
      </c>
    </row>
    <row r="200" spans="1:40" x14ac:dyDescent="0.2">
      <c r="A200">
        <f t="shared" si="1"/>
        <v>4</v>
      </c>
      <c r="B200">
        <f t="shared" ca="1" si="2"/>
        <v>4</v>
      </c>
      <c r="C200">
        <f t="shared" ca="1" si="3"/>
        <v>4</v>
      </c>
      <c r="D200">
        <f t="shared" ca="1" si="4"/>
        <v>3</v>
      </c>
      <c r="E200">
        <f ca="1">IF($C200=1,OFFSET(E200,-1,0)+MAX(1,COUNTIF(QCI!$A$13:$A$24,OFFSET(ORÇAMENTO!E200,-1,0))),OFFSET(E200,-1,0))</f>
        <v>1</v>
      </c>
      <c r="F200">
        <f t="shared" ca="1" si="5"/>
        <v>10</v>
      </c>
      <c r="G200">
        <f t="shared" ca="1" si="6"/>
        <v>2</v>
      </c>
      <c r="H200">
        <f t="shared" ca="1" si="7"/>
        <v>2</v>
      </c>
      <c r="I200">
        <f t="shared" ca="1" si="8"/>
        <v>0</v>
      </c>
      <c r="J200">
        <f t="shared" ca="1" si="47"/>
        <v>3</v>
      </c>
      <c r="K200">
        <f ca="1">IF(OR($C200="S",$C200=0),0,MATCH(OFFSET($D200,0,$C200)+IF($C200&lt;&gt;1,1,COUNTIF(QCI!$A$13:$A$24,ORÇAMENTO!E200)),OFFSET($D200,1,$C200,ROW($C$240)-ROW($C200)),0))</f>
        <v>11</v>
      </c>
      <c r="L200" s="114" t="str">
        <f t="shared" ca="1" si="10"/>
        <v>F</v>
      </c>
      <c r="M200" s="115" t="s">
        <v>704</v>
      </c>
      <c r="N200" s="116" t="str">
        <f t="shared" ca="1" si="11"/>
        <v>Nível 4</v>
      </c>
      <c r="O200" s="117" t="str">
        <f t="shared" ca="1" si="12"/>
        <v>1.10.2.2.</v>
      </c>
      <c r="P200" s="118" t="s">
        <v>750</v>
      </c>
      <c r="Q200" s="119"/>
      <c r="R200" s="120" t="s">
        <v>1059</v>
      </c>
      <c r="S200" s="121" t="str" cm="1">
        <f t="array" aca="1" ref="S200" ca="1">REFERENCIA.Unidade</f>
        <v>-</v>
      </c>
      <c r="T200" s="122">
        <f ca="1">OFFSET(CÁLCULO!H$15,ROW($T200)-ROW(T$15),0)</f>
        <v>0</v>
      </c>
      <c r="U200" s="123"/>
      <c r="V200" s="124" t="s">
        <v>663</v>
      </c>
      <c r="W200" s="122" cm="1">
        <f t="array" aca="1" ref="W200" ca="1">IF($C200="S",ROUND(IF(TIPOORCAMENTO="Proposto",ORÇAMENTO.CustoUnitario*(1+$AH200),ORÇAMENTO.PrecoUnitarioLicitado),15-13*$AF$10),0)</f>
        <v>0</v>
      </c>
      <c r="X200" s="125" cm="1">
        <f t="array" aca="1" ref="X200" ca="1">IF($C200="S",IF(OR(Import.TipoArredondamento&lt;&gt;"TransfereGOV",ACOMPANHAMENTO="BM"),VTOTAL1,SUM(OFFSET(CÁLCULO!$AA$15,ROW($X200)-ROW($X$15),1):OFFSET(CÁLCULO!$AL$15,ROW($X200)-ROW($X$15),-1))),IF($C200=0,0,ROUND(SomaAgrup,15-13*$AF$11)))</f>
        <v>168690.29</v>
      </c>
      <c r="Y200" s="126" t="s">
        <v>751</v>
      </c>
      <c r="Z200" t="str">
        <f t="shared" ca="1" si="13"/>
        <v/>
      </c>
      <c r="AA200" s="127" cm="1">
        <f t="array" aca="1" ref="AA200" ca="1">IF($C200="S",IF($Z200="CP",$X200,IF($Z200="RA",(($X200)*QCI!$AA$3),0)),SomaAgrup)</f>
        <v>78850.525141648483</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b" cm="1">
        <f t="array" aca="1" ref="AE200" ca="1">IF(AND($C200="S",ORÇAMENTO.CodBarra&lt;&gt;""),IF(ORÇAMENTO.Fonte="",ORÇAMENTO.CodBarra,CONCATENATE(ORÇAMENTO.Fonte," ",ORÇAMENTO.CodBarra)))</f>
        <v>0</v>
      </c>
      <c r="AF200" s="12" t="str"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(Sem Código)</v>
      </c>
      <c r="AG200" s="428" cm="1">
        <f t="array" aca="1" ref="AG200" ca="1">ROUND(IF(DESONERACAO="sim",REFERENCIA.Desonerado,REFERENCIA.NaoDesonerado),2)</f>
        <v>0</v>
      </c>
      <c r="AH200" s="429">
        <f t="shared" ca="1" si="14"/>
        <v>0.22470000000000001</v>
      </c>
      <c r="AJ200" s="431"/>
      <c r="AL200" s="439"/>
      <c r="AM200" s="336">
        <f t="shared" ca="1" si="58"/>
        <v>168690.29</v>
      </c>
      <c r="AN200" s="470" cm="1">
        <f t="array" aca="1" ref="AN200" ca="1">ROUND(ORÇAMENTO.CustoUnitario*(1+$AH200),2)</f>
        <v>0</v>
      </c>
    </row>
    <row r="201" spans="1:40" ht="51" x14ac:dyDescent="0.2">
      <c r="A201" t="str">
        <f t="shared" si="1"/>
        <v>S</v>
      </c>
      <c r="B201">
        <f t="shared" ca="1" si="2"/>
        <v>4</v>
      </c>
      <c r="C201" t="str">
        <f t="shared" ca="1" si="3"/>
        <v>S</v>
      </c>
      <c r="D201">
        <f t="shared" ca="1" si="4"/>
        <v>0</v>
      </c>
      <c r="E201">
        <f ca="1">IF($C201=1,OFFSET(E201,-1,0)+MAX(1,COUNTIF(QCI!$A$13:$A$24,OFFSET(ORÇAMENTO!E201,-1,0))),OFFSET(E201,-1,0))</f>
        <v>1</v>
      </c>
      <c r="F201">
        <f t="shared" ca="1" si="5"/>
        <v>10</v>
      </c>
      <c r="G201">
        <f t="shared" ca="1" si="6"/>
        <v>2</v>
      </c>
      <c r="H201">
        <f t="shared" ca="1" si="7"/>
        <v>2</v>
      </c>
      <c r="I201">
        <f t="shared" ca="1" si="8"/>
        <v>1</v>
      </c>
      <c r="J201">
        <f t="shared" ca="1" si="47"/>
        <v>0</v>
      </c>
      <c r="K201">
        <f ca="1">IF(OR($C201="S",$C201=0),0,MATCH(OFFSET($D201,0,$C201)+IF($C201&lt;&gt;1,1,COUNTIF(QCI!$A$13:$A$24,ORÇAMENTO!E201)),OFFSET($D201,1,$C201,ROW($C$240)-ROW($C201)),0))</f>
        <v>0</v>
      </c>
      <c r="L201" s="114" t="str">
        <f t="shared" ca="1" si="10"/>
        <v>F</v>
      </c>
      <c r="M201" s="115" t="s">
        <v>705</v>
      </c>
      <c r="N201" s="116" t="str">
        <f t="shared" ca="1" si="11"/>
        <v>Serviço</v>
      </c>
      <c r="O201" s="117" t="str">
        <f t="shared" ca="1" si="12"/>
        <v>1.10.2.2.1.</v>
      </c>
      <c r="P201" s="118" t="s">
        <v>750</v>
      </c>
      <c r="Q201" s="119" t="s">
        <v>1077</v>
      </c>
      <c r="R201" s="120" t="str" cm="1">
        <f t="array" aca="1" ref="R201" ca="1">IF($C201="S",REFERENCIA.Descricao,"(digite a descrição aqui)")</f>
        <v>CHAPISCO APLICADO EM ALVENARIA (SEM PRESENÇA DE VÃOS) E ESTRUTURAS DE CONCRETO DE FACHADA, COM COLHER DE PEDREIRO. ARGAMASSA TRAÇO 1:3 COM PREPARO EM BETONEIRA 400L. AF_10/2022</v>
      </c>
      <c r="S201" s="121" t="str" cm="1">
        <f t="array" aca="1" ref="S201" ca="1">REFERENCIA.Unidade</f>
        <v>M2</v>
      </c>
      <c r="T201" s="122">
        <f ca="1">OFFSET(CÁLCULO!H$15,ROW($T201)-ROW(T$15),0)</f>
        <v>2545.5</v>
      </c>
      <c r="U201" s="123">
        <f t="shared" ref="U201:U202" ca="1" si="60">AG201</f>
        <v>7.56</v>
      </c>
      <c r="V201" s="124" t="s">
        <v>663</v>
      </c>
      <c r="W201" s="122" cm="1">
        <f t="array" aca="1" ref="W201" ca="1">IF($C201="S",ROUND(IF(TIPOORCAMENTO="Proposto",ORÇAMENTO.CustoUnitario*(1+$AH201),ORÇAMENTO.PrecoUnitarioLicitado),15-13*$AF$10),0)</f>
        <v>9.26</v>
      </c>
      <c r="X201" s="125" cm="1">
        <f t="array" aca="1" ref="X201" ca="1">IF($C201="S",IF(OR(Import.TipoArredondamento&lt;&gt;"TransfereGOV",ACOMPANHAMENTO="BM"),VTOTAL1,SUM(OFFSET(CÁLCULO!$AA$15,ROW($X201)-ROW($X$15),1):OFFSET(CÁLCULO!$AL$15,ROW($X201)-ROW($X$15),-1))),IF($C201=0,0,ROUND(SomaAgrup,15-13*$AF$11)))</f>
        <v>23571.33</v>
      </c>
      <c r="Y201" s="126" t="s">
        <v>751</v>
      </c>
      <c r="Z201" t="str">
        <f t="shared" ca="1" si="13"/>
        <v>RA</v>
      </c>
      <c r="AA201" s="127" cm="1">
        <f t="array" aca="1" ref="AA201" ca="1">IF($C201="S",IF($Z201="CP",$X201,IF($Z201="RA",(($X201)*QCI!$AA$3),0)),SomaAgrup)</f>
        <v>11017.894087366223</v>
      </c>
      <c r="AB201" s="128" cm="1">
        <f t="array" aca="1" ref="AB201" ca="1">IF($C201="S",IF($Z201="OU",ROUND($X201,2),0),SomaAgrup)</f>
        <v>0</v>
      </c>
      <c r="AC201" s="565"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7" t="str" cm="1">
        <f t="array" aca="1" ref="AE201" ca="1">IF(AND($C201="S",ORÇAMENTO.CodBarra&lt;&gt;""),IF(ORÇAMENTO.Fonte="",ORÇAMENTO.CodBarra,CONCATENATE(ORÇAMENTO.Fonte," ",ORÇAMENTO.CodBarra)))</f>
        <v>SINAPI 87894</v>
      </c>
      <c r="AF201" s="12"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7323</v>
      </c>
      <c r="AG201" s="428" cm="1">
        <f t="array" aca="1" ref="AG201" ca="1">ROUND(IF(DESONERACAO="sim",REFERENCIA.Desonerado,REFERENCIA.NaoDesonerado),2)</f>
        <v>7.56</v>
      </c>
      <c r="AH201" s="429">
        <f t="shared" ca="1" si="14"/>
        <v>0.22470000000000001</v>
      </c>
      <c r="AJ201" s="431">
        <v>2545.5</v>
      </c>
      <c r="AL201" s="439"/>
      <c r="AM201" s="336">
        <f t="shared" ca="1" si="58"/>
        <v>23571.33</v>
      </c>
      <c r="AN201" s="470" cm="1">
        <f t="array" aca="1" ref="AN201" ca="1">ROUND(ORÇAMENTO.CustoUnitario*(1+$AH201),2)</f>
        <v>9.26</v>
      </c>
    </row>
    <row r="202" spans="1:40" ht="51" x14ac:dyDescent="0.2">
      <c r="A202" t="str">
        <f t="shared" si="1"/>
        <v>S</v>
      </c>
      <c r="B202">
        <f t="shared" ca="1" si="2"/>
        <v>4</v>
      </c>
      <c r="C202" t="str">
        <f t="shared" ca="1" si="3"/>
        <v>S</v>
      </c>
      <c r="D202">
        <f t="shared" ca="1" si="4"/>
        <v>0</v>
      </c>
      <c r="E202">
        <f ca="1">IF($C202=1,OFFSET(E202,-1,0)+MAX(1,COUNTIF(QCI!$A$13:$A$24,OFFSET(ORÇAMENTO!E202,-1,0))),OFFSET(E202,-1,0))</f>
        <v>1</v>
      </c>
      <c r="F202">
        <f t="shared" ca="1" si="5"/>
        <v>10</v>
      </c>
      <c r="G202">
        <f t="shared" ca="1" si="6"/>
        <v>2</v>
      </c>
      <c r="H202">
        <f t="shared" ca="1" si="7"/>
        <v>2</v>
      </c>
      <c r="I202">
        <f t="shared" ca="1" si="8"/>
        <v>2</v>
      </c>
      <c r="J202">
        <f t="shared" ref="J202:J239" ca="1" si="61">IF(OR($C202="S",$C202=0),0,MATCH(0,OFFSET($D202,1,$C202,ROW($C$240)-ROW($C202)),0))</f>
        <v>0</v>
      </c>
      <c r="K202">
        <f ca="1">IF(OR($C202="S",$C202=0),0,MATCH(OFFSET($D202,0,$C202)+IF($C202&lt;&gt;1,1,COUNTIF(QCI!$A$13:$A$24,ORÇAMENTO!E202)),OFFSET($D202,1,$C202,ROW($C$240)-ROW($C202)),0))</f>
        <v>0</v>
      </c>
      <c r="L202" s="114" t="str">
        <f t="shared" ca="1" si="10"/>
        <v>F</v>
      </c>
      <c r="M202" s="115" t="s">
        <v>705</v>
      </c>
      <c r="N202" s="116" t="str">
        <f t="shared" ca="1" si="11"/>
        <v>Serviço</v>
      </c>
      <c r="O202" s="117" t="str">
        <f t="shared" ca="1" si="12"/>
        <v>1.10.2.2.2.</v>
      </c>
      <c r="P202" s="118" t="s">
        <v>750</v>
      </c>
      <c r="Q202" s="119" t="s">
        <v>1078</v>
      </c>
      <c r="R202" s="120" t="str" cm="1">
        <f t="array" aca="1" ref="R202" ca="1">IF($C202="S",REFERENCIA.Descricao,"(digite a descrição aqui)")</f>
        <v>EMBOÇO OU MASSA ÚNICA EM ARGAMASSA TRAÇO 1:2:8, PREPARO MANUAL, APLICADA MANUALMENTE EM PANOS CEGOS DE FACHADA (SEM PRESENÇA DE VÃOS), ESPESSURA DE 25 MM. AF_09/2022</v>
      </c>
      <c r="S202" s="121" t="str" cm="1">
        <f t="array" aca="1" ref="S202" ca="1">REFERENCIA.Unidade</f>
        <v>M2</v>
      </c>
      <c r="T202" s="122">
        <f ca="1">OFFSET(CÁLCULO!H$15,ROW($T202)-ROW(T$15),0)</f>
        <v>2545.5</v>
      </c>
      <c r="U202" s="123">
        <f t="shared" ca="1" si="60"/>
        <v>46.55</v>
      </c>
      <c r="V202" s="124" t="s">
        <v>663</v>
      </c>
      <c r="W202" s="122" cm="1">
        <f t="array" aca="1" ref="W202" ca="1">IF($C202="S",ROUND(IF(TIPOORCAMENTO="Proposto",ORÇAMENTO.CustoUnitario*(1+$AH202),ORÇAMENTO.PrecoUnitarioLicitado),15-13*$AF$10),0)</f>
        <v>57.01</v>
      </c>
      <c r="X202" s="125" cm="1">
        <f t="array" aca="1" ref="X202" ca="1">IF($C202="S",IF(OR(Import.TipoArredondamento&lt;&gt;"TransfereGOV",ACOMPANHAMENTO="BM"),VTOTAL1,SUM(OFFSET(CÁLCULO!$AA$15,ROW($X202)-ROW($X$15),1):OFFSET(CÁLCULO!$AL$15,ROW($X202)-ROW($X$15),-1))),IF($C202=0,0,ROUND(SomaAgrup,15-13*$AF$11)))</f>
        <v>145118.96</v>
      </c>
      <c r="Y202" s="126" t="s">
        <v>751</v>
      </c>
      <c r="Z202" t="str">
        <f t="shared" ca="1" si="13"/>
        <v>RA</v>
      </c>
      <c r="AA202" s="127" cm="1">
        <f t="array" aca="1" ref="AA202" ca="1">IF($C202="S",IF($Z202="CP",$X202,IF($Z202="RA",(($X202)*QCI!$AA$3),0)),SomaAgrup)</f>
        <v>67832.631054282261</v>
      </c>
      <c r="AB202" s="128" cm="1">
        <f t="array" aca="1" ref="AB202" ca="1">IF($C202="S",IF($Z202="OU",ROUND($X202,2),0),SomaAgrup)</f>
        <v>0</v>
      </c>
      <c r="AC202" s="565"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str" cm="1">
        <f t="array" aca="1" ref="AE202" ca="1">IF(AND($C202="S",ORÇAMENTO.CodBarra&lt;&gt;""),IF(ORÇAMENTO.Fonte="",ORÇAMENTO.CodBarra,CONCATENATE(ORÇAMENTO.Fonte," ",ORÇAMENTO.CodBarra)))</f>
        <v>SINAPI 87794</v>
      </c>
      <c r="AF202" s="12"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13540</v>
      </c>
      <c r="AG202" s="428" cm="1">
        <f t="array" aca="1" ref="AG202" ca="1">ROUND(IF(DESONERACAO="sim",REFERENCIA.Desonerado,REFERENCIA.NaoDesonerado),2)</f>
        <v>46.55</v>
      </c>
      <c r="AH202" s="429">
        <f t="shared" ca="1" si="14"/>
        <v>0.22470000000000001</v>
      </c>
      <c r="AJ202" s="431">
        <v>2545.5</v>
      </c>
      <c r="AL202" s="439"/>
      <c r="AM202" s="336">
        <f t="shared" ca="1" si="58"/>
        <v>145118.96</v>
      </c>
      <c r="AN202" s="470" cm="1">
        <f t="array" aca="1" ref="AN202" ca="1">ROUND(ORÇAMENTO.CustoUnitario*(1+$AH202),2)</f>
        <v>57.01</v>
      </c>
    </row>
    <row r="203" spans="1:40" x14ac:dyDescent="0.2">
      <c r="A203">
        <f t="shared" si="1"/>
        <v>3</v>
      </c>
      <c r="B203">
        <f t="shared" ca="1" si="2"/>
        <v>3</v>
      </c>
      <c r="C203">
        <f t="shared" ca="1" si="3"/>
        <v>3</v>
      </c>
      <c r="D203">
        <f t="shared" ca="1" si="4"/>
        <v>16</v>
      </c>
      <c r="E203">
        <f ca="1">IF($C203=1,OFFSET(E203,-1,0)+MAX(1,COUNTIF(QCI!$A$13:$A$24,OFFSET(ORÇAMENTO!E203,-1,0))),OFFSET(E203,-1,0))</f>
        <v>1</v>
      </c>
      <c r="F203">
        <f t="shared" ca="1" si="5"/>
        <v>10</v>
      </c>
      <c r="G203">
        <f t="shared" ca="1" si="6"/>
        <v>3</v>
      </c>
      <c r="H203">
        <f t="shared" ca="1" si="7"/>
        <v>0</v>
      </c>
      <c r="I203">
        <f t="shared" ca="1" si="8"/>
        <v>0</v>
      </c>
      <c r="J203">
        <f t="shared" ca="1" si="61"/>
        <v>16</v>
      </c>
      <c r="K203" t="e">
        <f ca="1">IF(OR($C203="S",$C203=0),0,MATCH(OFFSET($D203,0,$C203)+IF($C203&lt;&gt;1,1,COUNTIF(QCI!$A$13:$A$24,ORÇAMENTO!E203)),OFFSET($D203,1,$C203,ROW($C$240)-ROW($C203)),0))</f>
        <v>#N/A</v>
      </c>
      <c r="L203" s="114" t="str">
        <f t="shared" ca="1" si="10"/>
        <v>F</v>
      </c>
      <c r="M203" s="115" t="s">
        <v>703</v>
      </c>
      <c r="N203" s="116" t="str">
        <f t="shared" ca="1" si="11"/>
        <v>Nível 3</v>
      </c>
      <c r="O203" s="117" t="str">
        <f t="shared" ca="1" si="12"/>
        <v>1.10.3.</v>
      </c>
      <c r="P203" s="118" t="s">
        <v>750</v>
      </c>
      <c r="Q203" s="119"/>
      <c r="R203" s="120" t="s">
        <v>1055</v>
      </c>
      <c r="S203" s="121" t="str" cm="1">
        <f t="array" aca="1" ref="S203" ca="1">REFERENCIA.Unidade</f>
        <v>-</v>
      </c>
      <c r="T203" s="122">
        <f ca="1">OFFSET(CÁLCULO!H$15,ROW($T203)-ROW(T$15),0)</f>
        <v>0</v>
      </c>
      <c r="U203" s="123"/>
      <c r="V203" s="124" t="s">
        <v>663</v>
      </c>
      <c r="W203" s="122" cm="1">
        <f t="array" aca="1" ref="W203" ca="1">IF($C203="S",ROUND(IF(TIPOORCAMENTO="Proposto",ORÇAMENTO.CustoUnitario*(1+$AH203),ORÇAMENTO.PrecoUnitarioLicitado),15-13*$AF$10),0)</f>
        <v>0</v>
      </c>
      <c r="X203" s="125" cm="1">
        <f t="array" aca="1" ref="X203" ca="1">IF($C203="S",IF(OR(Import.TipoArredondamento&lt;&gt;"TransfereGOV",ACOMPANHAMENTO="BM"),VTOTAL1,SUM(OFFSET(CÁLCULO!$AA$15,ROW($X203)-ROW($X$15),1):OFFSET(CÁLCULO!$AL$15,ROW($X203)-ROW($X$15),-1))),IF($C203=0,0,ROUND(SomaAgrup,15-13*$AF$11)))</f>
        <v>448152.9</v>
      </c>
      <c r="Y203" s="126" t="s">
        <v>751</v>
      </c>
      <c r="Z203" t="str">
        <f t="shared" ca="1" si="13"/>
        <v/>
      </c>
      <c r="AA203" s="127" cm="1">
        <f t="array" aca="1" ref="AA203" ca="1">IF($C203="S",IF($Z203="CP",$X203,IF($Z203="RA",(($X203)*QCI!$AA$3),0)),SomaAgrup)</f>
        <v>209479.10818549595</v>
      </c>
      <c r="AB203" s="128" cm="1">
        <f t="array" aca="1" ref="AB203" ca="1">IF($C203="S",IF($Z203="OU",ROUND($X203,2),0),SomaAgrup)</f>
        <v>0</v>
      </c>
      <c r="AC203" s="565"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7" t="b" cm="1">
        <f t="array" aca="1" ref="AE203" ca="1">IF(AND($C203="S",ORÇAMENTO.CodBarra&lt;&gt;""),IF(ORÇAMENTO.Fonte="",ORÇAMENTO.CodBarra,CONCATENATE(ORÇAMENTO.Fonte," ",ORÇAMENTO.CodBarra)))</f>
        <v>0</v>
      </c>
      <c r="AF203" s="12" t="str"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(Sem Código)</v>
      </c>
      <c r="AG203" s="428" cm="1">
        <f t="array" aca="1" ref="AG203" ca="1">ROUND(IF(DESONERACAO="sim",REFERENCIA.Desonerado,REFERENCIA.NaoDesonerado),2)</f>
        <v>0</v>
      </c>
      <c r="AH203" s="429">
        <f t="shared" ca="1" si="14"/>
        <v>0.22470000000000001</v>
      </c>
      <c r="AJ203" s="431"/>
      <c r="AL203" s="439"/>
      <c r="AM203" s="336">
        <f t="shared" ca="1" si="58"/>
        <v>448152.9</v>
      </c>
      <c r="AN203" s="470" cm="1">
        <f t="array" aca="1" ref="AN203" ca="1">ROUND(ORÇAMENTO.CustoUnitario*(1+$AH203),2)</f>
        <v>0</v>
      </c>
    </row>
    <row r="204" spans="1:40" x14ac:dyDescent="0.2">
      <c r="A204">
        <f t="shared" si="1"/>
        <v>4</v>
      </c>
      <c r="B204">
        <f t="shared" ca="1" si="2"/>
        <v>4</v>
      </c>
      <c r="C204">
        <f t="shared" ca="1" si="3"/>
        <v>4</v>
      </c>
      <c r="D204">
        <f t="shared" ca="1" si="4"/>
        <v>2</v>
      </c>
      <c r="E204">
        <f ca="1">IF($C204=1,OFFSET(E204,-1,0)+MAX(1,COUNTIF(QCI!$A$13:$A$24,OFFSET(ORÇAMENTO!E204,-1,0))),OFFSET(E204,-1,0))</f>
        <v>1</v>
      </c>
      <c r="F204">
        <f t="shared" ca="1" si="5"/>
        <v>10</v>
      </c>
      <c r="G204">
        <f t="shared" ca="1" si="6"/>
        <v>3</v>
      </c>
      <c r="H204">
        <f t="shared" ca="1" si="7"/>
        <v>1</v>
      </c>
      <c r="I204">
        <f t="shared" ca="1" si="8"/>
        <v>0</v>
      </c>
      <c r="J204">
        <f t="shared" ca="1" si="61"/>
        <v>15</v>
      </c>
      <c r="K204">
        <f ca="1">IF(OR($C204="S",$C204=0),0,MATCH(OFFSET($D204,0,$C204)+IF($C204&lt;&gt;1,1,COUNTIF(QCI!$A$13:$A$24,ORÇAMENTO!E204)),OFFSET($D204,1,$C204,ROW($C$240)-ROW($C204)),0))</f>
        <v>2</v>
      </c>
      <c r="L204" s="114" t="str">
        <f t="shared" ca="1" si="10"/>
        <v>F</v>
      </c>
      <c r="M204" s="115" t="s">
        <v>704</v>
      </c>
      <c r="N204" s="116" t="str">
        <f t="shared" ca="1" si="11"/>
        <v>Nível 4</v>
      </c>
      <c r="O204" s="117" t="str">
        <f t="shared" ca="1" si="12"/>
        <v>1.10.3.1.</v>
      </c>
      <c r="P204" s="118" t="s">
        <v>750</v>
      </c>
      <c r="Q204" s="119"/>
      <c r="R204" s="120" t="s">
        <v>1079</v>
      </c>
      <c r="S204" s="121" t="str" cm="1">
        <f t="array" aca="1" ref="S204" ca="1">REFERENCIA.Unidade</f>
        <v>-</v>
      </c>
      <c r="T204" s="122">
        <f ca="1">OFFSET(CÁLCULO!H$15,ROW($T204)-ROW(T$15),0)</f>
        <v>0</v>
      </c>
      <c r="U204" s="123"/>
      <c r="V204" s="124" t="s">
        <v>663</v>
      </c>
      <c r="W204" s="122" cm="1">
        <f t="array" aca="1" ref="W204" ca="1">IF($C204="S",ROUND(IF(TIPOORCAMENTO="Proposto",ORÇAMENTO.CustoUnitario*(1+$AH204),ORÇAMENTO.PrecoUnitarioLicitado),15-13*$AF$10),0)</f>
        <v>0</v>
      </c>
      <c r="X204" s="125" cm="1">
        <f t="array" aca="1" ref="X204" ca="1">IF($C204="S",IF(OR(Import.TipoArredondamento&lt;&gt;"TransfereGOV",ACOMPANHAMENTO="BM"),VTOTAL1,SUM(OFFSET(CÁLCULO!$AA$15,ROW($X204)-ROW($X$15),1):OFFSET(CÁLCULO!$AL$15,ROW($X204)-ROW($X$15),-1))),IF($C204=0,0,ROUND(SomaAgrup,15-13*$AF$11)))</f>
        <v>19982.580000000002</v>
      </c>
      <c r="Y204" s="126" t="s">
        <v>751</v>
      </c>
      <c r="Z204" t="str">
        <f t="shared" ca="1" si="13"/>
        <v/>
      </c>
      <c r="AA204" s="127" cm="1">
        <f t="array" aca="1" ref="AA204" ca="1">IF($C204="S",IF($Z204="CP",$X204,IF($Z204="RA",(($X204)*QCI!$AA$3),0)),SomaAgrup)</f>
        <v>9340.4126976425396</v>
      </c>
      <c r="AB204" s="128" cm="1">
        <f t="array" aca="1" ref="AB204" ca="1">IF($C204="S",IF($Z204="OU",ROUND($X204,2),0),SomaAgrup)</f>
        <v>0</v>
      </c>
      <c r="AC204" s="565"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7" t="b" cm="1">
        <f t="array" aca="1" ref="AE204" ca="1">IF(AND($C204="S",ORÇAMENTO.CodBarra&lt;&gt;""),IF(ORÇAMENTO.Fonte="",ORÇAMENTO.CodBarra,CONCATENATE(ORÇAMENTO.Fonte," ",ORÇAMENTO.CodBarra)))</f>
        <v>0</v>
      </c>
      <c r="AF204" s="12" t="str"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(Sem Código)</v>
      </c>
      <c r="AG204" s="428" cm="1">
        <f t="array" aca="1" ref="AG204" ca="1">ROUND(IF(DESONERACAO="sim",REFERENCIA.Desonerado,REFERENCIA.NaoDesonerado),2)</f>
        <v>0</v>
      </c>
      <c r="AH204" s="429">
        <f t="shared" ca="1" si="14"/>
        <v>0.22470000000000001</v>
      </c>
      <c r="AJ204" s="431"/>
      <c r="AL204" s="439"/>
      <c r="AM204" s="336">
        <f t="shared" ca="1" si="58"/>
        <v>19982.580000000002</v>
      </c>
      <c r="AN204" s="470" cm="1">
        <f t="array" aca="1" ref="AN204" ca="1">ROUND(ORÇAMENTO.CustoUnitario*(1+$AH204),2)</f>
        <v>0</v>
      </c>
    </row>
    <row r="205" spans="1:40" ht="25.5" x14ac:dyDescent="0.2">
      <c r="A205" t="str">
        <f t="shared" si="1"/>
        <v>S</v>
      </c>
      <c r="B205">
        <f t="shared" ca="1" si="2"/>
        <v>4</v>
      </c>
      <c r="C205" t="str">
        <f t="shared" ca="1" si="3"/>
        <v>S</v>
      </c>
      <c r="D205">
        <f t="shared" ca="1" si="4"/>
        <v>0</v>
      </c>
      <c r="E205">
        <f ca="1">IF($C205=1,OFFSET(E205,-1,0)+MAX(1,COUNTIF(QCI!$A$13:$A$24,OFFSET(ORÇAMENTO!E205,-1,0))),OFFSET(E205,-1,0))</f>
        <v>1</v>
      </c>
      <c r="F205">
        <f t="shared" ca="1" si="5"/>
        <v>10</v>
      </c>
      <c r="G205">
        <f t="shared" ca="1" si="6"/>
        <v>3</v>
      </c>
      <c r="H205">
        <f t="shared" ca="1" si="7"/>
        <v>1</v>
      </c>
      <c r="I205">
        <f t="shared" ca="1" si="8"/>
        <v>1</v>
      </c>
      <c r="J205">
        <f t="shared" ca="1" si="61"/>
        <v>0</v>
      </c>
      <c r="K205">
        <f ca="1">IF(OR($C205="S",$C205=0),0,MATCH(OFFSET($D205,0,$C205)+IF($C205&lt;&gt;1,1,COUNTIF(QCI!$A$13:$A$24,ORÇAMENTO!E205)),OFFSET($D205,1,$C205,ROW($C$240)-ROW($C205)),0))</f>
        <v>0</v>
      </c>
      <c r="L205" s="114" t="str">
        <f t="shared" ca="1" si="10"/>
        <v>F</v>
      </c>
      <c r="M205" s="115" t="s">
        <v>705</v>
      </c>
      <c r="N205" s="116" t="str">
        <f t="shared" ca="1" si="11"/>
        <v>Serviço</v>
      </c>
      <c r="O205" s="117" t="str">
        <f t="shared" ca="1" si="12"/>
        <v>1.10.3.1.1.</v>
      </c>
      <c r="P205" s="118" t="s">
        <v>750</v>
      </c>
      <c r="Q205" s="119" t="s">
        <v>1081</v>
      </c>
      <c r="R205" s="120" t="str" cm="1">
        <f t="array" aca="1" ref="R205" ca="1">IF($C205="S",REFERENCIA.Descricao,"(digite a descrição aqui)")</f>
        <v>CONTRAPISO COM ARGAMASSA AUTONIVELANTE, APLICADO SOBRE LAJE, NÃO ADERIDO, ESPESSURA 4CM. AF_07/2021</v>
      </c>
      <c r="S205" s="121" t="str" cm="1">
        <f t="array" aca="1" ref="S205" ca="1">REFERENCIA.Unidade</f>
        <v>M2</v>
      </c>
      <c r="T205" s="122">
        <f ca="1">OFFSET(CÁLCULO!H$15,ROW($T205)-ROW(T$15),0)</f>
        <v>453.84</v>
      </c>
      <c r="U205" s="123">
        <f ca="1">AG205</f>
        <v>35.950000000000003</v>
      </c>
      <c r="V205" s="124" t="s">
        <v>663</v>
      </c>
      <c r="W205" s="122" cm="1">
        <f t="array" aca="1" ref="W205" ca="1">IF($C205="S",ROUND(IF(TIPOORCAMENTO="Proposto",ORÇAMENTO.CustoUnitario*(1+$AH205),ORÇAMENTO.PrecoUnitarioLicitado),15-13*$AF$10),0)</f>
        <v>44.03</v>
      </c>
      <c r="X205" s="125" cm="1">
        <f t="array" aca="1" ref="X205" ca="1">IF($C205="S",IF(OR(Import.TipoArredondamento&lt;&gt;"TransfereGOV",ACOMPANHAMENTO="BM"),VTOTAL1,SUM(OFFSET(CÁLCULO!$AA$15,ROW($X205)-ROW($X$15),1):OFFSET(CÁLCULO!$AL$15,ROW($X205)-ROW($X$15),-1))),IF($C205=0,0,ROUND(SomaAgrup,15-13*$AF$11)))</f>
        <v>19982.580000000002</v>
      </c>
      <c r="Y205" s="126" t="s">
        <v>751</v>
      </c>
      <c r="Z205" t="str">
        <f t="shared" ca="1" si="13"/>
        <v>RA</v>
      </c>
      <c r="AA205" s="127" cm="1">
        <f t="array" aca="1" ref="AA205" ca="1">IF($C205="S",IF($Z205="CP",$X205,IF($Z205="RA",(($X205)*QCI!$AA$3),0)),SomaAgrup)</f>
        <v>9340.4126976425396</v>
      </c>
      <c r="AB205" s="128" cm="1">
        <f t="array" aca="1" ref="AB205" ca="1">IF($C205="S",IF($Z205="OU",ROUND($X205,2),0),SomaAgrup)</f>
        <v>0</v>
      </c>
      <c r="AC205" s="565"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7" t="str" cm="1">
        <f t="array" aca="1" ref="AE205" ca="1">IF(AND($C205="S",ORÇAMENTO.CodBarra&lt;&gt;""),IF(ORÇAMENTO.Fonte="",ORÇAMENTO.CodBarra,CONCATENATE(ORÇAMENTO.Fonte," ",ORÇAMENTO.CodBarra)))</f>
        <v>SINAPI 88471</v>
      </c>
      <c r="AF205" s="12"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7459</v>
      </c>
      <c r="AG205" s="428" cm="1">
        <f t="array" aca="1" ref="AG205" ca="1">ROUND(IF(DESONERACAO="sim",REFERENCIA.Desonerado,REFERENCIA.NaoDesonerado),2)</f>
        <v>35.950000000000003</v>
      </c>
      <c r="AH205" s="429">
        <f t="shared" ca="1" si="14"/>
        <v>0.22470000000000001</v>
      </c>
      <c r="AJ205" s="431">
        <v>453.84</v>
      </c>
      <c r="AL205" s="439"/>
      <c r="AM205" s="336">
        <f t="shared" ca="1" si="58"/>
        <v>19982.580000000002</v>
      </c>
      <c r="AN205" s="470" cm="1">
        <f t="array" aca="1" ref="AN205" ca="1">ROUND(ORÇAMENTO.CustoUnitario*(1+$AH205),2)</f>
        <v>44.03</v>
      </c>
    </row>
    <row r="206" spans="1:40" x14ac:dyDescent="0.2">
      <c r="A206">
        <f t="shared" si="1"/>
        <v>4</v>
      </c>
      <c r="B206">
        <f t="shared" ca="1" si="2"/>
        <v>4</v>
      </c>
      <c r="C206">
        <f t="shared" ca="1" si="3"/>
        <v>4</v>
      </c>
      <c r="D206">
        <f t="shared" ca="1" si="4"/>
        <v>5</v>
      </c>
      <c r="E206">
        <f ca="1">IF($C206=1,OFFSET(E206,-1,0)+MAX(1,COUNTIF(QCI!$A$13:$A$24,OFFSET(ORÇAMENTO!E206,-1,0))),OFFSET(E206,-1,0))</f>
        <v>1</v>
      </c>
      <c r="F206">
        <f t="shared" ca="1" si="5"/>
        <v>10</v>
      </c>
      <c r="G206">
        <f t="shared" ca="1" si="6"/>
        <v>3</v>
      </c>
      <c r="H206">
        <f t="shared" ca="1" si="7"/>
        <v>2</v>
      </c>
      <c r="I206">
        <f t="shared" ca="1" si="8"/>
        <v>0</v>
      </c>
      <c r="J206">
        <f t="shared" ca="1" si="61"/>
        <v>13</v>
      </c>
      <c r="K206">
        <f ca="1">IF(OR($C206="S",$C206=0),0,MATCH(OFFSET($D206,0,$C206)+IF($C206&lt;&gt;1,1,COUNTIF(QCI!$A$13:$A$24,ORÇAMENTO!E206)),OFFSET($D206,1,$C206,ROW($C$240)-ROW($C206)),0))</f>
        <v>5</v>
      </c>
      <c r="L206" s="114" t="str">
        <f t="shared" ca="1" si="10"/>
        <v>F</v>
      </c>
      <c r="M206" s="115" t="s">
        <v>704</v>
      </c>
      <c r="N206" s="116" t="str">
        <f t="shared" ca="1" si="11"/>
        <v>Nível 4</v>
      </c>
      <c r="O206" s="117" t="str">
        <f t="shared" ca="1" si="12"/>
        <v>1.10.3.2.</v>
      </c>
      <c r="P206" s="118" t="s">
        <v>750</v>
      </c>
      <c r="Q206" s="119"/>
      <c r="R206" s="120" t="s">
        <v>1080</v>
      </c>
      <c r="S206" s="121" t="str" cm="1">
        <f t="array" aca="1" ref="S206" ca="1">REFERENCIA.Unidade</f>
        <v>-</v>
      </c>
      <c r="T206" s="122">
        <f ca="1">OFFSET(CÁLCULO!H$15,ROW($T206)-ROW(T$15),0)</f>
        <v>0</v>
      </c>
      <c r="U206" s="123"/>
      <c r="V206" s="124" t="s">
        <v>663</v>
      </c>
      <c r="W206" s="122" cm="1">
        <f t="array" aca="1" ref="W206" ca="1">IF($C206="S",ROUND(IF(TIPOORCAMENTO="Proposto",ORÇAMENTO.CustoUnitario*(1+$AH206),ORÇAMENTO.PrecoUnitarioLicitado),15-13*$AF$10),0)</f>
        <v>0</v>
      </c>
      <c r="X206" s="125" cm="1">
        <f t="array" aca="1" ref="X206" ca="1">IF($C206="S",IF(OR(Import.TipoArredondamento&lt;&gt;"TransfereGOV",ACOMPANHAMENTO="BM"),VTOTAL1,SUM(OFFSET(CÁLCULO!$AA$15,ROW($X206)-ROW($X$15),1):OFFSET(CÁLCULO!$AL$15,ROW($X206)-ROW($X$15),-1))),IF($C206=0,0,ROUND(SomaAgrup,15-13*$AF$11)))</f>
        <v>79432.22</v>
      </c>
      <c r="Y206" s="126" t="s">
        <v>751</v>
      </c>
      <c r="Z206" t="str">
        <f t="shared" ca="1" si="13"/>
        <v/>
      </c>
      <c r="AA206" s="127" cm="1">
        <f t="array" aca="1" ref="AA206" ca="1">IF($C206="S",IF($Z206="CP",$X206,IF($Z206="RA",(($X206)*QCI!$AA$3),0)),SomaAgrup)</f>
        <v>37128.825021090153</v>
      </c>
      <c r="AB206" s="128" cm="1">
        <f t="array" aca="1" ref="AB206" ca="1">IF($C206="S",IF($Z206="OU",ROUND($X206,2),0),SomaAgrup)</f>
        <v>0</v>
      </c>
      <c r="AC206" s="565"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7" t="b" cm="1">
        <f t="array" aca="1" ref="AE206" ca="1">IF(AND($C206="S",ORÇAMENTO.CodBarra&lt;&gt;""),IF(ORÇAMENTO.Fonte="",ORÇAMENTO.CodBarra,CONCATENATE(ORÇAMENTO.Fonte," ",ORÇAMENTO.CodBarra)))</f>
        <v>0</v>
      </c>
      <c r="AF206" s="12" t="str"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(Sem Código)</v>
      </c>
      <c r="AG206" s="428" cm="1">
        <f t="array" aca="1" ref="AG206" ca="1">ROUND(IF(DESONERACAO="sim",REFERENCIA.Desonerado,REFERENCIA.NaoDesonerado),2)</f>
        <v>0</v>
      </c>
      <c r="AH206" s="429">
        <f t="shared" ca="1" si="14"/>
        <v>0.22470000000000001</v>
      </c>
      <c r="AJ206" s="431"/>
      <c r="AL206" s="439"/>
      <c r="AM206" s="336">
        <f t="shared" ca="1" si="58"/>
        <v>79432.22</v>
      </c>
      <c r="AN206" s="470" cm="1">
        <f t="array" aca="1" ref="AN206" ca="1">ROUND(ORÇAMENTO.CustoUnitario*(1+$AH206),2)</f>
        <v>0</v>
      </c>
    </row>
    <row r="207" spans="1:40" ht="38.25" x14ac:dyDescent="0.2">
      <c r="A207" t="str">
        <f t="shared" si="1"/>
        <v>S</v>
      </c>
      <c r="B207">
        <f t="shared" ca="1" si="2"/>
        <v>4</v>
      </c>
      <c r="C207" t="str">
        <f t="shared" ca="1" si="3"/>
        <v>S</v>
      </c>
      <c r="D207">
        <f t="shared" ca="1" si="4"/>
        <v>0</v>
      </c>
      <c r="E207">
        <f ca="1">IF($C207=1,OFFSET(E207,-1,0)+MAX(1,COUNTIF(QCI!$A$13:$A$24,OFFSET(ORÇAMENTO!E207,-1,0))),OFFSET(E207,-1,0))</f>
        <v>1</v>
      </c>
      <c r="F207">
        <f t="shared" ca="1" si="5"/>
        <v>10</v>
      </c>
      <c r="G207">
        <f t="shared" ca="1" si="6"/>
        <v>3</v>
      </c>
      <c r="H207">
        <f t="shared" ca="1" si="7"/>
        <v>2</v>
      </c>
      <c r="I207">
        <f t="shared" ca="1" si="8"/>
        <v>1</v>
      </c>
      <c r="J207">
        <f t="shared" ca="1" si="61"/>
        <v>0</v>
      </c>
      <c r="K207">
        <f ca="1">IF(OR($C207="S",$C207=0),0,MATCH(OFFSET($D207,0,$C207)+IF($C207&lt;&gt;1,1,COUNTIF(QCI!$A$13:$A$24,ORÇAMENTO!E207)),OFFSET($D207,1,$C207,ROW($C$240)-ROW($C207)),0))</f>
        <v>0</v>
      </c>
      <c r="L207" s="114" t="str">
        <f t="shared" ca="1" si="10"/>
        <v>F</v>
      </c>
      <c r="M207" s="115" t="s">
        <v>705</v>
      </c>
      <c r="N207" s="116" t="str">
        <f t="shared" ca="1" si="11"/>
        <v>Serviço</v>
      </c>
      <c r="O207" s="117" t="str">
        <f t="shared" ca="1" si="12"/>
        <v>1.10.3.2.1.</v>
      </c>
      <c r="P207" s="118" t="s">
        <v>750</v>
      </c>
      <c r="Q207" s="119" t="s">
        <v>1082</v>
      </c>
      <c r="R207" s="120" t="str" cm="1">
        <f t="array" aca="1" ref="R207" ca="1">IF($C207="S",REFERENCIA.Descricao,"(digite a descrição aqui)")</f>
        <v>COMPACTAÇÃO MECÂNICA DE SOLO PARA EXECUÇÃO DE RADIER, PISO DE CONCRETO OU LAJE SOBRE SOLO, COM COMPACTADOR DE SOLOS A PERCUSSÃO. AF_09/2021</v>
      </c>
      <c r="S207" s="121" t="str" cm="1">
        <f t="array" aca="1" ref="S207" ca="1">REFERENCIA.Unidade</f>
        <v>M2</v>
      </c>
      <c r="T207" s="122">
        <f ca="1">OFFSET(CÁLCULO!H$15,ROW($T207)-ROW(T$15),0)</f>
        <v>680.76</v>
      </c>
      <c r="U207" s="123">
        <f t="shared" ref="U207:U210" ca="1" si="62">AG207</f>
        <v>3.75</v>
      </c>
      <c r="V207" s="124" t="s">
        <v>663</v>
      </c>
      <c r="W207" s="122" cm="1">
        <f t="array" aca="1" ref="W207" ca="1">IF($C207="S",ROUND(IF(TIPOORCAMENTO="Proposto",ORÇAMENTO.CustoUnitario*(1+$AH207),ORÇAMENTO.PrecoUnitarioLicitado),15-13*$AF$10),0)</f>
        <v>4.59</v>
      </c>
      <c r="X207" s="125" cm="1">
        <f t="array" aca="1" ref="X207" ca="1">IF($C207="S",IF(OR(Import.TipoArredondamento&lt;&gt;"TransfereGOV",ACOMPANHAMENTO="BM"),VTOTAL1,SUM(OFFSET(CÁLCULO!$AA$15,ROW($X207)-ROW($X$15),1):OFFSET(CÁLCULO!$AL$15,ROW($X207)-ROW($X$15),-1))),IF($C207=0,0,ROUND(SomaAgrup,15-13*$AF$11)))</f>
        <v>3124.69</v>
      </c>
      <c r="Y207" s="126" t="s">
        <v>751</v>
      </c>
      <c r="Z207" t="str">
        <f t="shared" ca="1" si="13"/>
        <v>RA</v>
      </c>
      <c r="AA207" s="127" cm="1">
        <f t="array" aca="1" ref="AA207" ca="1">IF($C207="S",IF($Z207="CP",$X207,IF($Z207="RA",(($X207)*QCI!$AA$3),0)),SomaAgrup)</f>
        <v>1460.5668613460657</v>
      </c>
      <c r="AB207" s="128" cm="1">
        <f t="array" aca="1" ref="AB207" ca="1">IF($C207="S",IF($Z207="OU",ROUND($X207,2),0),SomaAgrup)</f>
        <v>0</v>
      </c>
      <c r="AC207" s="565"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7" t="str" cm="1">
        <f t="array" aca="1" ref="AE207" ca="1">IF(AND($C207="S",ORÇAMENTO.CodBarra&lt;&gt;""),IF(ORÇAMENTO.Fonte="",ORÇAMENTO.CodBarra,CONCATENATE(ORÇAMENTO.Fonte," ",ORÇAMENTO.CodBarra)))</f>
        <v>SINAPI 97083</v>
      </c>
      <c r="AF207" s="12"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14731</v>
      </c>
      <c r="AG207" s="428" cm="1">
        <f t="array" aca="1" ref="AG207" ca="1">ROUND(IF(DESONERACAO="sim",REFERENCIA.Desonerado,REFERENCIA.NaoDesonerado),2)</f>
        <v>3.75</v>
      </c>
      <c r="AH207" s="429">
        <f t="shared" ca="1" si="14"/>
        <v>0.22470000000000001</v>
      </c>
      <c r="AJ207" s="431">
        <v>680.76</v>
      </c>
      <c r="AL207" s="439"/>
      <c r="AM207" s="336">
        <f t="shared" ca="1" si="58"/>
        <v>3124.69</v>
      </c>
      <c r="AN207" s="470" cm="1">
        <f t="array" aca="1" ref="AN207" ca="1">ROUND(ORÇAMENTO.CustoUnitario*(1+$AH207),2)</f>
        <v>4.59</v>
      </c>
    </row>
    <row r="208" spans="1:40" ht="38.25" x14ac:dyDescent="0.2">
      <c r="A208" t="str">
        <f t="shared" si="1"/>
        <v>S</v>
      </c>
      <c r="B208">
        <f t="shared" ca="1" si="2"/>
        <v>4</v>
      </c>
      <c r="C208" t="str">
        <f t="shared" ca="1" si="3"/>
        <v>S</v>
      </c>
      <c r="D208">
        <f t="shared" ca="1" si="4"/>
        <v>0</v>
      </c>
      <c r="E208">
        <f ca="1">IF($C208=1,OFFSET(E208,-1,0)+MAX(1,COUNTIF(QCI!$A$13:$A$24,OFFSET(ORÇAMENTO!E208,-1,0))),OFFSET(E208,-1,0))</f>
        <v>1</v>
      </c>
      <c r="F208">
        <f t="shared" ca="1" si="5"/>
        <v>10</v>
      </c>
      <c r="G208">
        <f t="shared" ca="1" si="6"/>
        <v>3</v>
      </c>
      <c r="H208">
        <f t="shared" ca="1" si="7"/>
        <v>2</v>
      </c>
      <c r="I208">
        <f t="shared" ca="1" si="8"/>
        <v>2</v>
      </c>
      <c r="J208">
        <f t="shared" ca="1" si="61"/>
        <v>0</v>
      </c>
      <c r="K208">
        <f ca="1">IF(OR($C208="S",$C208=0),0,MATCH(OFFSET($D208,0,$C208)+IF($C208&lt;&gt;1,1,COUNTIF(QCI!$A$13:$A$24,ORÇAMENTO!E208)),OFFSET($D208,1,$C208,ROW($C$240)-ROW($C208)),0))</f>
        <v>0</v>
      </c>
      <c r="L208" s="114" t="str">
        <f t="shared" ca="1" si="10"/>
        <v>F</v>
      </c>
      <c r="M208" s="115" t="s">
        <v>705</v>
      </c>
      <c r="N208" s="116" t="str">
        <f t="shared" ca="1" si="11"/>
        <v>Serviço</v>
      </c>
      <c r="O208" s="117" t="str">
        <f t="shared" ca="1" si="12"/>
        <v>1.10.3.2.2.</v>
      </c>
      <c r="P208" s="118" t="s">
        <v>750</v>
      </c>
      <c r="Q208" s="119" t="s">
        <v>1075</v>
      </c>
      <c r="R208" s="120" t="str" cm="1">
        <f t="array" aca="1" ref="R208" ca="1">IF($C208="S",REFERENCIA.Descricao,"(digite a descrição aqui)")</f>
        <v>LASTRO COM MATERIAL GRANULAR (PEDRA BRITADA N.2), APLICADO EM PISOS OU LAJES SOBRE SOLO, ESPESSURA DE *10 CM*. AF_01/2024</v>
      </c>
      <c r="S208" s="121" t="str" cm="1">
        <f t="array" aca="1" ref="S208" ca="1">REFERENCIA.Unidade</f>
        <v>M3</v>
      </c>
      <c r="T208" s="122">
        <f ca="1">OFFSET(CÁLCULO!H$15,ROW($T208)-ROW(T$15),0)</f>
        <v>113.46</v>
      </c>
      <c r="U208" s="123">
        <f t="shared" ca="1" si="62"/>
        <v>181.42</v>
      </c>
      <c r="V208" s="124" t="s">
        <v>663</v>
      </c>
      <c r="W208" s="122" cm="1">
        <f t="array" aca="1" ref="W208" ca="1">IF($C208="S",ROUND(IF(TIPOORCAMENTO="Proposto",ORÇAMENTO.CustoUnitario*(1+$AH208),ORÇAMENTO.PrecoUnitarioLicitado),15-13*$AF$10),0)</f>
        <v>222.19</v>
      </c>
      <c r="X208" s="125" cm="1">
        <f t="array" aca="1" ref="X208" ca="1">IF($C208="S",IF(OR(Import.TipoArredondamento&lt;&gt;"TransfereGOV",ACOMPANHAMENTO="BM"),VTOTAL1,SUM(OFFSET(CÁLCULO!$AA$15,ROW($X208)-ROW($X$15),1):OFFSET(CÁLCULO!$AL$15,ROW($X208)-ROW($X$15),-1))),IF($C208=0,0,ROUND(SomaAgrup,15-13*$AF$11)))</f>
        <v>25209.68</v>
      </c>
      <c r="Y208" s="126" t="s">
        <v>751</v>
      </c>
      <c r="Z208" t="str">
        <f t="shared" ca="1" si="13"/>
        <v>RA</v>
      </c>
      <c r="AA208" s="127" cm="1">
        <f t="array" aca="1" ref="AA208" ca="1">IF($C208="S",IF($Z208="CP",$X208,IF($Z208="RA",(($X208)*QCI!$AA$3),0)),SomaAgrup)</f>
        <v>11783.704365277415</v>
      </c>
      <c r="AB208" s="128" cm="1">
        <f t="array" aca="1" ref="AB208" ca="1">IF($C208="S",IF($Z208="OU",ROUND($X208,2),0),SomaAgrup)</f>
        <v>0</v>
      </c>
      <c r="AC208" s="565"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str" cm="1">
        <f t="array" aca="1" ref="AE208" ca="1">IF(AND($C208="S",ORÇAMENTO.CodBarra&lt;&gt;""),IF(ORÇAMENTO.Fonte="",ORÇAMENTO.CodBarra,CONCATENATE(ORÇAMENTO.Fonte," ",ORÇAMENTO.CodBarra)))</f>
        <v>SINAPI 96624</v>
      </c>
      <c r="AF208" s="12"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12896</v>
      </c>
      <c r="AG208" s="428" cm="1">
        <f t="array" aca="1" ref="AG208" ca="1">ROUND(IF(DESONERACAO="sim",REFERENCIA.Desonerado,REFERENCIA.NaoDesonerado),2)</f>
        <v>181.42</v>
      </c>
      <c r="AH208" s="429">
        <f t="shared" ca="1" si="14"/>
        <v>0.22470000000000001</v>
      </c>
      <c r="AJ208" s="431">
        <v>113.46</v>
      </c>
      <c r="AL208" s="439"/>
      <c r="AM208" s="336">
        <f t="shared" ca="1" si="58"/>
        <v>25209.68</v>
      </c>
      <c r="AN208" s="470" cm="1">
        <f t="array" aca="1" ref="AN208" ca="1">ROUND(ORÇAMENTO.CustoUnitario*(1+$AH208),2)</f>
        <v>222.19</v>
      </c>
    </row>
    <row r="209" spans="1:40" ht="25.5" x14ac:dyDescent="0.2">
      <c r="A209" t="str">
        <f t="shared" si="1"/>
        <v>S</v>
      </c>
      <c r="B209">
        <f t="shared" ca="1" si="2"/>
        <v>4</v>
      </c>
      <c r="C209" t="str">
        <f t="shared" ca="1" si="3"/>
        <v>S</v>
      </c>
      <c r="D209">
        <f t="shared" ca="1" si="4"/>
        <v>0</v>
      </c>
      <c r="E209">
        <f ca="1">IF($C209=1,OFFSET(E209,-1,0)+MAX(1,COUNTIF(QCI!$A$13:$A$24,OFFSET(ORÇAMENTO!E209,-1,0))),OFFSET(E209,-1,0))</f>
        <v>1</v>
      </c>
      <c r="F209">
        <f t="shared" ca="1" si="5"/>
        <v>10</v>
      </c>
      <c r="G209">
        <f t="shared" ca="1" si="6"/>
        <v>3</v>
      </c>
      <c r="H209">
        <f t="shared" ca="1" si="7"/>
        <v>2</v>
      </c>
      <c r="I209">
        <f t="shared" ca="1" si="8"/>
        <v>3</v>
      </c>
      <c r="J209">
        <f t="shared" ca="1" si="61"/>
        <v>0</v>
      </c>
      <c r="K209">
        <f ca="1">IF(OR($C209="S",$C209=0),0,MATCH(OFFSET($D209,0,$C209)+IF($C209&lt;&gt;1,1,COUNTIF(QCI!$A$13:$A$24,ORÇAMENTO!E209)),OFFSET($D209,1,$C209,ROW($C$240)-ROW($C209)),0))</f>
        <v>0</v>
      </c>
      <c r="L209" s="114" t="str">
        <f t="shared" ca="1" si="10"/>
        <v>F</v>
      </c>
      <c r="M209" s="115" t="s">
        <v>705</v>
      </c>
      <c r="N209" s="116" t="str">
        <f t="shared" ca="1" si="11"/>
        <v>Serviço</v>
      </c>
      <c r="O209" s="117" t="str">
        <f t="shared" ca="1" si="12"/>
        <v>1.10.3.2.3.</v>
      </c>
      <c r="P209" s="118" t="s">
        <v>750</v>
      </c>
      <c r="Q209" s="119" t="s">
        <v>1083</v>
      </c>
      <c r="R209" s="120" t="str" cm="1">
        <f t="array" aca="1" ref="R209" ca="1">IF($C209="S",REFERENCIA.Descricao,"(digite a descrição aqui)")</f>
        <v>APLICAÇÃO DE LONA PLÁSTICA PARA EXECUÇÃO DE PAVIMENTOS DE CONCRETO. AF_04/2022</v>
      </c>
      <c r="S209" s="121" t="str" cm="1">
        <f t="array" aca="1" ref="S209" ca="1">REFERENCIA.Unidade</f>
        <v>M2</v>
      </c>
      <c r="T209" s="122">
        <f ca="1">OFFSET(CÁLCULO!H$15,ROW($T209)-ROW(T$15),0)</f>
        <v>680.76</v>
      </c>
      <c r="U209" s="123">
        <f t="shared" ca="1" si="62"/>
        <v>2.77</v>
      </c>
      <c r="V209" s="124" t="s">
        <v>663</v>
      </c>
      <c r="W209" s="122" cm="1">
        <f t="array" aca="1" ref="W209" ca="1">IF($C209="S",ROUND(IF(TIPOORCAMENTO="Proposto",ORÇAMENTO.CustoUnitario*(1+$AH209),ORÇAMENTO.PrecoUnitarioLicitado),15-13*$AF$10),0)</f>
        <v>3.39</v>
      </c>
      <c r="X209" s="125" cm="1">
        <f t="array" aca="1" ref="X209" ca="1">IF($C209="S",IF(OR(Import.TipoArredondamento&lt;&gt;"TransfereGOV",ACOMPANHAMENTO="BM"),VTOTAL1,SUM(OFFSET(CÁLCULO!$AA$15,ROW($X209)-ROW($X$15),1):OFFSET(CÁLCULO!$AL$15,ROW($X209)-ROW($X$15),-1))),IF($C209=0,0,ROUND(SomaAgrup,15-13*$AF$11)))</f>
        <v>2307.7800000000002</v>
      </c>
      <c r="Y209" s="126" t="s">
        <v>751</v>
      </c>
      <c r="Z209" t="str">
        <f t="shared" ca="1" si="13"/>
        <v>RA</v>
      </c>
      <c r="AA209" s="127" cm="1">
        <f t="array" aca="1" ref="AA209" ca="1">IF($C209="S",IF($Z209="CP",$X209,IF($Z209="RA",(($X209)*QCI!$AA$3),0)),SomaAgrup)</f>
        <v>1078.7204462769823</v>
      </c>
      <c r="AB209" s="128" cm="1">
        <f t="array" aca="1" ref="AB209" ca="1">IF($C209="S",IF($Z209="OU",ROUND($X209,2),0),SomaAgrup)</f>
        <v>0</v>
      </c>
      <c r="AC209" s="565"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7" t="str" cm="1">
        <f t="array" aca="1" ref="AE209" ca="1">IF(AND($C209="S",ORÇAMENTO.CodBarra&lt;&gt;""),IF(ORÇAMENTO.Fonte="",ORÇAMENTO.CodBarra,CONCATENATE(ORÇAMENTO.Fonte," ",ORÇAMENTO.CodBarra)))</f>
        <v>SINAPI 97113</v>
      </c>
      <c r="AF209" s="12"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14013</v>
      </c>
      <c r="AG209" s="428" cm="1">
        <f t="array" aca="1" ref="AG209" ca="1">ROUND(IF(DESONERACAO="sim",REFERENCIA.Desonerado,REFERENCIA.NaoDesonerado),2)</f>
        <v>2.77</v>
      </c>
      <c r="AH209" s="429">
        <f t="shared" ca="1" si="14"/>
        <v>0.22470000000000001</v>
      </c>
      <c r="AJ209" s="431">
        <v>680.76</v>
      </c>
      <c r="AL209" s="439"/>
      <c r="AM209" s="336">
        <f t="shared" ca="1" si="58"/>
        <v>2307.7800000000002</v>
      </c>
      <c r="AN209" s="470" cm="1">
        <f t="array" aca="1" ref="AN209" ca="1">ROUND(ORÇAMENTO.CustoUnitario*(1+$AH209),2)</f>
        <v>3.39</v>
      </c>
    </row>
    <row r="210" spans="1:40" ht="51" x14ac:dyDescent="0.2">
      <c r="A210" t="str">
        <f t="shared" si="1"/>
        <v>S</v>
      </c>
      <c r="B210">
        <f t="shared" ca="1" si="2"/>
        <v>4</v>
      </c>
      <c r="C210" t="str">
        <f t="shared" ca="1" si="3"/>
        <v>S</v>
      </c>
      <c r="D210">
        <f t="shared" ca="1" si="4"/>
        <v>0</v>
      </c>
      <c r="E210">
        <f ca="1">IF($C210=1,OFFSET(E210,-1,0)+MAX(1,COUNTIF(QCI!$A$13:$A$24,OFFSET(ORÇAMENTO!E210,-1,0))),OFFSET(E210,-1,0))</f>
        <v>1</v>
      </c>
      <c r="F210">
        <f t="shared" ca="1" si="5"/>
        <v>10</v>
      </c>
      <c r="G210">
        <f t="shared" ca="1" si="6"/>
        <v>3</v>
      </c>
      <c r="H210">
        <f t="shared" ca="1" si="7"/>
        <v>2</v>
      </c>
      <c r="I210">
        <f t="shared" ca="1" si="8"/>
        <v>4</v>
      </c>
      <c r="J210">
        <f t="shared" ca="1" si="61"/>
        <v>0</v>
      </c>
      <c r="K210">
        <f ca="1">IF(OR($C210="S",$C210=0),0,MATCH(OFFSET($D210,0,$C210)+IF($C210&lt;&gt;1,1,COUNTIF(QCI!$A$13:$A$24,ORÇAMENTO!E210)),OFFSET($D210,1,$C210,ROW($C$240)-ROW($C210)),0))</f>
        <v>0</v>
      </c>
      <c r="L210" s="114" t="str">
        <f t="shared" ca="1" si="10"/>
        <v>F</v>
      </c>
      <c r="M210" s="115" t="s">
        <v>705</v>
      </c>
      <c r="N210" s="116" t="str">
        <f t="shared" ca="1" si="11"/>
        <v>Serviço</v>
      </c>
      <c r="O210" s="117" t="str">
        <f t="shared" ca="1" si="12"/>
        <v>1.10.3.2.4.</v>
      </c>
      <c r="P210" s="118" t="s">
        <v>750</v>
      </c>
      <c r="Q210" s="119" t="s">
        <v>1084</v>
      </c>
      <c r="R210" s="120" t="str" cm="1">
        <f t="array" aca="1" ref="R210" ca="1">IF($C210="S",REFERENCIA.Descricao,"(digite a descrição aqui)")</f>
        <v>CONTRAPISO EM ARGAMASSA TRAÇO 1:4 (CIMENTO E AREIA), PREPARO MECÂNICO COM BETONEIRA 400 L, APLICADO EM ÁREAS SECAS SOBRE LAJE, NÃO ADERIDO, ACABAMENTO NÃO REFORÇADO, ESPESSURA 6CM. AF_07/2021</v>
      </c>
      <c r="S210" s="121" t="str" cm="1">
        <f t="array" aca="1" ref="S210" ca="1">REFERENCIA.Unidade</f>
        <v>M2</v>
      </c>
      <c r="T210" s="122">
        <f ca="1">OFFSET(CÁLCULO!H$15,ROW($T210)-ROW(T$15),0)</f>
        <v>680.76</v>
      </c>
      <c r="U210" s="123">
        <f t="shared" ca="1" si="62"/>
        <v>58.52</v>
      </c>
      <c r="V210" s="124" t="s">
        <v>663</v>
      </c>
      <c r="W210" s="122" cm="1">
        <f t="array" aca="1" ref="W210" ca="1">IF($C210="S",ROUND(IF(TIPOORCAMENTO="Proposto",ORÇAMENTO.CustoUnitario*(1+$AH210),ORÇAMENTO.PrecoUnitarioLicitado),15-13*$AF$10),0)</f>
        <v>71.67</v>
      </c>
      <c r="X210" s="125" cm="1">
        <f t="array" aca="1" ref="X210" ca="1">IF($C210="S",IF(OR(Import.TipoArredondamento&lt;&gt;"TransfereGOV",ACOMPANHAMENTO="BM"),VTOTAL1,SUM(OFFSET(CÁLCULO!$AA$15,ROW($X210)-ROW($X$15),1):OFFSET(CÁLCULO!$AL$15,ROW($X210)-ROW($X$15),-1))),IF($C210=0,0,ROUND(SomaAgrup,15-13*$AF$11)))</f>
        <v>48790.07</v>
      </c>
      <c r="Y210" s="126" t="s">
        <v>751</v>
      </c>
      <c r="Z210" t="str">
        <f t="shared" ca="1" si="13"/>
        <v>RA</v>
      </c>
      <c r="AA210" s="127" cm="1">
        <f t="array" aca="1" ref="AA210" ca="1">IF($C210="S",IF($Z210="CP",$X210,IF($Z210="RA",(($X210)*QCI!$AA$3),0)),SomaAgrup)</f>
        <v>22805.833348189692</v>
      </c>
      <c r="AB210" s="128" cm="1">
        <f t="array" aca="1" ref="AB210" ca="1">IF($C210="S",IF($Z210="OU",ROUND($X210,2),0),SomaAgrup)</f>
        <v>0</v>
      </c>
      <c r="AC210" s="565"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7" t="str" cm="1">
        <f t="array" aca="1" ref="AE210" ca="1">IF(AND($C210="S",ORÇAMENTO.CodBarra&lt;&gt;""),IF(ORÇAMENTO.Fonte="",ORÇAMENTO.CodBarra,CONCATENATE(ORÇAMENTO.Fonte," ",ORÇAMENTO.CodBarra)))</f>
        <v>SINAPI 87700</v>
      </c>
      <c r="AF210" s="12"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7500</v>
      </c>
      <c r="AG210" s="428" cm="1">
        <f t="array" aca="1" ref="AG210" ca="1">ROUND(IF(DESONERACAO="sim",REFERENCIA.Desonerado,REFERENCIA.NaoDesonerado),2)</f>
        <v>58.52</v>
      </c>
      <c r="AH210" s="429">
        <f t="shared" ca="1" si="14"/>
        <v>0.22470000000000001</v>
      </c>
      <c r="AJ210" s="431">
        <v>680.76</v>
      </c>
      <c r="AL210" s="439"/>
      <c r="AM210" s="336">
        <f t="shared" ca="1" si="58"/>
        <v>48790.07</v>
      </c>
      <c r="AN210" s="470" cm="1">
        <f t="array" aca="1" ref="AN210" ca="1">ROUND(ORÇAMENTO.CustoUnitario*(1+$AH210),2)</f>
        <v>71.67</v>
      </c>
    </row>
    <row r="211" spans="1:40" x14ac:dyDescent="0.2">
      <c r="A211">
        <f t="shared" si="1"/>
        <v>4</v>
      </c>
      <c r="B211">
        <f t="shared" ca="1" si="2"/>
        <v>4</v>
      </c>
      <c r="C211">
        <f t="shared" ca="1" si="3"/>
        <v>4</v>
      </c>
      <c r="D211">
        <f t="shared" ca="1" si="4"/>
        <v>3</v>
      </c>
      <c r="E211">
        <f ca="1">IF($C211=1,OFFSET(E211,-1,0)+MAX(1,COUNTIF(QCI!$A$13:$A$24,OFFSET(ORÇAMENTO!E211,-1,0))),OFFSET(E211,-1,0))</f>
        <v>1</v>
      </c>
      <c r="F211">
        <f t="shared" ca="1" si="5"/>
        <v>10</v>
      </c>
      <c r="G211">
        <f t="shared" ca="1" si="6"/>
        <v>3</v>
      </c>
      <c r="H211">
        <f t="shared" ca="1" si="7"/>
        <v>3</v>
      </c>
      <c r="I211">
        <f t="shared" ca="1" si="8"/>
        <v>0</v>
      </c>
      <c r="J211">
        <f t="shared" ca="1" si="61"/>
        <v>8</v>
      </c>
      <c r="K211">
        <f ca="1">IF(OR($C211="S",$C211=0),0,MATCH(OFFSET($D211,0,$C211)+IF($C211&lt;&gt;1,1,COUNTIF(QCI!$A$13:$A$24,ORÇAMENTO!E211)),OFFSET($D211,1,$C211,ROW($C$240)-ROW($C211)),0))</f>
        <v>3</v>
      </c>
      <c r="L211" s="114" t="str">
        <f t="shared" ca="1" si="10"/>
        <v>F</v>
      </c>
      <c r="M211" s="115" t="s">
        <v>704</v>
      </c>
      <c r="N211" s="116" t="str">
        <f t="shared" ca="1" si="11"/>
        <v>Nível 4</v>
      </c>
      <c r="O211" s="117" t="str">
        <f t="shared" ca="1" si="12"/>
        <v>1.10.3.3.</v>
      </c>
      <c r="P211" s="118" t="s">
        <v>750</v>
      </c>
      <c r="Q211" s="119"/>
      <c r="R211" s="120" t="s">
        <v>1089</v>
      </c>
      <c r="S211" s="121" t="str" cm="1">
        <f t="array" aca="1" ref="S211" ca="1">REFERENCIA.Unidade</f>
        <v>-</v>
      </c>
      <c r="T211" s="122">
        <f ca="1">OFFSET(CÁLCULO!H$15,ROW($T211)-ROW(T$15),0)</f>
        <v>0</v>
      </c>
      <c r="U211" s="123"/>
      <c r="V211" s="124" t="s">
        <v>663</v>
      </c>
      <c r="W211" s="122" cm="1">
        <f t="array" aca="1" ref="W211" ca="1">IF($C211="S",ROUND(IF(TIPOORCAMENTO="Proposto",ORÇAMENTO.CustoUnitario*(1+$AH211),ORÇAMENTO.PrecoUnitarioLicitado),15-13*$AF$10),0)</f>
        <v>0</v>
      </c>
      <c r="X211" s="125" cm="1">
        <f t="array" aca="1" ref="X211" ca="1">IF($C211="S",IF(OR(Import.TipoArredondamento&lt;&gt;"TransfereGOV",ACOMPANHAMENTO="BM"),VTOTAL1,SUM(OFFSET(CÁLCULO!$AA$15,ROW($X211)-ROW($X$15),1):OFFSET(CÁLCULO!$AL$15,ROW($X211)-ROW($X$15),-1))),IF($C211=0,0,ROUND(SomaAgrup,15-13*$AF$11)))</f>
        <v>200453.14</v>
      </c>
      <c r="Y211" s="126" t="s">
        <v>751</v>
      </c>
      <c r="Z211" t="str">
        <f t="shared" ca="1" si="13"/>
        <v/>
      </c>
      <c r="AA211" s="127" cm="1">
        <f t="array" aca="1" ref="AA211" ca="1">IF($C211="S",IF($Z211="CP",$X211,IF($Z211="RA",(($X211)*QCI!$AA$3),0)),SomaAgrup)</f>
        <v>93697.363110184859</v>
      </c>
      <c r="AB211" s="128" cm="1">
        <f t="array" aca="1" ref="AB211" ca="1">IF($C211="S",IF($Z211="OU",ROUND($X211,2),0),SomaAgrup)</f>
        <v>0</v>
      </c>
      <c r="AC211" s="565"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7" t="b" cm="1">
        <f t="array" aca="1" ref="AE211" ca="1">IF(AND($C211="S",ORÇAMENTO.CodBarra&lt;&gt;""),IF(ORÇAMENTO.Fonte="",ORÇAMENTO.CodBarra,CONCATENATE(ORÇAMENTO.Fonte," ",ORÇAMENTO.CodBarra)))</f>
        <v>0</v>
      </c>
      <c r="AF211" s="12" t="str"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(Sem Código)</v>
      </c>
      <c r="AG211" s="428" cm="1">
        <f t="array" aca="1" ref="AG211" ca="1">ROUND(IF(DESONERACAO="sim",REFERENCIA.Desonerado,REFERENCIA.NaoDesonerado),2)</f>
        <v>0</v>
      </c>
      <c r="AH211" s="429">
        <f t="shared" ca="1" si="14"/>
        <v>0.22470000000000001</v>
      </c>
      <c r="AJ211" s="431"/>
      <c r="AL211" s="439"/>
      <c r="AM211" s="336">
        <f t="shared" ca="1" si="58"/>
        <v>200453.14</v>
      </c>
      <c r="AN211" s="470" cm="1">
        <f t="array" aca="1" ref="AN211" ca="1">ROUND(ORÇAMENTO.CustoUnitario*(1+$AH211),2)</f>
        <v>0</v>
      </c>
    </row>
    <row r="212" spans="1:40" ht="38.25" x14ac:dyDescent="0.2">
      <c r="A212" t="str">
        <f t="shared" si="1"/>
        <v>S</v>
      </c>
      <c r="B212">
        <f t="shared" ca="1" si="2"/>
        <v>4</v>
      </c>
      <c r="C212" t="str">
        <f t="shared" ca="1" si="3"/>
        <v>S</v>
      </c>
      <c r="D212">
        <f t="shared" ca="1" si="4"/>
        <v>0</v>
      </c>
      <c r="E212">
        <f ca="1">IF($C212=1,OFFSET(E212,-1,0)+MAX(1,COUNTIF(QCI!$A$13:$A$24,OFFSET(ORÇAMENTO!E212,-1,0))),OFFSET(E212,-1,0))</f>
        <v>1</v>
      </c>
      <c r="F212">
        <f t="shared" ca="1" si="5"/>
        <v>10</v>
      </c>
      <c r="G212">
        <f t="shared" ca="1" si="6"/>
        <v>3</v>
      </c>
      <c r="H212">
        <f t="shared" ca="1" si="7"/>
        <v>3</v>
      </c>
      <c r="I212">
        <f t="shared" ca="1" si="8"/>
        <v>1</v>
      </c>
      <c r="J212">
        <f t="shared" ca="1" si="61"/>
        <v>0</v>
      </c>
      <c r="K212">
        <f ca="1">IF(OR($C212="S",$C212=0),0,MATCH(OFFSET($D212,0,$C212)+IF($C212&lt;&gt;1,1,COUNTIF(QCI!$A$13:$A$24,ORÇAMENTO!E212)),OFFSET($D212,1,$C212,ROW($C$240)-ROW($C212)),0))</f>
        <v>0</v>
      </c>
      <c r="L212" s="114" t="str">
        <f t="shared" ca="1" si="10"/>
        <v>F</v>
      </c>
      <c r="M212" s="115" t="s">
        <v>705</v>
      </c>
      <c r="N212" s="116" t="str">
        <f t="shared" ca="1" si="11"/>
        <v>Serviço</v>
      </c>
      <c r="O212" s="117" t="str">
        <f t="shared" ca="1" si="12"/>
        <v>1.10.3.3.1.</v>
      </c>
      <c r="P212" s="118" t="s">
        <v>750</v>
      </c>
      <c r="Q212" s="119" t="s">
        <v>1085</v>
      </c>
      <c r="R212" s="120" t="str" cm="1">
        <f t="array" aca="1" ref="R212" ca="1">IF($C212="S",REFERENCIA.Descricao,"(digite a descrição aqui)")</f>
        <v>CHAPISCO APLICADO EM ALVENARIAS E ESTRUTURAS DE CONCRETO INTERNAS, COM COLHER DE PEDREIRO. ARGAMASSA TRAÇO 1:3 COM PREPARO EM BETONEIRA 400L. AF_10/2022</v>
      </c>
      <c r="S212" s="121" t="str" cm="1">
        <f t="array" aca="1" ref="S212" ca="1">REFERENCIA.Unidade</f>
        <v>M2</v>
      </c>
      <c r="T212" s="122">
        <f ca="1">OFFSET(CÁLCULO!H$15,ROW($T212)-ROW(T$15),0)</f>
        <v>3766.5</v>
      </c>
      <c r="U212" s="123">
        <f t="shared" ref="U212:U213" ca="1" si="63">AG212</f>
        <v>4.91</v>
      </c>
      <c r="V212" s="124" t="s">
        <v>663</v>
      </c>
      <c r="W212" s="122" cm="1">
        <f t="array" aca="1" ref="W212" ca="1">IF($C212="S",ROUND(IF(TIPOORCAMENTO="Proposto",ORÇAMENTO.CustoUnitario*(1+$AH212),ORÇAMENTO.PrecoUnitarioLicitado),15-13*$AF$10),0)</f>
        <v>6.01</v>
      </c>
      <c r="X212" s="125" cm="1">
        <f t="array" aca="1" ref="X212" ca="1">IF($C212="S",IF(OR(Import.TipoArredondamento&lt;&gt;"TransfereGOV",ACOMPANHAMENTO="BM"),VTOTAL1,SUM(OFFSET(CÁLCULO!$AA$15,ROW($X212)-ROW($X$15),1):OFFSET(CÁLCULO!$AL$15,ROW($X212)-ROW($X$15),-1))),IF($C212=0,0,ROUND(SomaAgrup,15-13*$AF$11)))</f>
        <v>22636.67</v>
      </c>
      <c r="Y212" s="126" t="s">
        <v>751</v>
      </c>
      <c r="Z212" t="str">
        <f t="shared" ca="1" si="13"/>
        <v>RA</v>
      </c>
      <c r="AA212" s="127" cm="1">
        <f t="array" aca="1" ref="AA212" ca="1">IF($C212="S",IF($Z212="CP",$X212,IF($Z212="RA",(($X212)*QCI!$AA$3),0)),SomaAgrup)</f>
        <v>10581.008053031386</v>
      </c>
      <c r="AB212" s="128" cm="1">
        <f t="array" aca="1" ref="AB212" ca="1">IF($C212="S",IF($Z212="OU",ROUND($X212,2),0),SomaAgrup)</f>
        <v>0</v>
      </c>
      <c r="AC212" s="565"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str" cm="1">
        <f t="array" aca="1" ref="AE212" ca="1">IF(AND($C212="S",ORÇAMENTO.CodBarra&lt;&gt;""),IF(ORÇAMENTO.Fonte="",ORÇAMENTO.CodBarra,CONCATENATE(ORÇAMENTO.Fonte," ",ORÇAMENTO.CodBarra)))</f>
        <v>SINAPI 87879</v>
      </c>
      <c r="AF212" s="12"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7333</v>
      </c>
      <c r="AG212" s="428" cm="1">
        <f t="array" aca="1" ref="AG212" ca="1">ROUND(IF(DESONERACAO="sim",REFERENCIA.Desonerado,REFERENCIA.NaoDesonerado),2)</f>
        <v>4.91</v>
      </c>
      <c r="AH212" s="429">
        <f t="shared" ca="1" si="14"/>
        <v>0.22470000000000001</v>
      </c>
      <c r="AJ212" s="431">
        <v>3766.5</v>
      </c>
      <c r="AL212" s="439"/>
      <c r="AM212" s="336">
        <f t="shared" ca="1" si="58"/>
        <v>22636.67</v>
      </c>
      <c r="AN212" s="470" cm="1">
        <f t="array" aca="1" ref="AN212" ca="1">ROUND(ORÇAMENTO.CustoUnitario*(1+$AH212),2)</f>
        <v>6.01</v>
      </c>
    </row>
    <row r="213" spans="1:40" ht="51" x14ac:dyDescent="0.2">
      <c r="A213" t="str">
        <f>CHOOSE(1+LOG(1+2*(ORÇAMENTO.Nivel="Meta")+4*(ORÇAMENTO.Nivel="Nível 2")+8*(ORÇAMENTO.Nivel="Nível 3")+16*(ORÇAMENTO.Nivel="Nível 4")+32*(ORÇAMENTO.Nivel="Serviço"),2),0,1,2,3,4,"S")</f>
        <v>S</v>
      </c>
      <c r="B213">
        <f ca="1">IF(OR(C213="s",C213=0),OFFSET(B213,-1,0),C213)</f>
        <v>4</v>
      </c>
      <c r="C213" t="str">
        <f ca="1">IF(OFFSET(C213,-1,0)="L",1,IF(OFFSET(C213,-1,0)=1,2,IF(OR(A213="s",A213=0),"S",IF(AND(OFFSET(C213,-1,0)=2,A213=4),3,IF(AND(OR(OFFSET(C213,-1,0)="s",OFFSET(C213,-1,0)=0),A213&lt;&gt;"s",A213&gt;OFFSET(B213,-1,0)),OFFSET(B213,-1,0),A213)))))</f>
        <v>S</v>
      </c>
      <c r="D213">
        <f ca="1">IF(OR(C213="S",C213=0),0,IF(ISERROR(K213),J213,SMALL(J213:K213,1)))</f>
        <v>0</v>
      </c>
      <c r="E213">
        <f ca="1">IF($C213=1,OFFSET(E213,-1,0)+MAX(1,COUNTIF(QCI!$A$13:$A$24,OFFSET(ORÇAMENTO!E213,-1,0))),OFFSET(E213,-1,0))</f>
        <v>1</v>
      </c>
      <c r="F213">
        <f ca="1">IF($C213=1,0,IF($C213=2,OFFSET(F213,-1,0)+1,OFFSET(F213,-1,0)))</f>
        <v>10</v>
      </c>
      <c r="G213">
        <f ca="1">IF(AND($C213&lt;=2,$C213&lt;&gt;0),0,IF($C213=3,OFFSET(G213,-1,0)+1,OFFSET(G213,-1,0)))</f>
        <v>3</v>
      </c>
      <c r="H213">
        <f ca="1">IF(AND($C213&lt;=3,$C213&lt;&gt;0),0,IF($C213=4,OFFSET(H213,-1,0)+1,OFFSET(H213,-1,0)))</f>
        <v>3</v>
      </c>
      <c r="I213">
        <f ca="1">IF(AND($C213&lt;=4,$C213&lt;&gt;0),0,IF(AND($C213="S",$X213&gt;0),OFFSET(I213,-1,0)+1,OFFSET(I213,-1,0)))</f>
        <v>2</v>
      </c>
      <c r="J213">
        <f t="shared" ca="1" si="61"/>
        <v>0</v>
      </c>
      <c r="K213">
        <f ca="1">IF(OR($C213="S",$C213=0),0,MATCH(OFFSET($D213,0,$C213)+IF($C213&lt;&gt;1,1,COUNTIF(QCI!$A$13:$A$24,ORÇAMENTO!E213)),OFFSET($D213,1,$C213,ROW($C$240)-ROW($C213)),0))</f>
        <v>0</v>
      </c>
      <c r="L213" s="114" t="str">
        <f ca="1">IF(OR($X213&gt;0,$C213=1,$C213=2,$C213=3,$C213=4),"F","")</f>
        <v>F</v>
      </c>
      <c r="M213" s="115" t="s">
        <v>705</v>
      </c>
      <c r="N213" s="116" t="str">
        <f ca="1">CHOOSE(1+LOG(1+2*(C213=1)+4*(C213=2)+8*(C213=3)+16*(C213=4)+32*(C213="S"),2),"","Meta","Nível 2","Nível 3","Nível 4","Serviço")</f>
        <v>Serviço</v>
      </c>
      <c r="O213" s="117" t="str">
        <f ca="1">IF(OR($C213=0,$L213=""),"-",CONCATENATE(E213&amp;".",IF(AND($A$5&gt;=2,$C213&gt;=2),F213&amp;".",""),IF(AND($A$5&gt;=3,$C213&gt;=3),G213&amp;".",""),IF(AND($A$5&gt;=4,$C213&gt;=4),H213&amp;".",""),IF($C213="S",I213&amp;".","")))</f>
        <v>1.10.3.3.2.</v>
      </c>
      <c r="P213" s="118" t="s">
        <v>750</v>
      </c>
      <c r="Q213" s="119" t="s">
        <v>1086</v>
      </c>
      <c r="R213" s="120" t="str" cm="1">
        <f t="array" aca="1" ref="R213" ca="1">IF($C213="S",REFERENCIA.Descricao,"(digite a descrição aqui)")</f>
        <v>MASSA ÚNICA, EM ARGAMASSA TRAÇO 1:2:8, PREPARO MECÂNICO, APLICADA MANUALMENTE EM PAREDES INTERNAS DE AMBIENTES COM ÁREA ENTRE 5M² E 10M², E = 17,5MM, COM TALISCAS. AF_03/2024</v>
      </c>
      <c r="S213" s="121" t="str" cm="1">
        <f t="array" aca="1" ref="S213" ca="1">REFERENCIA.Unidade</f>
        <v>M2</v>
      </c>
      <c r="T213" s="122">
        <f ca="1">OFFSET(CÁLCULO!H$15,ROW($T213)-ROW(T$15),0)</f>
        <v>3766.5</v>
      </c>
      <c r="U213" s="123">
        <f t="shared" ca="1" si="63"/>
        <v>38.549999999999997</v>
      </c>
      <c r="V213" s="124" t="s">
        <v>663</v>
      </c>
      <c r="W213" s="122" cm="1">
        <f t="array" aca="1" ref="W213" ca="1">IF($C213="S",ROUND(IF(TIPOORCAMENTO="Proposto",ORÇAMENTO.CustoUnitario*(1+$AH213),ORÇAMENTO.PrecoUnitarioLicitado),15-13*$AF$10),0)</f>
        <v>47.21</v>
      </c>
      <c r="X213" s="125" cm="1">
        <f t="array" aca="1" ref="X213" ca="1">IF($C213="S",IF(OR(Import.TipoArredondamento&lt;&gt;"TransfereGOV",ACOMPANHAMENTO="BM"),VTOTAL1,SUM(OFFSET(CÁLCULO!$AA$15,ROW($X213)-ROW($X$15),1):OFFSET(CÁLCULO!$AL$15,ROW($X213)-ROW($X$15),-1))),IF($C213=0,0,ROUND(SomaAgrup,15-13*$AF$11)))</f>
        <v>177816.47</v>
      </c>
      <c r="Y213" s="126" t="s">
        <v>751</v>
      </c>
      <c r="Z213" t="str">
        <f ca="1">IF(AND($C213="S",$X213&gt;0),IF(ISBLANK($Y213),"RA",LEFT($Y213,2)),"")</f>
        <v>RA</v>
      </c>
      <c r="AA213" s="127" cm="1">
        <f t="array" aca="1" ref="AA213" ca="1">IF($C213="S",IF($Z213="CP",$X213,IF($Z213="RA",(($X213)*QCI!$AA$3),0)),SomaAgrup)</f>
        <v>83116.355057153472</v>
      </c>
      <c r="AB213" s="128" cm="1">
        <f t="array" aca="1" ref="AB213" ca="1">IF($C213="S",IF($Z213="OU",ROUND($X213,2),0),SomaAgrup)</f>
        <v>0</v>
      </c>
      <c r="AC213" s="565"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7" t="str" cm="1">
        <f t="array" aca="1" ref="AE213" ca="1">IF(AND($C213="S",ORÇAMENTO.CodBarra&lt;&gt;""),IF(ORÇAMENTO.Fonte="",ORÇAMENTO.CodBarra,CONCATENATE(ORÇAMENTO.Fonte," ",ORÇAMENTO.CodBarra)))</f>
        <v>SINAPI 87529</v>
      </c>
      <c r="AF213" s="12"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13661</v>
      </c>
      <c r="AG213" s="428" cm="1">
        <f t="array" aca="1" ref="AG213" ca="1">ROUND(IF(DESONERACAO="sim",REFERENCIA.Desonerado,REFERENCIA.NaoDesonerado),2)</f>
        <v>38.549999999999997</v>
      </c>
      <c r="AH213" s="429">
        <f ca="1">ROUND(IF(ISNUMBER(ORÇAMENTO.OpcaoBDI),ORÇAMENTO.OpcaoBDI,IF(LEFT(ORÇAMENTO.OpcaoBDI,3)="BDI",HLOOKUP(ORÇAMENTO.OpcaoBDI,$F$4:$H$5,2,FALSE),0)),15-11*$AF$9)</f>
        <v>0.22470000000000001</v>
      </c>
      <c r="AJ213" s="431">
        <v>3766.5</v>
      </c>
      <c r="AL213" s="439"/>
      <c r="AM213" s="336">
        <f t="shared" ca="1" si="58"/>
        <v>177816.47</v>
      </c>
      <c r="AN213" s="470" cm="1">
        <f t="array" aca="1" ref="AN213" ca="1">ROUND(ORÇAMENTO.CustoUnitario*(1+$AH213),2)</f>
        <v>47.21</v>
      </c>
    </row>
    <row r="214" spans="1:40" x14ac:dyDescent="0.2">
      <c r="A214">
        <f t="shared" si="1"/>
        <v>4</v>
      </c>
      <c r="B214">
        <f t="shared" ca="1" si="2"/>
        <v>4</v>
      </c>
      <c r="C214">
        <f t="shared" ca="1" si="3"/>
        <v>4</v>
      </c>
      <c r="D214">
        <f t="shared" ca="1" si="4"/>
        <v>2</v>
      </c>
      <c r="E214">
        <f ca="1">IF($C214=1,OFFSET(E214,-1,0)+MAX(1,COUNTIF(QCI!$A$13:$A$24,OFFSET(ORÇAMENTO!E214,-1,0))),OFFSET(E214,-1,0))</f>
        <v>1</v>
      </c>
      <c r="F214">
        <f t="shared" ca="1" si="5"/>
        <v>10</v>
      </c>
      <c r="G214">
        <f t="shared" ca="1" si="6"/>
        <v>3</v>
      </c>
      <c r="H214">
        <f t="shared" ca="1" si="7"/>
        <v>4</v>
      </c>
      <c r="I214">
        <f t="shared" ca="1" si="8"/>
        <v>0</v>
      </c>
      <c r="J214">
        <f t="shared" ca="1" si="61"/>
        <v>5</v>
      </c>
      <c r="K214">
        <f ca="1">IF(OR($C214="S",$C214=0),0,MATCH(OFFSET($D214,0,$C214)+IF($C214&lt;&gt;1,1,COUNTIF(QCI!$A$13:$A$24,ORÇAMENTO!E214)),OFFSET($D214,1,$C214,ROW($C$240)-ROW($C214)),0))</f>
        <v>2</v>
      </c>
      <c r="L214" s="114" t="str">
        <f t="shared" ca="1" si="10"/>
        <v>F</v>
      </c>
      <c r="M214" s="115" t="s">
        <v>704</v>
      </c>
      <c r="N214" s="116" t="str">
        <f t="shared" ca="1" si="11"/>
        <v>Nível 4</v>
      </c>
      <c r="O214" s="117" t="str">
        <f t="shared" ca="1" si="12"/>
        <v>1.10.3.4.</v>
      </c>
      <c r="P214" s="118" t="s">
        <v>750</v>
      </c>
      <c r="Q214" s="119"/>
      <c r="R214" s="120" t="s">
        <v>1087</v>
      </c>
      <c r="S214" s="121" t="str" cm="1">
        <f t="array" aca="1" ref="S214" ca="1">REFERENCIA.Unidade</f>
        <v>-</v>
      </c>
      <c r="T214" s="122">
        <f ca="1">OFFSET(CÁLCULO!H$15,ROW($T214)-ROW(T$15),0)</f>
        <v>0</v>
      </c>
      <c r="U214" s="123"/>
      <c r="V214" s="124" t="s">
        <v>663</v>
      </c>
      <c r="W214" s="122" cm="1">
        <f t="array" aca="1" ref="W214" ca="1">IF($C214="S",ROUND(IF(TIPOORCAMENTO="Proposto",ORÇAMENTO.CustoUnitario*(1+$AH214),ORÇAMENTO.PrecoUnitarioLicitado),15-13*$AF$10),0)</f>
        <v>0</v>
      </c>
      <c r="X214" s="125" cm="1">
        <f t="array" aca="1" ref="X214" ca="1">IF($C214="S",IF(OR(Import.TipoArredondamento&lt;&gt;"TransfereGOV",ACOMPANHAMENTO="BM"),VTOTAL1,SUM(OFFSET(CÁLCULO!$AA$15,ROW($X214)-ROW($X$15),1):OFFSET(CÁLCULO!$AL$15,ROW($X214)-ROW($X$15),-1))),IF($C214=0,0,ROUND(SomaAgrup,15-13*$AF$11)))</f>
        <v>77627.62</v>
      </c>
      <c r="Y214" s="126" t="s">
        <v>751</v>
      </c>
      <c r="Z214" t="str">
        <f t="shared" ca="1" si="13"/>
        <v/>
      </c>
      <c r="AA214" s="127" cm="1">
        <f t="array" aca="1" ref="AA214" ca="1">IF($C214="S",IF($Z214="CP",$X214,IF($Z214="RA",(($X214)*QCI!$AA$3),0)),SomaAgrup)</f>
        <v>36285.304877336654</v>
      </c>
      <c r="AB214" s="128" cm="1">
        <f t="array" aca="1" ref="AB214" ca="1">IF($C214="S",IF($Z214="OU",ROUND($X214,2),0),SomaAgrup)</f>
        <v>0</v>
      </c>
      <c r="AC214" s="565"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7" t="b" cm="1">
        <f t="array" aca="1" ref="AE214" ca="1">IF(AND($C214="S",ORÇAMENTO.CodBarra&lt;&gt;""),IF(ORÇAMENTO.Fonte="",ORÇAMENTO.CodBarra,CONCATENATE(ORÇAMENTO.Fonte," ",ORÇAMENTO.CodBarra)))</f>
        <v>0</v>
      </c>
      <c r="AF214" s="12" t="str"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(Sem Código)</v>
      </c>
      <c r="AG214" s="428" cm="1">
        <f t="array" aca="1" ref="AG214" ca="1">ROUND(IF(DESONERACAO="sim",REFERENCIA.Desonerado,REFERENCIA.NaoDesonerado),2)</f>
        <v>0</v>
      </c>
      <c r="AH214" s="429">
        <f t="shared" ca="1" si="14"/>
        <v>0.22470000000000001</v>
      </c>
      <c r="AJ214" s="431"/>
      <c r="AL214" s="439"/>
      <c r="AM214" s="336">
        <f t="shared" ca="1" si="58"/>
        <v>77627.62</v>
      </c>
      <c r="AN214" s="470" cm="1">
        <f t="array" aca="1" ref="AN214" ca="1">ROUND(ORÇAMENTO.CustoUnitario*(1+$AH214),2)</f>
        <v>0</v>
      </c>
    </row>
    <row r="215" spans="1:40" ht="38.25" x14ac:dyDescent="0.2">
      <c r="A215" t="str">
        <f t="shared" si="1"/>
        <v>S</v>
      </c>
      <c r="B215">
        <f t="shared" ca="1" si="2"/>
        <v>4</v>
      </c>
      <c r="C215" t="str">
        <f t="shared" ca="1" si="3"/>
        <v>S</v>
      </c>
      <c r="D215">
        <f t="shared" ca="1" si="4"/>
        <v>0</v>
      </c>
      <c r="E215">
        <f ca="1">IF($C215=1,OFFSET(E215,-1,0)+MAX(1,COUNTIF(QCI!$A$13:$A$24,OFFSET(ORÇAMENTO!E215,-1,0))),OFFSET(E215,-1,0))</f>
        <v>1</v>
      </c>
      <c r="F215">
        <f t="shared" ca="1" si="5"/>
        <v>10</v>
      </c>
      <c r="G215">
        <f t="shared" ca="1" si="6"/>
        <v>3</v>
      </c>
      <c r="H215">
        <f t="shared" ca="1" si="7"/>
        <v>4</v>
      </c>
      <c r="I215">
        <f t="shared" ca="1" si="8"/>
        <v>1</v>
      </c>
      <c r="J215">
        <f t="shared" ca="1" si="61"/>
        <v>0</v>
      </c>
      <c r="K215">
        <f ca="1">IF(OR($C215="S",$C215=0),0,MATCH(OFFSET($D215,0,$C215)+IF($C215&lt;&gt;1,1,COUNTIF(QCI!$A$13:$A$24,ORÇAMENTO!E215)),OFFSET($D215,1,$C215,ROW($C$240)-ROW($C215)),0))</f>
        <v>0</v>
      </c>
      <c r="L215" s="114" t="str">
        <f t="shared" ca="1" si="10"/>
        <v>F</v>
      </c>
      <c r="M215" s="115" t="s">
        <v>705</v>
      </c>
      <c r="N215" s="116" t="str">
        <f t="shared" ca="1" si="11"/>
        <v>Serviço</v>
      </c>
      <c r="O215" s="117" t="str">
        <f t="shared" ca="1" si="12"/>
        <v>1.10.3.4.1.</v>
      </c>
      <c r="P215" s="118" t="s">
        <v>750</v>
      </c>
      <c r="Q215" s="119" t="s">
        <v>1088</v>
      </c>
      <c r="R215" s="120" t="str" cm="1">
        <f t="array" aca="1" ref="R215" ca="1">IF($C215="S",REFERENCIA.Descricao,"(digite a descrição aqui)")</f>
        <v>REVESTIMENTO CERÂMICO PARA PISO COM PLACAS TIPO ESMALTADA DE DIMENSÕES 35X35 CM APLICADA EM AMBIENTES DE ÁREA MAIOR QUE 10 M2. AF_02/2023_PE</v>
      </c>
      <c r="S215" s="121" t="str" cm="1">
        <f t="array" aca="1" ref="S215" ca="1">REFERENCIA.Unidade</f>
        <v>M2</v>
      </c>
      <c r="T215" s="122">
        <f ca="1">OFFSET(CÁLCULO!H$15,ROW($T215)-ROW(T$15),0)</f>
        <v>1160.7</v>
      </c>
      <c r="U215" s="123">
        <f ca="1">AG215</f>
        <v>54.61</v>
      </c>
      <c r="V215" s="124" t="s">
        <v>663</v>
      </c>
      <c r="W215" s="122" cm="1">
        <f t="array" aca="1" ref="W215" ca="1">IF($C215="S",ROUND(IF(TIPOORCAMENTO="Proposto",ORÇAMENTO.CustoUnitario*(1+$AH215),ORÇAMENTO.PrecoUnitarioLicitado),15-13*$AF$10),0)</f>
        <v>66.88</v>
      </c>
      <c r="X215" s="125" cm="1">
        <f t="array" aca="1" ref="X215" ca="1">IF($C215="S",IF(OR(Import.TipoArredondamento&lt;&gt;"TransfereGOV",ACOMPANHAMENTO="BM"),VTOTAL1,SUM(OFFSET(CÁLCULO!$AA$15,ROW($X215)-ROW($X$15),1):OFFSET(CÁLCULO!$AL$15,ROW($X215)-ROW($X$15),-1))),IF($C215=0,0,ROUND(SomaAgrup,15-13*$AF$11)))</f>
        <v>77627.62</v>
      </c>
      <c r="Y215" s="126" t="s">
        <v>751</v>
      </c>
      <c r="Z215" t="str">
        <f t="shared" ca="1" si="13"/>
        <v>RA</v>
      </c>
      <c r="AA215" s="127" cm="1">
        <f t="array" aca="1" ref="AA215" ca="1">IF($C215="S",IF($Z215="CP",$X215,IF($Z215="RA",(($X215)*QCI!$AA$3),0)),SomaAgrup)</f>
        <v>36285.304877336654</v>
      </c>
      <c r="AB215" s="128" cm="1">
        <f t="array" aca="1" ref="AB215" ca="1">IF($C215="S",IF($Z215="OU",ROUND($X215,2),0),SomaAgrup)</f>
        <v>0</v>
      </c>
      <c r="AC215" s="565"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7" t="str" cm="1">
        <f t="array" aca="1" ref="AE215" ca="1">IF(AND($C215="S",ORÇAMENTO.CodBarra&lt;&gt;""),IF(ORÇAMENTO.Fonte="",ORÇAMENTO.CodBarra,CONCATENATE(ORÇAMENTO.Fonte," ",ORÇAMENTO.CodBarra)))</f>
        <v>SINAPI 87248</v>
      </c>
      <c r="AF215" s="12"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15218</v>
      </c>
      <c r="AG215" s="428" cm="1">
        <f t="array" aca="1" ref="AG215" ca="1">ROUND(IF(DESONERACAO="sim",REFERENCIA.Desonerado,REFERENCIA.NaoDesonerado),2)</f>
        <v>54.61</v>
      </c>
      <c r="AH215" s="429">
        <f t="shared" ca="1" si="14"/>
        <v>0.22470000000000001</v>
      </c>
      <c r="AJ215" s="431">
        <v>1160.7</v>
      </c>
      <c r="AL215" s="439"/>
      <c r="AM215" s="336">
        <f t="shared" ca="1" si="58"/>
        <v>77627.62</v>
      </c>
      <c r="AN215" s="470" cm="1">
        <f t="array" aca="1" ref="AN215" ca="1">ROUND(ORÇAMENTO.CustoUnitario*(1+$AH215),2)</f>
        <v>66.88</v>
      </c>
    </row>
    <row r="216" spans="1:40" x14ac:dyDescent="0.2">
      <c r="A216">
        <f t="shared" si="1"/>
        <v>4</v>
      </c>
      <c r="B216">
        <f t="shared" ca="1" si="2"/>
        <v>4</v>
      </c>
      <c r="C216">
        <f t="shared" ca="1" si="3"/>
        <v>4</v>
      </c>
      <c r="D216">
        <f t="shared" ca="1" si="4"/>
        <v>3</v>
      </c>
      <c r="E216">
        <f ca="1">IF($C216=1,OFFSET(E216,-1,0)+MAX(1,COUNTIF(QCI!$A$13:$A$24,OFFSET(ORÇAMENTO!E216,-1,0))),OFFSET(E216,-1,0))</f>
        <v>1</v>
      </c>
      <c r="F216">
        <f t="shared" ca="1" si="5"/>
        <v>10</v>
      </c>
      <c r="G216">
        <f t="shared" ca="1" si="6"/>
        <v>3</v>
      </c>
      <c r="H216">
        <f t="shared" ca="1" si="7"/>
        <v>5</v>
      </c>
      <c r="I216">
        <f t="shared" ca="1" si="8"/>
        <v>0</v>
      </c>
      <c r="J216">
        <f t="shared" ca="1" si="61"/>
        <v>3</v>
      </c>
      <c r="K216" t="e">
        <f ca="1">IF(OR($C216="S",$C216=0),0,MATCH(OFFSET($D216,0,$C216)+IF($C216&lt;&gt;1,1,COUNTIF(QCI!$A$13:$A$24,ORÇAMENTO!E216)),OFFSET($D216,1,$C216,ROW($C$240)-ROW($C216)),0))</f>
        <v>#N/A</v>
      </c>
      <c r="L216" s="114" t="str">
        <f t="shared" ca="1" si="10"/>
        <v>F</v>
      </c>
      <c r="M216" s="115" t="s">
        <v>704</v>
      </c>
      <c r="N216" s="116" t="str">
        <f t="shared" ca="1" si="11"/>
        <v>Nível 4</v>
      </c>
      <c r="O216" s="117" t="str">
        <f t="shared" ca="1" si="12"/>
        <v>1.10.3.5.</v>
      </c>
      <c r="P216" s="118" t="s">
        <v>750</v>
      </c>
      <c r="Q216" s="119"/>
      <c r="R216" s="120" t="s">
        <v>1090</v>
      </c>
      <c r="S216" s="121" t="str" cm="1">
        <f t="array" aca="1" ref="S216" ca="1">REFERENCIA.Unidade</f>
        <v>-</v>
      </c>
      <c r="T216" s="122">
        <f ca="1">OFFSET(CÁLCULO!H$15,ROW($T216)-ROW(T$15),0)</f>
        <v>0</v>
      </c>
      <c r="U216" s="123"/>
      <c r="V216" s="124" t="s">
        <v>663</v>
      </c>
      <c r="W216" s="122" cm="1">
        <f t="array" aca="1" ref="W216" ca="1">IF($C216="S",ROUND(IF(TIPOORCAMENTO="Proposto",ORÇAMENTO.CustoUnitario*(1+$AH216),ORÇAMENTO.PrecoUnitarioLicitado),15-13*$AF$10),0)</f>
        <v>0</v>
      </c>
      <c r="X216" s="125" cm="1">
        <f t="array" aca="1" ref="X216" ca="1">IF($C216="S",IF(OR(Import.TipoArredondamento&lt;&gt;"TransfereGOV",ACOMPANHAMENTO="BM"),VTOTAL1,SUM(OFFSET(CÁLCULO!$AA$15,ROW($X216)-ROW($X$15),1):OFFSET(CÁLCULO!$AL$15,ROW($X216)-ROW($X$15),-1))),IF($C216=0,0,ROUND(SomaAgrup,15-13*$AF$11)))</f>
        <v>70657.34</v>
      </c>
      <c r="Y216" s="126" t="s">
        <v>751</v>
      </c>
      <c r="Z216" t="str">
        <f t="shared" ca="1" si="13"/>
        <v/>
      </c>
      <c r="AA216" s="127" cm="1">
        <f t="array" aca="1" ref="AA216" ca="1">IF($C216="S",IF($Z216="CP",$X216,IF($Z216="RA",(($X216)*QCI!$AA$3),0)),SomaAgrup)</f>
        <v>33027.202479241721</v>
      </c>
      <c r="AB216" s="128" cm="1">
        <f t="array" aca="1" ref="AB216" ca="1">IF($C216="S",IF($Z216="OU",ROUND($X216,2),0),SomaAgrup)</f>
        <v>0</v>
      </c>
      <c r="AC216" s="565"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7" t="b" cm="1">
        <f t="array" aca="1" ref="AE216" ca="1">IF(AND($C216="S",ORÇAMENTO.CodBarra&lt;&gt;""),IF(ORÇAMENTO.Fonte="",ORÇAMENTO.CodBarra,CONCATENATE(ORÇAMENTO.Fonte," ",ORÇAMENTO.CodBarra)))</f>
        <v>0</v>
      </c>
      <c r="AF216" s="12" t="str"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(Sem Código)</v>
      </c>
      <c r="AG216" s="428" cm="1">
        <f t="array" aca="1" ref="AG216" ca="1">ROUND(IF(DESONERACAO="sim",REFERENCIA.Desonerado,REFERENCIA.NaoDesonerado),2)</f>
        <v>0</v>
      </c>
      <c r="AH216" s="429">
        <f t="shared" ca="1" si="14"/>
        <v>0.22470000000000001</v>
      </c>
      <c r="AJ216" s="431"/>
      <c r="AL216" s="439"/>
      <c r="AM216" s="336">
        <f t="shared" ca="1" si="58"/>
        <v>70657.34</v>
      </c>
      <c r="AN216" s="470" cm="1">
        <f t="array" aca="1" ref="AN216" ca="1">ROUND(ORÇAMENTO.CustoUnitario*(1+$AH216),2)</f>
        <v>0</v>
      </c>
    </row>
    <row r="217" spans="1:40" ht="38.25" x14ac:dyDescent="0.2">
      <c r="A217" t="str">
        <f t="shared" si="1"/>
        <v>S</v>
      </c>
      <c r="B217">
        <f t="shared" ca="1" si="2"/>
        <v>4</v>
      </c>
      <c r="C217" t="str">
        <f t="shared" ca="1" si="3"/>
        <v>S</v>
      </c>
      <c r="D217">
        <f t="shared" ca="1" si="4"/>
        <v>0</v>
      </c>
      <c r="E217">
        <f ca="1">IF($C217=1,OFFSET(E217,-1,0)+MAX(1,COUNTIF(QCI!$A$13:$A$24,OFFSET(ORÇAMENTO!E217,-1,0))),OFFSET(E217,-1,0))</f>
        <v>1</v>
      </c>
      <c r="F217">
        <f t="shared" ca="1" si="5"/>
        <v>10</v>
      </c>
      <c r="G217">
        <f t="shared" ca="1" si="6"/>
        <v>3</v>
      </c>
      <c r="H217">
        <f t="shared" ca="1" si="7"/>
        <v>5</v>
      </c>
      <c r="I217">
        <f t="shared" ca="1" si="8"/>
        <v>1</v>
      </c>
      <c r="J217">
        <f t="shared" ca="1" si="61"/>
        <v>0</v>
      </c>
      <c r="K217">
        <f ca="1">IF(OR($C217="S",$C217=0),0,MATCH(OFFSET($D217,0,$C217)+IF($C217&lt;&gt;1,1,COUNTIF(QCI!$A$13:$A$24,ORÇAMENTO!E217)),OFFSET($D217,1,$C217,ROW($C$240)-ROW($C217)),0))</f>
        <v>0</v>
      </c>
      <c r="L217" s="114" t="str">
        <f t="shared" ca="1" si="10"/>
        <v>F</v>
      </c>
      <c r="M217" s="115" t="s">
        <v>705</v>
      </c>
      <c r="N217" s="116" t="str">
        <f t="shared" ca="1" si="11"/>
        <v>Serviço</v>
      </c>
      <c r="O217" s="117" t="str">
        <f t="shared" ca="1" si="12"/>
        <v>1.10.3.5.1.</v>
      </c>
      <c r="P217" s="118" t="s">
        <v>750</v>
      </c>
      <c r="Q217" s="119" t="s">
        <v>1091</v>
      </c>
      <c r="R217" s="120" t="str" cm="1">
        <f t="array" aca="1" ref="R217" ca="1">IF($C217="S",REFERENCIA.Descricao,"(digite a descrição aqui)")</f>
        <v>REVESTIMENTO CERÂMICO PARA PAREDES INTERNAS COM PLACAS TIPO ESMALTADA DE DIMENSÕES 20X20 CM APLICADAS NA ALTURA INTEIRA DAS PAREDES. AF_02/2023_PE</v>
      </c>
      <c r="S217" s="121" t="str" cm="1">
        <f t="array" aca="1" ref="S217" ca="1">REFERENCIA.Unidade</f>
        <v>M2</v>
      </c>
      <c r="T217" s="122">
        <f ca="1">OFFSET(CÁLCULO!H$15,ROW($T217)-ROW(T$15),0)</f>
        <v>751.5</v>
      </c>
      <c r="U217" s="123">
        <f t="shared" ref="U217:U218" ca="1" si="64">AG217</f>
        <v>61.74</v>
      </c>
      <c r="V217" s="124" t="s">
        <v>663</v>
      </c>
      <c r="W217" s="122" cm="1">
        <f t="array" aca="1" ref="W217" ca="1">IF($C217="S",ROUND(IF(TIPOORCAMENTO="Proposto",ORÇAMENTO.CustoUnitario*(1+$AH217),ORÇAMENTO.PrecoUnitarioLicitado),15-13*$AF$10),0)</f>
        <v>75.61</v>
      </c>
      <c r="X217" s="125" cm="1">
        <f t="array" aca="1" ref="X217" ca="1">IF($C217="S",IF(OR(Import.TipoArredondamento&lt;&gt;"TransfereGOV",ACOMPANHAMENTO="BM"),VTOTAL1,SUM(OFFSET(CÁLCULO!$AA$15,ROW($X217)-ROW($X$15),1):OFFSET(CÁLCULO!$AL$15,ROW($X217)-ROW($X$15),-1))),IF($C217=0,0,ROUND(SomaAgrup,15-13*$AF$11)))</f>
        <v>56820.92</v>
      </c>
      <c r="Y217" s="126" t="s">
        <v>751</v>
      </c>
      <c r="Z217" t="str">
        <f t="shared" ca="1" si="13"/>
        <v>RA</v>
      </c>
      <c r="AA217" s="127" cm="1">
        <f t="array" aca="1" ref="AA217" ca="1">IF($C217="S",IF($Z217="CP",$X217,IF($Z217="RA",(($X217)*QCI!$AA$3),0)),SomaAgrup)</f>
        <v>26559.675610443242</v>
      </c>
      <c r="AB217" s="128" cm="1">
        <f t="array" aca="1" ref="AB217" ca="1">IF($C217="S",IF($Z217="OU",ROUND($X217,2),0),SomaAgrup)</f>
        <v>0</v>
      </c>
      <c r="AC217" s="565"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7" t="str" cm="1">
        <f t="array" aca="1" ref="AE217" ca="1">IF(AND($C217="S",ORÇAMENTO.CodBarra&lt;&gt;""),IF(ORÇAMENTO.Fonte="",ORÇAMENTO.CodBarra,CONCATENATE(ORÇAMENTO.Fonte," ",ORÇAMENTO.CodBarra)))</f>
        <v>SINAPI 87265</v>
      </c>
      <c r="AF217" s="12"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15206</v>
      </c>
      <c r="AG217" s="428" cm="1">
        <f t="array" aca="1" ref="AG217" ca="1">ROUND(IF(DESONERACAO="sim",REFERENCIA.Desonerado,REFERENCIA.NaoDesonerado),2)</f>
        <v>61.74</v>
      </c>
      <c r="AH217" s="429">
        <f t="shared" ca="1" si="14"/>
        <v>0.22470000000000001</v>
      </c>
      <c r="AJ217" s="431">
        <v>751.5</v>
      </c>
      <c r="AL217" s="439"/>
      <c r="AM217" s="336">
        <f t="shared" ca="1" si="58"/>
        <v>56820.92</v>
      </c>
      <c r="AN217" s="470" cm="1">
        <f t="array" aca="1" ref="AN217" ca="1">ROUND(ORÇAMENTO.CustoUnitario*(1+$AH217),2)</f>
        <v>75.61</v>
      </c>
    </row>
    <row r="218" spans="1:40" ht="25.5" x14ac:dyDescent="0.2">
      <c r="A218" t="str">
        <f t="shared" si="1"/>
        <v>S</v>
      </c>
      <c r="B218">
        <f t="shared" ca="1" si="2"/>
        <v>4</v>
      </c>
      <c r="C218" t="str">
        <f t="shared" ca="1" si="3"/>
        <v>S</v>
      </c>
      <c r="D218">
        <f t="shared" ca="1" si="4"/>
        <v>0</v>
      </c>
      <c r="E218">
        <f ca="1">IF($C218=1,OFFSET(E218,-1,0)+MAX(1,COUNTIF(QCI!$A$13:$A$24,OFFSET(ORÇAMENTO!E218,-1,0))),OFFSET(E218,-1,0))</f>
        <v>1</v>
      </c>
      <c r="F218">
        <f t="shared" ca="1" si="5"/>
        <v>10</v>
      </c>
      <c r="G218">
        <f t="shared" ca="1" si="6"/>
        <v>3</v>
      </c>
      <c r="H218">
        <f t="shared" ca="1" si="7"/>
        <v>5</v>
      </c>
      <c r="I218">
        <f t="shared" ca="1" si="8"/>
        <v>2</v>
      </c>
      <c r="J218">
        <f t="shared" ca="1" si="61"/>
        <v>0</v>
      </c>
      <c r="K218">
        <f ca="1">IF(OR($C218="S",$C218=0),0,MATCH(OFFSET($D218,0,$C218)+IF($C218&lt;&gt;1,1,COUNTIF(QCI!$A$13:$A$24,ORÇAMENTO!E218)),OFFSET($D218,1,$C218,ROW($C$240)-ROW($C218)),0))</f>
        <v>0</v>
      </c>
      <c r="L218" s="114" t="str">
        <f t="shared" ca="1" si="10"/>
        <v>F</v>
      </c>
      <c r="M218" s="115" t="s">
        <v>705</v>
      </c>
      <c r="N218" s="116" t="str">
        <f t="shared" ca="1" si="11"/>
        <v>Serviço</v>
      </c>
      <c r="O218" s="117" t="str">
        <f t="shared" ca="1" si="12"/>
        <v>1.10.3.5.2.</v>
      </c>
      <c r="P218" s="118" t="s">
        <v>750</v>
      </c>
      <c r="Q218" s="119" t="s">
        <v>1092</v>
      </c>
      <c r="R218" s="120" t="str" cm="1">
        <f t="array" aca="1" ref="R218" ca="1">IF($C218="S",REFERENCIA.Descricao,"(digite a descrição aqui)")</f>
        <v>RODAPÉ CERÂMICO DE 7CM DE ALTURA COM PLACAS TIPO ESMALTADA DE DIMENSÕES 35X35CM. AF_02/2023</v>
      </c>
      <c r="S218" s="121" t="str" cm="1">
        <f t="array" aca="1" ref="S218" ca="1">REFERENCIA.Unidade</f>
        <v>M</v>
      </c>
      <c r="T218" s="122">
        <f ca="1">OFFSET(CÁLCULO!H$15,ROW($T218)-ROW(T$15),0)</f>
        <v>1423.5</v>
      </c>
      <c r="U218" s="123">
        <f t="shared" ca="1" si="64"/>
        <v>7.94</v>
      </c>
      <c r="V218" s="124" t="s">
        <v>663</v>
      </c>
      <c r="W218" s="122" cm="1">
        <f t="array" aca="1" ref="W218" ca="1">IF($C218="S",ROUND(IF(TIPOORCAMENTO="Proposto",ORÇAMENTO.CustoUnitario*(1+$AH218),ORÇAMENTO.PrecoUnitarioLicitado),15-13*$AF$10),0)</f>
        <v>9.7200000000000006</v>
      </c>
      <c r="X218" s="125" cm="1">
        <f t="array" aca="1" ref="X218" ca="1">IF($C218="S",IF(OR(Import.TipoArredondamento&lt;&gt;"TransfereGOV",ACOMPANHAMENTO="BM"),VTOTAL1,SUM(OFFSET(CÁLCULO!$AA$15,ROW($X218)-ROW($X$15),1):OFFSET(CÁLCULO!$AL$15,ROW($X218)-ROW($X$15),-1))),IF($C218=0,0,ROUND(SomaAgrup,15-13*$AF$11)))</f>
        <v>13836.42</v>
      </c>
      <c r="Y218" s="126" t="s">
        <v>751</v>
      </c>
      <c r="Z218" t="str">
        <f t="shared" ca="1" si="13"/>
        <v>RA</v>
      </c>
      <c r="AA218" s="127" cm="1">
        <f t="array" aca="1" ref="AA218" ca="1">IF($C218="S",IF($Z218="CP",$X218,IF($Z218="RA",(($X218)*QCI!$AA$3),0)),SomaAgrup)</f>
        <v>6467.5268687984826</v>
      </c>
      <c r="AB218" s="128" cm="1">
        <f t="array" aca="1" ref="AB218" ca="1">IF($C218="S",IF($Z218="OU",ROUND($X218,2),0),SomaAgrup)</f>
        <v>0</v>
      </c>
      <c r="AC218" s="565"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7" t="str" cm="1">
        <f t="array" aca="1" ref="AE218" ca="1">IF(AND($C218="S",ORÇAMENTO.CodBarra&lt;&gt;""),IF(ORÇAMENTO.Fonte="",ORÇAMENTO.CodBarra,CONCATENATE(ORÇAMENTO.Fonte," ",ORÇAMENTO.CodBarra)))</f>
        <v>SINAPI 88648</v>
      </c>
      <c r="AF218" s="12"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15241</v>
      </c>
      <c r="AG218" s="428" cm="1">
        <f t="array" aca="1" ref="AG218" ca="1">ROUND(IF(DESONERACAO="sim",REFERENCIA.Desonerado,REFERENCIA.NaoDesonerado),2)</f>
        <v>7.94</v>
      </c>
      <c r="AH218" s="429">
        <f t="shared" ca="1" si="14"/>
        <v>0.22470000000000001</v>
      </c>
      <c r="AJ218" s="431">
        <v>1423.5</v>
      </c>
      <c r="AL218" s="439"/>
      <c r="AM218" s="336">
        <f t="shared" ca="1" si="58"/>
        <v>13836.42</v>
      </c>
      <c r="AN218" s="470" cm="1">
        <f t="array" aca="1" ref="AN218" ca="1">ROUND(ORÇAMENTO.CustoUnitario*(1+$AH218),2)</f>
        <v>9.7200000000000006</v>
      </c>
    </row>
    <row r="219" spans="1:40" x14ac:dyDescent="0.2">
      <c r="A219">
        <f t="shared" si="1"/>
        <v>2</v>
      </c>
      <c r="B219">
        <f t="shared" ca="1" si="2"/>
        <v>2</v>
      </c>
      <c r="C219">
        <f t="shared" ca="1" si="3"/>
        <v>2</v>
      </c>
      <c r="D219">
        <f t="shared" ca="1" si="4"/>
        <v>3</v>
      </c>
      <c r="E219">
        <f ca="1">IF($C219=1,OFFSET(E219,-1,0)+MAX(1,COUNTIF(QCI!$A$13:$A$24,OFFSET(ORÇAMENTO!E219,-1,0))),OFFSET(E219,-1,0))</f>
        <v>1</v>
      </c>
      <c r="F219">
        <f t="shared" ca="1" si="5"/>
        <v>11</v>
      </c>
      <c r="G219">
        <f t="shared" ca="1" si="6"/>
        <v>0</v>
      </c>
      <c r="H219">
        <f t="shared" ca="1" si="7"/>
        <v>0</v>
      </c>
      <c r="I219">
        <f t="shared" ca="1" si="8"/>
        <v>0</v>
      </c>
      <c r="J219">
        <f t="shared" ca="1" si="61"/>
        <v>21</v>
      </c>
      <c r="K219">
        <f ca="1">IF(OR($C219="S",$C219=0),0,MATCH(OFFSET($D219,0,$C219)+IF($C219&lt;&gt;1,1,COUNTIF(QCI!$A$13:$A$24,ORÇAMENTO!E219)),OFFSET($D219,1,$C219,ROW($C$240)-ROW($C219)),0))</f>
        <v>3</v>
      </c>
      <c r="L219" s="114" t="str">
        <f t="shared" ca="1" si="10"/>
        <v>F</v>
      </c>
      <c r="M219" s="115" t="s">
        <v>702</v>
      </c>
      <c r="N219" s="116" t="str">
        <f t="shared" ca="1" si="11"/>
        <v>Nível 2</v>
      </c>
      <c r="O219" s="117" t="str">
        <f t="shared" ca="1" si="12"/>
        <v>1.11.</v>
      </c>
      <c r="P219" s="118" t="s">
        <v>750</v>
      </c>
      <c r="Q219" s="119"/>
      <c r="R219" s="120" t="s">
        <v>1023</v>
      </c>
      <c r="S219" s="121" t="str" cm="1">
        <f t="array" aca="1" ref="S219" ca="1">REFERENCIA.Unidade</f>
        <v>-</v>
      </c>
      <c r="T219" s="122">
        <f ca="1">OFFSET(CÁLCULO!H$15,ROW($T219)-ROW(T$15),0)</f>
        <v>0</v>
      </c>
      <c r="U219" s="123"/>
      <c r="V219" s="124" t="s">
        <v>663</v>
      </c>
      <c r="W219" s="122" cm="1">
        <f t="array" aca="1" ref="W219" ca="1">IF($C219="S",ROUND(IF(TIPOORCAMENTO="Proposto",ORÇAMENTO.CustoUnitario*(1+$AH219),ORÇAMENTO.PrecoUnitarioLicitado),15-13*$AF$10),0)</f>
        <v>0</v>
      </c>
      <c r="X219" s="125" cm="1">
        <f t="array" aca="1" ref="X219" ca="1">IF($C219="S",IF(OR(Import.TipoArredondamento&lt;&gt;"TransfereGOV",ACOMPANHAMENTO="BM"),VTOTAL1,SUM(OFFSET(CÁLCULO!$AA$15,ROW($X219)-ROW($X$15),1):OFFSET(CÁLCULO!$AL$15,ROW($X219)-ROW($X$15),-1))),IF($C219=0,0,ROUND(SomaAgrup,15-13*$AF$11)))</f>
        <v>167762.71</v>
      </c>
      <c r="Y219" s="126" t="s">
        <v>751</v>
      </c>
      <c r="Z219" t="str">
        <f t="shared" ca="1" si="13"/>
        <v/>
      </c>
      <c r="AA219" s="127" cm="1">
        <f t="array" aca="1" ref="AA219" ca="1">IF($C219="S",IF($Z219="CP",$X219,IF($Z219="RA",(($X219)*QCI!$AA$3),0)),SomaAgrup)</f>
        <v>78416.94849588607</v>
      </c>
      <c r="AB219" s="128" cm="1">
        <f t="array" aca="1" ref="AB219" ca="1">IF($C219="S",IF($Z219="OU",ROUND($X219,2),0),SomaAgrup)</f>
        <v>0</v>
      </c>
      <c r="AC219" s="565"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f ca="1">IF(C219&lt;=CRONO.NivelExibicao,MAX($AD$15:OFFSET(AD219,-1,0))+IF($C219&lt;&gt;1,1,MAX(1,COUNTIF(QCI!$A$13:$A$24,OFFSET($E219,-1,0)))),"")</f>
        <v>12</v>
      </c>
      <c r="AE219" s="7" t="b" cm="1">
        <f t="array" aca="1" ref="AE219" ca="1">IF(AND($C219="S",ORÇAMENTO.CodBarra&lt;&gt;""),IF(ORÇAMENTO.Fonte="",ORÇAMENTO.CodBarra,CONCATENATE(ORÇAMENTO.Fonte," ",ORÇAMENTO.CodBarra)))</f>
        <v>0</v>
      </c>
      <c r="AF219" s="12" t="str"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(Sem Código)</v>
      </c>
      <c r="AG219" s="428" cm="1">
        <f t="array" aca="1" ref="AG219" ca="1">ROUND(IF(DESONERACAO="sim",REFERENCIA.Desonerado,REFERENCIA.NaoDesonerado),2)</f>
        <v>0</v>
      </c>
      <c r="AH219" s="429">
        <f t="shared" ca="1" si="14"/>
        <v>0.22470000000000001</v>
      </c>
      <c r="AJ219" s="431"/>
      <c r="AL219" s="439"/>
      <c r="AM219" s="336">
        <f t="shared" ca="1" si="0"/>
        <v>167762.71</v>
      </c>
      <c r="AN219" s="470" cm="1">
        <f t="array" aca="1" ref="AN219" ca="1">ROUND(ORÇAMENTO.CustoUnitario*(1+$AH219),2)</f>
        <v>0</v>
      </c>
    </row>
    <row r="220" spans="1:40" ht="38.25" x14ac:dyDescent="0.2">
      <c r="A220" t="str">
        <f t="shared" si="1"/>
        <v>S</v>
      </c>
      <c r="B220">
        <f t="shared" ca="1" si="2"/>
        <v>2</v>
      </c>
      <c r="C220" t="str">
        <f t="shared" ca="1" si="3"/>
        <v>S</v>
      </c>
      <c r="D220">
        <f t="shared" ca="1" si="4"/>
        <v>0</v>
      </c>
      <c r="E220">
        <f ca="1">IF($C220=1,OFFSET(E220,-1,0)+MAX(1,COUNTIF(QCI!$A$13:$A$24,OFFSET(ORÇAMENTO!E220,-1,0))),OFFSET(E220,-1,0))</f>
        <v>1</v>
      </c>
      <c r="F220">
        <f t="shared" ca="1" si="5"/>
        <v>11</v>
      </c>
      <c r="G220">
        <f t="shared" ca="1" si="6"/>
        <v>0</v>
      </c>
      <c r="H220">
        <f t="shared" ca="1" si="7"/>
        <v>0</v>
      </c>
      <c r="I220">
        <f t="shared" ca="1" si="8"/>
        <v>1</v>
      </c>
      <c r="J220">
        <f t="shared" ca="1" si="61"/>
        <v>0</v>
      </c>
      <c r="K220">
        <f ca="1">IF(OR($C220="S",$C220=0),0,MATCH(OFFSET($D220,0,$C220)+IF($C220&lt;&gt;1,1,COUNTIF(QCI!$A$13:$A$24,ORÇAMENTO!E220)),OFFSET($D220,1,$C220,ROW($C$240)-ROW($C220)),0))</f>
        <v>0</v>
      </c>
      <c r="L220" s="114" t="str">
        <f t="shared" ca="1" si="10"/>
        <v>F</v>
      </c>
      <c r="M220" s="115" t="s">
        <v>705</v>
      </c>
      <c r="N220" s="116" t="str">
        <f t="shared" ca="1" si="11"/>
        <v>Serviço</v>
      </c>
      <c r="O220" s="117" t="str">
        <f t="shared" ca="1" si="12"/>
        <v>1.11.0.0.1.</v>
      </c>
      <c r="P220" s="118" t="s">
        <v>750</v>
      </c>
      <c r="Q220" s="119" t="s">
        <v>1072</v>
      </c>
      <c r="R220" s="120" t="str" cm="1">
        <f t="array" aca="1" ref="R220" ca="1">IF($C220="S",REFERENCIA.Descricao,"(digite a descrição aqui)")</f>
        <v>FORRO EM RÉGUAS DE PVC, FRISADO, PARA AMBIENTES RESIDENCIAIS, INCLUSIVE ESTRUTURA UNIDIRECIONAL DE FIXAÇÃO. AF_08/2023_PS</v>
      </c>
      <c r="S220" s="121" t="str" cm="1">
        <f t="array" aca="1" ref="S220" ca="1">REFERENCIA.Unidade</f>
        <v>M2</v>
      </c>
      <c r="T220" s="122">
        <f ca="1">OFFSET(CÁLCULO!H$15,ROW($T220)-ROW(T$15),0)</f>
        <v>1498.2</v>
      </c>
      <c r="U220" s="123">
        <f t="shared" ref="U220:U221" ca="1" si="65">AG220</f>
        <v>74.599999999999994</v>
      </c>
      <c r="V220" s="124" t="s">
        <v>663</v>
      </c>
      <c r="W220" s="122" cm="1">
        <f t="array" aca="1" ref="W220" ca="1">IF($C220="S",ROUND(IF(TIPOORCAMENTO="Proposto",ORÇAMENTO.CustoUnitario*(1+$AH220),ORÇAMENTO.PrecoUnitarioLicitado),15-13*$AF$10),0)</f>
        <v>91.36</v>
      </c>
      <c r="X220" s="125" cm="1">
        <f t="array" aca="1" ref="X220" ca="1">IF($C220="S",IF(OR(Import.TipoArredondamento&lt;&gt;"TransfereGOV",ACOMPANHAMENTO="BM"),VTOTAL1,SUM(OFFSET(CÁLCULO!$AA$15,ROW($X220)-ROW($X$15),1):OFFSET(CÁLCULO!$AL$15,ROW($X220)-ROW($X$15),-1))),IF($C220=0,0,ROUND(SomaAgrup,15-13*$AF$11)))</f>
        <v>136875.54999999999</v>
      </c>
      <c r="Y220" s="126" t="s">
        <v>751</v>
      </c>
      <c r="Z220" t="str">
        <f t="shared" ca="1" si="13"/>
        <v>RA</v>
      </c>
      <c r="AA220" s="127" cm="1">
        <f t="array" aca="1" ref="AA220" ca="1">IF($C220="S",IF($Z220="CP",$X220,IF($Z220="RA",(($X220)*QCI!$AA$3),0)),SomaAgrup)</f>
        <v>63979.43234641404</v>
      </c>
      <c r="AB220" s="128" cm="1">
        <f t="array" aca="1" ref="AB220" ca="1">IF($C220="S",IF($Z220="OU",ROUND($X220,2),0),SomaAgrup)</f>
        <v>0</v>
      </c>
      <c r="AC220" s="565"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IF(C220&lt;=CRONO.NivelExibicao,MAX($AD$15:OFFSET(AD220,-1,0))+IF($C220&lt;&gt;1,1,MAX(1,COUNTIF(QCI!$A$13:$A$24,OFFSET($E220,-1,0)))),"")</f>
        <v/>
      </c>
      <c r="AE220" s="7" t="str" cm="1">
        <f t="array" aca="1" ref="AE220" ca="1">IF(AND($C220="S",ORÇAMENTO.CodBarra&lt;&gt;""),IF(ORÇAMENTO.Fonte="",ORÇAMENTO.CodBarra,CONCATENATE(ORÇAMENTO.Fonte," ",ORÇAMENTO.CodBarra)))</f>
        <v>SINAPI 96111</v>
      </c>
      <c r="AF220" s="12"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10073</v>
      </c>
      <c r="AG220" s="428" cm="1">
        <f t="array" aca="1" ref="AG220" ca="1">ROUND(IF(DESONERACAO="sim",REFERENCIA.Desonerado,REFERENCIA.NaoDesonerado),2)</f>
        <v>74.599999999999994</v>
      </c>
      <c r="AH220" s="429">
        <f t="shared" ca="1" si="14"/>
        <v>0.22470000000000001</v>
      </c>
      <c r="AJ220" s="431">
        <v>1498.2</v>
      </c>
      <c r="AL220" s="439"/>
      <c r="AM220" s="336">
        <f t="shared" ca="1" si="0"/>
        <v>136875.54999999999</v>
      </c>
      <c r="AN220" s="470" cm="1">
        <f t="array" aca="1" ref="AN220" ca="1">ROUND(ORÇAMENTO.CustoUnitario*(1+$AH220),2)</f>
        <v>91.36</v>
      </c>
    </row>
    <row r="221" spans="1:40" ht="25.5" x14ac:dyDescent="0.2">
      <c r="A221" t="str">
        <f>CHOOSE(1+LOG(1+2*(ORÇAMENTO.Nivel="Meta")+4*(ORÇAMENTO.Nivel="Nível 2")+8*(ORÇAMENTO.Nivel="Nível 3")+16*(ORÇAMENTO.Nivel="Nível 4")+32*(ORÇAMENTO.Nivel="Serviço"),2),0,1,2,3,4,"S")</f>
        <v>S</v>
      </c>
      <c r="B221">
        <f ca="1">IF(OR(C221="s",C221=0),OFFSET(B221,-1,0),C221)</f>
        <v>2</v>
      </c>
      <c r="C221" t="str">
        <f ca="1">IF(OFFSET(C221,-1,0)="L",1,IF(OFFSET(C221,-1,0)=1,2,IF(OR(A221="s",A221=0),"S",IF(AND(OFFSET(C221,-1,0)=2,A221=4),3,IF(AND(OR(OFFSET(C221,-1,0)="s",OFFSET(C221,-1,0)=0),A221&lt;&gt;"s",A221&gt;OFFSET(B221,-1,0)),OFFSET(B221,-1,0),A221)))))</f>
        <v>S</v>
      </c>
      <c r="D221">
        <f ca="1">IF(OR(C221="S",C221=0),0,IF(ISERROR(K221),J221,SMALL(J221:K221,1)))</f>
        <v>0</v>
      </c>
      <c r="E221">
        <f ca="1">IF($C221=1,OFFSET(E221,-1,0)+MAX(1,COUNTIF(QCI!$A$13:$A$24,OFFSET(ORÇAMENTO!E221,-1,0))),OFFSET(E221,-1,0))</f>
        <v>1</v>
      </c>
      <c r="F221">
        <f ca="1">IF($C221=1,0,IF($C221=2,OFFSET(F221,-1,0)+1,OFFSET(F221,-1,0)))</f>
        <v>11</v>
      </c>
      <c r="G221">
        <f ca="1">IF(AND($C221&lt;=2,$C221&lt;&gt;0),0,IF($C221=3,OFFSET(G221,-1,0)+1,OFFSET(G221,-1,0)))</f>
        <v>0</v>
      </c>
      <c r="H221">
        <f ca="1">IF(AND($C221&lt;=3,$C221&lt;&gt;0),0,IF($C221=4,OFFSET(H221,-1,0)+1,OFFSET(H221,-1,0)))</f>
        <v>0</v>
      </c>
      <c r="I221">
        <f ca="1">IF(AND($C221&lt;=4,$C221&lt;&gt;0),0,IF(AND($C221="S",$X221&gt;0),OFFSET(I221,-1,0)+1,OFFSET(I221,-1,0)))</f>
        <v>2</v>
      </c>
      <c r="J221">
        <f t="shared" ca="1" si="61"/>
        <v>0</v>
      </c>
      <c r="K221">
        <f ca="1">IF(OR($C221="S",$C221=0),0,MATCH(OFFSET($D221,0,$C221)+IF($C221&lt;&gt;1,1,COUNTIF(QCI!$A$13:$A$24,ORÇAMENTO!E221)),OFFSET($D221,1,$C221,ROW($C$240)-ROW($C221)),0))</f>
        <v>0</v>
      </c>
      <c r="L221" s="114" t="str">
        <f ca="1">IF(OR($X221&gt;0,$C221=1,$C221=2,$C221=3,$C221=4),"F","")</f>
        <v>F</v>
      </c>
      <c r="M221" s="115" t="s">
        <v>705</v>
      </c>
      <c r="N221" s="116" t="str">
        <f ca="1">CHOOSE(1+LOG(1+2*(C221=1)+4*(C221=2)+8*(C221=3)+16*(C221=4)+32*(C221="S"),2),"","Meta","Nível 2","Nível 3","Nível 4","Serviço")</f>
        <v>Serviço</v>
      </c>
      <c r="O221" s="117" t="str">
        <f ca="1">IF(OR($C221=0,$L221=""),"-",CONCATENATE(E221&amp;".",IF(AND($A$5&gt;=2,$C221&gt;=2),F221&amp;".",""),IF(AND($A$5&gt;=3,$C221&gt;=3),G221&amp;".",""),IF(AND($A$5&gt;=4,$C221&gt;=4),H221&amp;".",""),IF($C221="S",I221&amp;".","")))</f>
        <v>1.11.0.0.2.</v>
      </c>
      <c r="P221" s="118" t="s">
        <v>750</v>
      </c>
      <c r="Q221" s="119" t="s">
        <v>1073</v>
      </c>
      <c r="R221" s="120" t="str" cm="1">
        <f t="array" aca="1" ref="R221" ca="1">IF($C221="S",REFERENCIA.Descricao,"(digite a descrição aqui)")</f>
        <v>ACABAMENTOS PARA FORRO (RODA-FORRO EM PERFIL METÁLICO E PLÁSTICO). AF_08/2023</v>
      </c>
      <c r="S221" s="121" t="str" cm="1">
        <f t="array" aca="1" ref="S221" ca="1">REFERENCIA.Unidade</f>
        <v>M</v>
      </c>
      <c r="T221" s="122">
        <f ca="1">OFFSET(CÁLCULO!H$15,ROW($T221)-ROW(T$15),0)</f>
        <v>1767</v>
      </c>
      <c r="U221" s="123">
        <f t="shared" ca="1" si="65"/>
        <v>14.27</v>
      </c>
      <c r="V221" s="124" t="s">
        <v>663</v>
      </c>
      <c r="W221" s="122" cm="1">
        <f t="array" aca="1" ref="W221" ca="1">IF($C221="S",ROUND(IF(TIPOORCAMENTO="Proposto",ORÇAMENTO.CustoUnitario*(1+$AH221),ORÇAMENTO.PrecoUnitarioLicitado),15-13*$AF$10),0)</f>
        <v>17.48</v>
      </c>
      <c r="X221" s="125" cm="1">
        <f t="array" aca="1" ref="X221" ca="1">IF($C221="S",IF(OR(Import.TipoArredondamento&lt;&gt;"TransfereGOV",ACOMPANHAMENTO="BM"),VTOTAL1,SUM(OFFSET(CÁLCULO!$AA$15,ROW($X221)-ROW($X$15),1):OFFSET(CÁLCULO!$AL$15,ROW($X221)-ROW($X$15),-1))),IF($C221=0,0,ROUND(SomaAgrup,15-13*$AF$11)))</f>
        <v>30887.16</v>
      </c>
      <c r="Y221" s="126" t="s">
        <v>751</v>
      </c>
      <c r="Z221" t="str">
        <f ca="1">IF(AND($C221="S",$X221&gt;0),IF(ISBLANK($Y221),"RA",LEFT($Y221,2)),"")</f>
        <v>RA</v>
      </c>
      <c r="AA221" s="127" cm="1">
        <f t="array" aca="1" ref="AA221" ca="1">IF($C221="S",IF($Z221="CP",$X221,IF($Z221="RA",(($X221)*QCI!$AA$3),0)),SomaAgrup)</f>
        <v>14437.516149472027</v>
      </c>
      <c r="AB221" s="128" cm="1">
        <f t="array" aca="1" ref="AB221" ca="1">IF($C221="S",IF($Z221="OU",ROUND($X221,2),0),SomaAgrup)</f>
        <v>0</v>
      </c>
      <c r="AC221" s="565"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str" cm="1">
        <f t="array" aca="1" ref="AE221" ca="1">IF(AND($C221="S",ORÇAMENTO.CodBarra&lt;&gt;""),IF(ORÇAMENTO.Fonte="",ORÇAMENTO.CodBarra,CONCATENATE(ORÇAMENTO.Fonte," ",ORÇAMENTO.CodBarra)))</f>
        <v>SINAPI 96121</v>
      </c>
      <c r="AF221" s="12"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10063</v>
      </c>
      <c r="AG221" s="428" cm="1">
        <f t="array" aca="1" ref="AG221" ca="1">ROUND(IF(DESONERACAO="sim",REFERENCIA.Desonerado,REFERENCIA.NaoDesonerado),2)</f>
        <v>14.27</v>
      </c>
      <c r="AH221" s="429">
        <f ca="1">ROUND(IF(ISNUMBER(ORÇAMENTO.OpcaoBDI),ORÇAMENTO.OpcaoBDI,IF(LEFT(ORÇAMENTO.OpcaoBDI,3)="BDI",HLOOKUP(ORÇAMENTO.OpcaoBDI,$F$4:$H$5,2,FALSE),0)),15-11*$AF$9)</f>
        <v>0.22470000000000001</v>
      </c>
      <c r="AJ221" s="431">
        <v>1767</v>
      </c>
      <c r="AL221" s="439"/>
      <c r="AM221" s="336">
        <f t="shared" ca="1" si="0"/>
        <v>30887.16</v>
      </c>
      <c r="AN221" s="470" cm="1">
        <f t="array" aca="1" ref="AN221" ca="1">ROUND(ORÇAMENTO.CustoUnitario*(1+$AH221),2)</f>
        <v>17.48</v>
      </c>
    </row>
    <row r="222" spans="1:40" x14ac:dyDescent="0.2">
      <c r="A222">
        <f t="shared" si="1"/>
        <v>2</v>
      </c>
      <c r="B222">
        <f t="shared" ca="1" si="2"/>
        <v>2</v>
      </c>
      <c r="C222">
        <f t="shared" ca="1" si="3"/>
        <v>2</v>
      </c>
      <c r="D222">
        <f t="shared" ca="1" si="4"/>
        <v>12</v>
      </c>
      <c r="E222">
        <f ca="1">IF($C222=1,OFFSET(E222,-1,0)+MAX(1,COUNTIF(QCI!$A$13:$A$24,OFFSET(ORÇAMENTO!E222,-1,0))),OFFSET(E222,-1,0))</f>
        <v>1</v>
      </c>
      <c r="F222">
        <f t="shared" ca="1" si="5"/>
        <v>12</v>
      </c>
      <c r="G222">
        <f t="shared" ca="1" si="6"/>
        <v>0</v>
      </c>
      <c r="H222">
        <f t="shared" ca="1" si="7"/>
        <v>0</v>
      </c>
      <c r="I222">
        <f t="shared" ca="1" si="8"/>
        <v>0</v>
      </c>
      <c r="J222">
        <f t="shared" ca="1" si="61"/>
        <v>18</v>
      </c>
      <c r="K222">
        <f ca="1">IF(OR($C222="S",$C222=0),0,MATCH(OFFSET($D222,0,$C222)+IF($C222&lt;&gt;1,1,COUNTIF(QCI!$A$13:$A$24,ORÇAMENTO!E222)),OFFSET($D222,1,$C222,ROW($C$240)-ROW($C222)),0))</f>
        <v>12</v>
      </c>
      <c r="L222" s="114" t="str">
        <f t="shared" ca="1" si="10"/>
        <v>F</v>
      </c>
      <c r="M222" s="115" t="s">
        <v>702</v>
      </c>
      <c r="N222" s="116" t="str">
        <f t="shared" ca="1" si="11"/>
        <v>Nível 2</v>
      </c>
      <c r="O222" s="117" t="str">
        <f t="shared" ca="1" si="12"/>
        <v>1.12.</v>
      </c>
      <c r="P222" s="118" t="s">
        <v>750</v>
      </c>
      <c r="Q222" s="119"/>
      <c r="R222" s="120" t="s">
        <v>1024</v>
      </c>
      <c r="S222" s="121" t="str" cm="1">
        <f t="array" aca="1" ref="S222" ca="1">REFERENCIA.Unidade</f>
        <v>-</v>
      </c>
      <c r="T222" s="122">
        <f ca="1">OFFSET(CÁLCULO!H$15,ROW($T222)-ROW(T$15),0)</f>
        <v>0</v>
      </c>
      <c r="U222" s="123"/>
      <c r="V222" s="124" t="s">
        <v>663</v>
      </c>
      <c r="W222" s="122" cm="1">
        <f t="array" aca="1" ref="W222" ca="1">IF($C222="S",ROUND(IF(TIPOORCAMENTO="Proposto",ORÇAMENTO.CustoUnitario*(1+$AH222),ORÇAMENTO.PrecoUnitarioLicitado),15-13*$AF$10),0)</f>
        <v>0</v>
      </c>
      <c r="X222" s="125" cm="1">
        <f t="array" aca="1" ref="X222" ca="1">IF($C222="S",IF(OR(Import.TipoArredondamento&lt;&gt;"TransfereGOV",ACOMPANHAMENTO="BM"),VTOTAL1,SUM(OFFSET(CÁLCULO!$AA$15,ROW($X222)-ROW($X$15),1):OFFSET(CÁLCULO!$AL$15,ROW($X222)-ROW($X$15),-1))),IF($C222=0,0,ROUND(SomaAgrup,15-13*$AF$11)))</f>
        <v>138220.89000000001</v>
      </c>
      <c r="Y222" s="126" t="s">
        <v>751</v>
      </c>
      <c r="Z222" t="str">
        <f t="shared" ca="1" si="13"/>
        <v/>
      </c>
      <c r="AA222" s="127" cm="1">
        <f t="array" aca="1" ref="AA222" ca="1">IF($C222="S",IF($Z222="CP",$X222,IF($Z222="RA",(($X222)*QCI!$AA$3),0)),SomaAgrup)</f>
        <v>64608.281615059357</v>
      </c>
      <c r="AB222" s="128" cm="1">
        <f t="array" aca="1" ref="AB222" ca="1">IF($C222="S",IF($Z222="OU",ROUND($X222,2),0),SomaAgrup)</f>
        <v>0</v>
      </c>
      <c r="AC222" s="565"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f ca="1">IF(C222&lt;=CRONO.NivelExibicao,MAX($AD$15:OFFSET(AD222,-1,0))+IF($C222&lt;&gt;1,1,MAX(1,COUNTIF(QCI!$A$13:$A$24,OFFSET($E222,-1,0)))),"")</f>
        <v>13</v>
      </c>
      <c r="AE222" s="7" t="b" cm="1">
        <f t="array" aca="1" ref="AE222" ca="1">IF(AND($C222="S",ORÇAMENTO.CodBarra&lt;&gt;""),IF(ORÇAMENTO.Fonte="",ORÇAMENTO.CodBarra,CONCATENATE(ORÇAMENTO.Fonte," ",ORÇAMENTO.CodBarra)))</f>
        <v>0</v>
      </c>
      <c r="AF222" s="12" t="str"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(Sem Código)</v>
      </c>
      <c r="AG222" s="428" cm="1">
        <f t="array" aca="1" ref="AG222" ca="1">ROUND(IF(DESONERACAO="sim",REFERENCIA.Desonerado,REFERENCIA.NaoDesonerado),2)</f>
        <v>0</v>
      </c>
      <c r="AH222" s="429">
        <f t="shared" ca="1" si="14"/>
        <v>0.22470000000000001</v>
      </c>
      <c r="AJ222" s="431"/>
      <c r="AL222" s="439"/>
      <c r="AM222" s="336">
        <f t="shared" ca="1" si="0"/>
        <v>138220.89000000001</v>
      </c>
      <c r="AN222" s="470" cm="1">
        <f t="array" aca="1" ref="AN222" ca="1">ROUND(ORÇAMENTO.CustoUnitario*(1+$AH222),2)</f>
        <v>0</v>
      </c>
    </row>
    <row r="223" spans="1:40" x14ac:dyDescent="0.2">
      <c r="A223">
        <f t="shared" si="1"/>
        <v>3</v>
      </c>
      <c r="B223">
        <f t="shared" ca="1" si="2"/>
        <v>3</v>
      </c>
      <c r="C223">
        <f t="shared" ca="1" si="3"/>
        <v>3</v>
      </c>
      <c r="D223">
        <f t="shared" ca="1" si="4"/>
        <v>3</v>
      </c>
      <c r="E223">
        <f ca="1">IF($C223=1,OFFSET(E223,-1,0)+MAX(1,COUNTIF(QCI!$A$13:$A$24,OFFSET(ORÇAMENTO!E223,-1,0))),OFFSET(E223,-1,0))</f>
        <v>1</v>
      </c>
      <c r="F223">
        <f t="shared" ca="1" si="5"/>
        <v>12</v>
      </c>
      <c r="G223">
        <f t="shared" ca="1" si="6"/>
        <v>1</v>
      </c>
      <c r="H223">
        <f t="shared" ca="1" si="7"/>
        <v>0</v>
      </c>
      <c r="I223">
        <f t="shared" ca="1" si="8"/>
        <v>0</v>
      </c>
      <c r="J223">
        <f t="shared" ca="1" si="61"/>
        <v>11</v>
      </c>
      <c r="K223">
        <f ca="1">IF(OR($C223="S",$C223=0),0,MATCH(OFFSET($D223,0,$C223)+IF($C223&lt;&gt;1,1,COUNTIF(QCI!$A$13:$A$24,ORÇAMENTO!E223)),OFFSET($D223,1,$C223,ROW($C$240)-ROW($C223)),0))</f>
        <v>3</v>
      </c>
      <c r="L223" s="114" t="str">
        <f t="shared" ca="1" si="10"/>
        <v>F</v>
      </c>
      <c r="M223" s="115" t="s">
        <v>703</v>
      </c>
      <c r="N223" s="116" t="str">
        <f t="shared" ca="1" si="11"/>
        <v>Nível 3</v>
      </c>
      <c r="O223" s="117" t="str">
        <f t="shared" ca="1" si="12"/>
        <v>1.12.1.</v>
      </c>
      <c r="P223" s="118" t="s">
        <v>750</v>
      </c>
      <c r="Q223" s="119"/>
      <c r="R223" s="120" t="s">
        <v>1057</v>
      </c>
      <c r="S223" s="121" t="str" cm="1">
        <f t="array" aca="1" ref="S223" ca="1">REFERENCIA.Unidade</f>
        <v>-</v>
      </c>
      <c r="T223" s="122">
        <f ca="1">OFFSET(CÁLCULO!H$15,ROW($T223)-ROW(T$15),0)</f>
        <v>0</v>
      </c>
      <c r="U223" s="123"/>
      <c r="V223" s="124" t="s">
        <v>663</v>
      </c>
      <c r="W223" s="122" cm="1">
        <f t="array" aca="1" ref="W223" ca="1">IF($C223="S",ROUND(IF(TIPOORCAMENTO="Proposto",ORÇAMENTO.CustoUnitario*(1+$AH223),ORÇAMENTO.PrecoUnitarioLicitado),15-13*$AF$10),0)</f>
        <v>0</v>
      </c>
      <c r="X223" s="125" cm="1">
        <f t="array" aca="1" ref="X223" ca="1">IF($C223="S",IF(OR(Import.TipoArredondamento&lt;&gt;"TransfereGOV",ACOMPANHAMENTO="BM"),VTOTAL1,SUM(OFFSET(CÁLCULO!$AA$15,ROW($X223)-ROW($X$15),1):OFFSET(CÁLCULO!$AL$15,ROW($X223)-ROW($X$15),-1))),IF($C223=0,0,ROUND(SomaAgrup,15-13*$AF$11)))</f>
        <v>67073.929999999993</v>
      </c>
      <c r="Y223" s="126" t="s">
        <v>751</v>
      </c>
      <c r="Z223" t="str">
        <f t="shared" ca="1" si="13"/>
        <v/>
      </c>
      <c r="AA223" s="127" cm="1">
        <f t="array" aca="1" ref="AA223" ca="1">IF($C223="S",IF($Z223="CP",$X223,IF($Z223="RA",(($X223)*QCI!$AA$3),0)),SomaAgrup)</f>
        <v>31352.217153780286</v>
      </c>
      <c r="AB223" s="128" cm="1">
        <f t="array" aca="1" ref="AB223" ca="1">IF($C223="S",IF($Z223="OU",ROUND($X223,2),0),SomaAgrup)</f>
        <v>0</v>
      </c>
      <c r="AC223" s="565"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7" t="b" cm="1">
        <f t="array" aca="1" ref="AE223" ca="1">IF(AND($C223="S",ORÇAMENTO.CodBarra&lt;&gt;""),IF(ORÇAMENTO.Fonte="",ORÇAMENTO.CodBarra,CONCATENATE(ORÇAMENTO.Fonte," ",ORÇAMENTO.CodBarra)))</f>
        <v>0</v>
      </c>
      <c r="AF223" s="12" t="str"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(Sem Código)</v>
      </c>
      <c r="AG223" s="428" cm="1">
        <f t="array" aca="1" ref="AG223" ca="1">ROUND(IF(DESONERACAO="sim",REFERENCIA.Desonerado,REFERENCIA.NaoDesonerado),2)</f>
        <v>0</v>
      </c>
      <c r="AH223" s="429">
        <f t="shared" ca="1" si="14"/>
        <v>0.22470000000000001</v>
      </c>
      <c r="AJ223" s="431"/>
      <c r="AL223" s="439"/>
      <c r="AM223" s="336">
        <f t="shared" ca="1" si="0"/>
        <v>67073.929999999993</v>
      </c>
      <c r="AN223" s="470" cm="1">
        <f t="array" aca="1" ref="AN223" ca="1">ROUND(ORÇAMENTO.CustoUnitario*(1+$AH223),2)</f>
        <v>0</v>
      </c>
    </row>
    <row r="224" spans="1:40" ht="25.5" x14ac:dyDescent="0.2">
      <c r="A224" t="str">
        <f t="shared" si="1"/>
        <v>S</v>
      </c>
      <c r="B224">
        <f t="shared" ca="1" si="2"/>
        <v>3</v>
      </c>
      <c r="C224" t="str">
        <f t="shared" ca="1" si="3"/>
        <v>S</v>
      </c>
      <c r="D224">
        <f t="shared" ca="1" si="4"/>
        <v>0</v>
      </c>
      <c r="E224">
        <f ca="1">IF($C224=1,OFFSET(E224,-1,0)+MAX(1,COUNTIF(QCI!$A$13:$A$24,OFFSET(ORÇAMENTO!E224,-1,0))),OFFSET(E224,-1,0))</f>
        <v>1</v>
      </c>
      <c r="F224">
        <f t="shared" ca="1" si="5"/>
        <v>12</v>
      </c>
      <c r="G224">
        <f t="shared" ca="1" si="6"/>
        <v>1</v>
      </c>
      <c r="H224">
        <f t="shared" ca="1" si="7"/>
        <v>0</v>
      </c>
      <c r="I224">
        <f t="shared" ca="1" si="8"/>
        <v>1</v>
      </c>
      <c r="J224">
        <f t="shared" ca="1" si="61"/>
        <v>0</v>
      </c>
      <c r="K224">
        <f ca="1">IF(OR($C224="S",$C224=0),0,MATCH(OFFSET($D224,0,$C224)+IF($C224&lt;&gt;1,1,COUNTIF(QCI!$A$13:$A$24,ORÇAMENTO!E224)),OFFSET($D224,1,$C224,ROW($C$240)-ROW($C224)),0))</f>
        <v>0</v>
      </c>
      <c r="L224" s="114" t="str">
        <f t="shared" ca="1" si="10"/>
        <v>F</v>
      </c>
      <c r="M224" s="115" t="s">
        <v>705</v>
      </c>
      <c r="N224" s="116" t="str">
        <f t="shared" ca="1" si="11"/>
        <v>Serviço</v>
      </c>
      <c r="O224" s="117" t="str">
        <f t="shared" ca="1" si="12"/>
        <v>1.12.1.0.1.</v>
      </c>
      <c r="P224" s="118" t="s">
        <v>750</v>
      </c>
      <c r="Q224" s="119" t="s">
        <v>1065</v>
      </c>
      <c r="R224" s="120" t="str" cm="1">
        <f t="array" aca="1" ref="R224" ca="1">IF($C224="S",REFERENCIA.Descricao,"(digite a descrição aqui)")</f>
        <v>APLICAÇÃO MANUAL DE FUNDO SELADOR ACRÍLICO EM PAREDES EXTERNAS DE CASAS. AF_03/2024</v>
      </c>
      <c r="S224" s="121" t="str" cm="1">
        <f t="array" aca="1" ref="S224" ca="1">REFERENCIA.Unidade</f>
        <v>M2</v>
      </c>
      <c r="T224" s="122">
        <f ca="1">OFFSET(CÁLCULO!H$15,ROW($T224)-ROW(T$15),0)</f>
        <v>2545.5</v>
      </c>
      <c r="U224" s="123">
        <f t="shared" ref="U224:U225" ca="1" si="66">AG224</f>
        <v>4.4400000000000004</v>
      </c>
      <c r="V224" s="124" t="s">
        <v>663</v>
      </c>
      <c r="W224" s="122" cm="1">
        <f t="array" aca="1" ref="W224" ca="1">IF($C224="S",ROUND(IF(TIPOORCAMENTO="Proposto",ORÇAMENTO.CustoUnitario*(1+$AH224),ORÇAMENTO.PrecoUnitarioLicitado),15-13*$AF$10),0)</f>
        <v>5.44</v>
      </c>
      <c r="X224" s="125" cm="1">
        <f t="array" aca="1" ref="X224" ca="1">IF($C224="S",IF(OR(Import.TipoArredondamento&lt;&gt;"TransfereGOV",ACOMPANHAMENTO="BM"),VTOTAL1,SUM(OFFSET(CÁLCULO!$AA$15,ROW($X224)-ROW($X$15),1):OFFSET(CÁLCULO!$AL$15,ROW($X224)-ROW($X$15),-1))),IF($C224=0,0,ROUND(SomaAgrup,15-13*$AF$11)))</f>
        <v>13847.52</v>
      </c>
      <c r="Y224" s="126" t="s">
        <v>751</v>
      </c>
      <c r="Z224" t="str">
        <f t="shared" ca="1" si="13"/>
        <v>RA</v>
      </c>
      <c r="AA224" s="127" cm="1">
        <f t="array" aca="1" ref="AA224" ca="1">IF($C224="S",IF($Z224="CP",$X224,IF($Z224="RA",(($X224)*QCI!$AA$3),0)),SomaAgrup)</f>
        <v>6472.715316984044</v>
      </c>
      <c r="AB224" s="128" cm="1">
        <f t="array" aca="1" ref="AB224" ca="1">IF($C224="S",IF($Z224="OU",ROUND($X224,2),0),SomaAgrup)</f>
        <v>0</v>
      </c>
      <c r="AC224" s="565"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7" t="str" cm="1">
        <f t="array" aca="1" ref="AE224" ca="1">IF(AND($C224="S",ORÇAMENTO.CodBarra&lt;&gt;""),IF(ORÇAMENTO.Fonte="",ORÇAMENTO.CodBarra,CONCATENATE(ORÇAMENTO.Fonte," ",ORÇAMENTO.CodBarra)))</f>
        <v>SINAPI 88415</v>
      </c>
      <c r="AF224" s="12"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14132</v>
      </c>
      <c r="AG224" s="428" cm="1">
        <f t="array" aca="1" ref="AG224" ca="1">ROUND(IF(DESONERACAO="sim",REFERENCIA.Desonerado,REFERENCIA.NaoDesonerado),2)</f>
        <v>4.4400000000000004</v>
      </c>
      <c r="AH224" s="429">
        <f t="shared" ca="1" si="14"/>
        <v>0.22470000000000001</v>
      </c>
      <c r="AJ224" s="431">
        <v>2545.5</v>
      </c>
      <c r="AL224" s="439"/>
      <c r="AM224" s="336">
        <f t="shared" ref="AM224:AM233" ca="1" si="67">$X224</f>
        <v>13847.52</v>
      </c>
      <c r="AN224" s="470" cm="1">
        <f t="array" aca="1" ref="AN224" ca="1">ROUND(ORÇAMENTO.CustoUnitario*(1+$AH224),2)</f>
        <v>5.44</v>
      </c>
    </row>
    <row r="225" spans="1:40" ht="25.5" x14ac:dyDescent="0.2">
      <c r="A225" t="str">
        <f t="shared" si="1"/>
        <v>S</v>
      </c>
      <c r="B225">
        <f t="shared" ca="1" si="2"/>
        <v>3</v>
      </c>
      <c r="C225" t="str">
        <f t="shared" ca="1" si="3"/>
        <v>S</v>
      </c>
      <c r="D225">
        <f t="shared" ca="1" si="4"/>
        <v>0</v>
      </c>
      <c r="E225">
        <f ca="1">IF($C225=1,OFFSET(E225,-1,0)+MAX(1,COUNTIF(QCI!$A$13:$A$24,OFFSET(ORÇAMENTO!E225,-1,0))),OFFSET(E225,-1,0))</f>
        <v>1</v>
      </c>
      <c r="F225">
        <f t="shared" ca="1" si="5"/>
        <v>12</v>
      </c>
      <c r="G225">
        <f t="shared" ca="1" si="6"/>
        <v>1</v>
      </c>
      <c r="H225">
        <f t="shared" ca="1" si="7"/>
        <v>0</v>
      </c>
      <c r="I225">
        <f t="shared" ca="1" si="8"/>
        <v>2</v>
      </c>
      <c r="J225">
        <f t="shared" ca="1" si="61"/>
        <v>0</v>
      </c>
      <c r="K225">
        <f ca="1">IF(OR($C225="S",$C225=0),0,MATCH(OFFSET($D225,0,$C225)+IF($C225&lt;&gt;1,1,COUNTIF(QCI!$A$13:$A$24,ORÇAMENTO!E225)),OFFSET($D225,1,$C225,ROW($C$240)-ROW($C225)),0))</f>
        <v>0</v>
      </c>
      <c r="L225" s="114" t="str">
        <f t="shared" ca="1" si="10"/>
        <v>F</v>
      </c>
      <c r="M225" s="115" t="s">
        <v>705</v>
      </c>
      <c r="N225" s="116" t="str">
        <f t="shared" ca="1" si="11"/>
        <v>Serviço</v>
      </c>
      <c r="O225" s="117" t="str">
        <f t="shared" ca="1" si="12"/>
        <v>1.12.1.0.2.</v>
      </c>
      <c r="P225" s="118" t="s">
        <v>750</v>
      </c>
      <c r="Q225" s="119" t="s">
        <v>1066</v>
      </c>
      <c r="R225" s="120" t="str" cm="1">
        <f t="array" aca="1" ref="R225" ca="1">IF($C225="S",REFERENCIA.Descricao,"(digite a descrição aqui)")</f>
        <v>APLICAÇÃO MANUAL DE TINTA LÁTEX ACRÍLICA EM PAREDE EXTERNAS DE CASAS, DUAS DEMÃOS. AF_03/2024</v>
      </c>
      <c r="S225" s="121" t="str" cm="1">
        <f t="array" aca="1" ref="S225" ca="1">REFERENCIA.Unidade</f>
        <v>M2</v>
      </c>
      <c r="T225" s="122">
        <f ca="1">OFFSET(CÁLCULO!H$15,ROW($T225)-ROW(T$15),0)</f>
        <v>2545.5</v>
      </c>
      <c r="U225" s="123">
        <f t="shared" ca="1" si="66"/>
        <v>17.07</v>
      </c>
      <c r="V225" s="124" t="s">
        <v>663</v>
      </c>
      <c r="W225" s="122" cm="1">
        <f t="array" aca="1" ref="W225" ca="1">IF($C225="S",ROUND(IF(TIPOORCAMENTO="Proposto",ORÇAMENTO.CustoUnitario*(1+$AH225),ORÇAMENTO.PrecoUnitarioLicitado),15-13*$AF$10),0)</f>
        <v>20.91</v>
      </c>
      <c r="X225" s="125" cm="1">
        <f t="array" aca="1" ref="X225" ca="1">IF($C225="S",IF(OR(Import.TipoArredondamento&lt;&gt;"TransfereGOV",ACOMPANHAMENTO="BM"),VTOTAL1,SUM(OFFSET(CÁLCULO!$AA$15,ROW($X225)-ROW($X$15),1):OFFSET(CÁLCULO!$AL$15,ROW($X225)-ROW($X$15),-1))),IF($C225=0,0,ROUND(SomaAgrup,15-13*$AF$11)))</f>
        <v>53226.41</v>
      </c>
      <c r="Y225" s="126" t="s">
        <v>751</v>
      </c>
      <c r="Z225" t="str">
        <f t="shared" ca="1" si="13"/>
        <v>RA</v>
      </c>
      <c r="AA225" s="127" cm="1">
        <f t="array" aca="1" ref="AA225" ca="1">IF($C225="S",IF($Z225="CP",$X225,IF($Z225="RA",(($X225)*QCI!$AA$3),0)),SomaAgrup)</f>
        <v>24879.501836796244</v>
      </c>
      <c r="AB225" s="128" cm="1">
        <f t="array" aca="1" ref="AB225" ca="1">IF($C225="S",IF($Z225="OU",ROUND($X225,2),0),SomaAgrup)</f>
        <v>0</v>
      </c>
      <c r="AC225" s="565"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7" t="str" cm="1">
        <f t="array" aca="1" ref="AE225" ca="1">IF(AND($C225="S",ORÇAMENTO.CodBarra&lt;&gt;""),IF(ORÇAMENTO.Fonte="",ORÇAMENTO.CodBarra,CONCATENATE(ORÇAMENTO.Fonte," ",ORÇAMENTO.CodBarra)))</f>
        <v>SINAPI 95626</v>
      </c>
      <c r="AF225" s="12"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14158</v>
      </c>
      <c r="AG225" s="428" cm="1">
        <f t="array" aca="1" ref="AG225" ca="1">ROUND(IF(DESONERACAO="sim",REFERENCIA.Desonerado,REFERENCIA.NaoDesonerado),2)</f>
        <v>17.07</v>
      </c>
      <c r="AH225" s="429">
        <f t="shared" ca="1" si="14"/>
        <v>0.22470000000000001</v>
      </c>
      <c r="AJ225" s="431">
        <v>2545.5</v>
      </c>
      <c r="AL225" s="439"/>
      <c r="AM225" s="336">
        <f t="shared" ca="1" si="67"/>
        <v>53226.41</v>
      </c>
      <c r="AN225" s="470" cm="1">
        <f t="array" aca="1" ref="AN225" ca="1">ROUND(ORÇAMENTO.CustoUnitario*(1+$AH225),2)</f>
        <v>20.91</v>
      </c>
    </row>
    <row r="226" spans="1:40" x14ac:dyDescent="0.2">
      <c r="A226">
        <f t="shared" si="1"/>
        <v>3</v>
      </c>
      <c r="B226">
        <f t="shared" ca="1" si="2"/>
        <v>3</v>
      </c>
      <c r="C226">
        <f t="shared" ca="1" si="3"/>
        <v>3</v>
      </c>
      <c r="D226">
        <f t="shared" ca="1" si="4"/>
        <v>8</v>
      </c>
      <c r="E226">
        <f ca="1">IF($C226=1,OFFSET(E226,-1,0)+MAX(1,COUNTIF(QCI!$A$13:$A$24,OFFSET(ORÇAMENTO!E226,-1,0))),OFFSET(E226,-1,0))</f>
        <v>1</v>
      </c>
      <c r="F226">
        <f t="shared" ca="1" si="5"/>
        <v>12</v>
      </c>
      <c r="G226">
        <f t="shared" ca="1" si="6"/>
        <v>2</v>
      </c>
      <c r="H226">
        <f t="shared" ca="1" si="7"/>
        <v>0</v>
      </c>
      <c r="I226">
        <f t="shared" ca="1" si="8"/>
        <v>0</v>
      </c>
      <c r="J226">
        <f t="shared" ca="1" si="61"/>
        <v>8</v>
      </c>
      <c r="K226" t="e">
        <f ca="1">IF(OR($C226="S",$C226=0),0,MATCH(OFFSET($D226,0,$C226)+IF($C226&lt;&gt;1,1,COUNTIF(QCI!$A$13:$A$24,ORÇAMENTO!E226)),OFFSET($D226,1,$C226,ROW($C$240)-ROW($C226)),0))</f>
        <v>#N/A</v>
      </c>
      <c r="L226" s="114" t="str">
        <f t="shared" ca="1" si="10"/>
        <v>F</v>
      </c>
      <c r="M226" s="115" t="s">
        <v>703</v>
      </c>
      <c r="N226" s="116" t="str">
        <f t="shared" ca="1" si="11"/>
        <v>Nível 3</v>
      </c>
      <c r="O226" s="117" t="str">
        <f t="shared" ca="1" si="12"/>
        <v>1.12.2.</v>
      </c>
      <c r="P226" s="118" t="s">
        <v>750</v>
      </c>
      <c r="Q226" s="119"/>
      <c r="R226" s="120" t="s">
        <v>1058</v>
      </c>
      <c r="S226" s="121" t="str" cm="1">
        <f t="array" aca="1" ref="S226" ca="1">REFERENCIA.Unidade</f>
        <v>-</v>
      </c>
      <c r="T226" s="122">
        <f ca="1">OFFSET(CÁLCULO!H$15,ROW($T226)-ROW(T$15),0)</f>
        <v>0</v>
      </c>
      <c r="U226" s="123"/>
      <c r="V226" s="124" t="s">
        <v>663</v>
      </c>
      <c r="W226" s="122" cm="1">
        <f t="array" aca="1" ref="W226" ca="1">IF($C226="S",ROUND(IF(TIPOORCAMENTO="Proposto",ORÇAMENTO.CustoUnitario*(1+$AH226),ORÇAMENTO.PrecoUnitarioLicitado),15-13*$AF$10),0)</f>
        <v>0</v>
      </c>
      <c r="X226" s="125" cm="1">
        <f t="array" aca="1" ref="X226" ca="1">IF($C226="S",IF(OR(Import.TipoArredondamento&lt;&gt;"TransfereGOV",ACOMPANHAMENTO="BM"),VTOTAL1,SUM(OFFSET(CÁLCULO!$AA$15,ROW($X226)-ROW($X$15),1):OFFSET(CÁLCULO!$AL$15,ROW($X226)-ROW($X$15),-1))),IF($C226=0,0,ROUND(SomaAgrup,15-13*$AF$11)))</f>
        <v>71146.960000000006</v>
      </c>
      <c r="Y226" s="126" t="s">
        <v>751</v>
      </c>
      <c r="Z226" t="str">
        <f t="shared" ca="1" si="13"/>
        <v/>
      </c>
      <c r="AA226" s="127" cm="1">
        <f t="array" aca="1" ref="AA226" ca="1">IF($C226="S",IF($Z226="CP",$X226,IF($Z226="RA",(($X226)*QCI!$AA$3),0)),SomaAgrup)</f>
        <v>33256.064461279064</v>
      </c>
      <c r="AB226" s="128" cm="1">
        <f t="array" aca="1" ref="AB226" ca="1">IF($C226="S",IF($Z226="OU",ROUND($X226,2),0),SomaAgrup)</f>
        <v>0</v>
      </c>
      <c r="AC226" s="565"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7" t="b" cm="1">
        <f t="array" aca="1" ref="AE226" ca="1">IF(AND($C226="S",ORÇAMENTO.CodBarra&lt;&gt;""),IF(ORÇAMENTO.Fonte="",ORÇAMENTO.CodBarra,CONCATENATE(ORÇAMENTO.Fonte," ",ORÇAMENTO.CodBarra)))</f>
        <v>0</v>
      </c>
      <c r="AF226" s="12" t="str"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(Sem Código)</v>
      </c>
      <c r="AG226" s="428" cm="1">
        <f t="array" aca="1" ref="AG226" ca="1">ROUND(IF(DESONERACAO="sim",REFERENCIA.Desonerado,REFERENCIA.NaoDesonerado),2)</f>
        <v>0</v>
      </c>
      <c r="AH226" s="429">
        <f t="shared" ca="1" si="14"/>
        <v>0.22470000000000001</v>
      </c>
      <c r="AJ226" s="431"/>
      <c r="AL226" s="439"/>
      <c r="AM226" s="336">
        <f t="shared" ca="1" si="67"/>
        <v>71146.960000000006</v>
      </c>
      <c r="AN226" s="470" cm="1">
        <f t="array" aca="1" ref="AN226" ca="1">ROUND(ORÇAMENTO.CustoUnitario*(1+$AH226),2)</f>
        <v>0</v>
      </c>
    </row>
    <row r="227" spans="1:40" x14ac:dyDescent="0.2">
      <c r="A227">
        <f t="shared" si="1"/>
        <v>4</v>
      </c>
      <c r="B227">
        <f t="shared" ca="1" si="2"/>
        <v>4</v>
      </c>
      <c r="C227">
        <f t="shared" ca="1" si="3"/>
        <v>4</v>
      </c>
      <c r="D227">
        <f t="shared" ca="1" si="4"/>
        <v>3</v>
      </c>
      <c r="E227">
        <f ca="1">IF($C227=1,OFFSET(E227,-1,0)+MAX(1,COUNTIF(QCI!$A$13:$A$24,OFFSET(ORÇAMENTO!E227,-1,0))),OFFSET(E227,-1,0))</f>
        <v>1</v>
      </c>
      <c r="F227">
        <f t="shared" ca="1" si="5"/>
        <v>12</v>
      </c>
      <c r="G227">
        <f t="shared" ca="1" si="6"/>
        <v>2</v>
      </c>
      <c r="H227">
        <f t="shared" ca="1" si="7"/>
        <v>1</v>
      </c>
      <c r="I227">
        <f t="shared" ca="1" si="8"/>
        <v>0</v>
      </c>
      <c r="J227">
        <f t="shared" ca="1" si="61"/>
        <v>7</v>
      </c>
      <c r="K227">
        <f ca="1">IF(OR($C227="S",$C227=0),0,MATCH(OFFSET($D227,0,$C227)+IF($C227&lt;&gt;1,1,COUNTIF(QCI!$A$13:$A$24,ORÇAMENTO!E227)),OFFSET($D227,1,$C227,ROW($C$240)-ROW($C227)),0))</f>
        <v>3</v>
      </c>
      <c r="L227" s="114" t="str">
        <f t="shared" ca="1" si="10"/>
        <v>F</v>
      </c>
      <c r="M227" s="115" t="s">
        <v>704</v>
      </c>
      <c r="N227" s="116" t="str">
        <f t="shared" ca="1" si="11"/>
        <v>Nível 4</v>
      </c>
      <c r="O227" s="117" t="str">
        <f t="shared" ca="1" si="12"/>
        <v>1.12.2.1.</v>
      </c>
      <c r="P227" s="118" t="s">
        <v>750</v>
      </c>
      <c r="Q227" s="119"/>
      <c r="R227" s="120" t="s">
        <v>1059</v>
      </c>
      <c r="S227" s="121" t="str" cm="1">
        <f t="array" aca="1" ref="S227" ca="1">REFERENCIA.Unidade</f>
        <v>-</v>
      </c>
      <c r="T227" s="122">
        <f ca="1">OFFSET(CÁLCULO!H$15,ROW($T227)-ROW(T$15),0)</f>
        <v>0</v>
      </c>
      <c r="U227" s="123"/>
      <c r="V227" s="124" t="s">
        <v>663</v>
      </c>
      <c r="W227" s="122" cm="1">
        <f t="array" aca="1" ref="W227" ca="1">IF($C227="S",ROUND(IF(TIPOORCAMENTO="Proposto",ORÇAMENTO.CustoUnitario*(1+$AH227),ORÇAMENTO.PrecoUnitarioLicitado),15-13*$AF$10),0)</f>
        <v>0</v>
      </c>
      <c r="X227" s="125" cm="1">
        <f t="array" aca="1" ref="X227" ca="1">IF($C227="S",IF(OR(Import.TipoArredondamento&lt;&gt;"TransfereGOV",ACOMPANHAMENTO="BM"),VTOTAL1,SUM(OFFSET(CÁLCULO!$AA$15,ROW($X227)-ROW($X$15),1):OFFSET(CÁLCULO!$AL$15,ROW($X227)-ROW($X$15),-1))),IF($C227=0,0,ROUND(SomaAgrup,15-13*$AF$11)))</f>
        <v>52035.28</v>
      </c>
      <c r="Y227" s="126" t="s">
        <v>751</v>
      </c>
      <c r="Z227" t="str">
        <f t="shared" ca="1" si="13"/>
        <v/>
      </c>
      <c r="AA227" s="127" cm="1">
        <f t="array" aca="1" ref="AA227" ca="1">IF($C227="S",IF($Z227="CP",$X227,IF($Z227="RA",(($X227)*QCI!$AA$3),0)),SomaAgrup)</f>
        <v>24322.734603709076</v>
      </c>
      <c r="AB227" s="128" cm="1">
        <f t="array" aca="1" ref="AB227" ca="1">IF($C227="S",IF($Z227="OU",ROUND($X227,2),0),SomaAgrup)</f>
        <v>0</v>
      </c>
      <c r="AC227" s="565"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7" t="b" cm="1">
        <f t="array" aca="1" ref="AE227" ca="1">IF(AND($C227="S",ORÇAMENTO.CodBarra&lt;&gt;""),IF(ORÇAMENTO.Fonte="",ORÇAMENTO.CodBarra,CONCATENATE(ORÇAMENTO.Fonte," ",ORÇAMENTO.CodBarra)))</f>
        <v>0</v>
      </c>
      <c r="AF227" s="12" t="str"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(Sem Código)</v>
      </c>
      <c r="AG227" s="428" cm="1">
        <f t="array" aca="1" ref="AG227" ca="1">ROUND(IF(DESONERACAO="sim",REFERENCIA.Desonerado,REFERENCIA.NaoDesonerado),2)</f>
        <v>0</v>
      </c>
      <c r="AH227" s="429">
        <f t="shared" ca="1" si="14"/>
        <v>0.22470000000000001</v>
      </c>
      <c r="AJ227" s="431"/>
      <c r="AL227" s="439"/>
      <c r="AM227" s="336">
        <f t="shared" ca="1" si="67"/>
        <v>52035.28</v>
      </c>
      <c r="AN227" s="470" cm="1">
        <f t="array" aca="1" ref="AN227" ca="1">ROUND(ORÇAMENTO.CustoUnitario*(1+$AH227),2)</f>
        <v>0</v>
      </c>
    </row>
    <row r="228" spans="1:40" ht="25.5" x14ac:dyDescent="0.2">
      <c r="A228" t="str">
        <f t="shared" si="1"/>
        <v>S</v>
      </c>
      <c r="B228">
        <f t="shared" ca="1" si="2"/>
        <v>4</v>
      </c>
      <c r="C228" t="str">
        <f t="shared" ca="1" si="3"/>
        <v>S</v>
      </c>
      <c r="D228">
        <f t="shared" ca="1" si="4"/>
        <v>0</v>
      </c>
      <c r="E228">
        <f ca="1">IF($C228=1,OFFSET(E228,-1,0)+MAX(1,COUNTIF(QCI!$A$13:$A$24,OFFSET(ORÇAMENTO!E228,-1,0))),OFFSET(E228,-1,0))</f>
        <v>1</v>
      </c>
      <c r="F228">
        <f t="shared" ca="1" si="5"/>
        <v>12</v>
      </c>
      <c r="G228">
        <f t="shared" ca="1" si="6"/>
        <v>2</v>
      </c>
      <c r="H228">
        <f t="shared" ca="1" si="7"/>
        <v>1</v>
      </c>
      <c r="I228">
        <f t="shared" ca="1" si="8"/>
        <v>1</v>
      </c>
      <c r="J228">
        <f t="shared" ca="1" si="61"/>
        <v>0</v>
      </c>
      <c r="K228">
        <f ca="1">IF(OR($C228="S",$C228=0),0,MATCH(OFFSET($D228,0,$C228)+IF($C228&lt;&gt;1,1,COUNTIF(QCI!$A$13:$A$24,ORÇAMENTO!E228)),OFFSET($D228,1,$C228,ROW($C$240)-ROW($C228)),0))</f>
        <v>0</v>
      </c>
      <c r="L228" s="114" t="str">
        <f t="shared" ca="1" si="10"/>
        <v>F</v>
      </c>
      <c r="M228" s="115" t="s">
        <v>705</v>
      </c>
      <c r="N228" s="116" t="str">
        <f t="shared" ca="1" si="11"/>
        <v>Serviço</v>
      </c>
      <c r="O228" s="117" t="str">
        <f t="shared" ca="1" si="12"/>
        <v>1.12.2.1.1.</v>
      </c>
      <c r="P228" s="118" t="s">
        <v>750</v>
      </c>
      <c r="Q228" s="119" t="s">
        <v>1067</v>
      </c>
      <c r="R228" s="120" t="str" cm="1">
        <f t="array" aca="1" ref="R228" ca="1">IF($C228="S",REFERENCIA.Descricao,"(digite a descrição aqui)")</f>
        <v>FUNDO SELADOR ACRÍLICO, APLICAÇÃO MANUAL EM PAREDE, UMA DEMÃO. AF_04/2023</v>
      </c>
      <c r="S228" s="121" t="str" cm="1">
        <f t="array" aca="1" ref="S228" ca="1">REFERENCIA.Unidade</f>
        <v>M2</v>
      </c>
      <c r="T228" s="122">
        <f ca="1">OFFSET(CÁLCULO!H$15,ROW($T228)-ROW(T$15),0)</f>
        <v>2987.1</v>
      </c>
      <c r="U228" s="123">
        <f t="shared" ref="U228:U229" ca="1" si="68">AG228</f>
        <v>4.0199999999999996</v>
      </c>
      <c r="V228" s="124" t="s">
        <v>663</v>
      </c>
      <c r="W228" s="122" cm="1">
        <f t="array" aca="1" ref="W228" ca="1">IF($C228="S",ROUND(IF(TIPOORCAMENTO="Proposto",ORÇAMENTO.CustoUnitario*(1+$AH228),ORÇAMENTO.PrecoUnitarioLicitado),15-13*$AF$10),0)</f>
        <v>4.92</v>
      </c>
      <c r="X228" s="125" cm="1">
        <f t="array" aca="1" ref="X228" ca="1">IF($C228="S",IF(OR(Import.TipoArredondamento&lt;&gt;"TransfereGOV",ACOMPANHAMENTO="BM"),VTOTAL1,SUM(OFFSET(CÁLCULO!$AA$15,ROW($X228)-ROW($X$15),1):OFFSET(CÁLCULO!$AL$15,ROW($X228)-ROW($X$15),-1))),IF($C228=0,0,ROUND(SomaAgrup,15-13*$AF$11)))</f>
        <v>14696.53</v>
      </c>
      <c r="Y228" s="126" t="s">
        <v>751</v>
      </c>
      <c r="Z228" t="str">
        <f t="shared" ca="1" si="13"/>
        <v>RA</v>
      </c>
      <c r="AA228" s="127" cm="1">
        <f t="array" aca="1" ref="AA228" ca="1">IF($C228="S",IF($Z228="CP",$X228,IF($Z228="RA",(($X228)*QCI!$AA$3),0)),SomaAgrup)</f>
        <v>6869.5661632924539</v>
      </c>
      <c r="AB228" s="128" cm="1">
        <f t="array" aca="1" ref="AB228" ca="1">IF($C228="S",IF($Z228="OU",ROUND($X228,2),0),SomaAgrup)</f>
        <v>0</v>
      </c>
      <c r="AC228" s="565"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7" t="str" cm="1">
        <f t="array" aca="1" ref="AE228" ca="1">IF(AND($C228="S",ORÇAMENTO.CodBarra&lt;&gt;""),IF(ORÇAMENTO.Fonte="",ORÇAMENTO.CodBarra,CONCATENATE(ORÇAMENTO.Fonte," ",ORÇAMENTO.CodBarra)))</f>
        <v>SINAPI 88485</v>
      </c>
      <c r="AF228" s="12"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14169</v>
      </c>
      <c r="AG228" s="428" cm="1">
        <f t="array" aca="1" ref="AG228" ca="1">ROUND(IF(DESONERACAO="sim",REFERENCIA.Desonerado,REFERENCIA.NaoDesonerado),2)</f>
        <v>4.0199999999999996</v>
      </c>
      <c r="AH228" s="429">
        <f t="shared" ca="1" si="14"/>
        <v>0.22470000000000001</v>
      </c>
      <c r="AJ228" s="431">
        <v>2987.1</v>
      </c>
      <c r="AL228" s="439"/>
      <c r="AM228" s="336">
        <f t="shared" ca="1" si="67"/>
        <v>14696.53</v>
      </c>
      <c r="AN228" s="470" cm="1">
        <f t="array" aca="1" ref="AN228" ca="1">ROUND(ORÇAMENTO.CustoUnitario*(1+$AH228),2)</f>
        <v>4.92</v>
      </c>
    </row>
    <row r="229" spans="1:40" ht="25.5" x14ac:dyDescent="0.2">
      <c r="A229" t="str">
        <f t="shared" si="1"/>
        <v>S</v>
      </c>
      <c r="B229">
        <f t="shared" ca="1" si="2"/>
        <v>4</v>
      </c>
      <c r="C229" t="str">
        <f t="shared" ca="1" si="3"/>
        <v>S</v>
      </c>
      <c r="D229">
        <f t="shared" ca="1" si="4"/>
        <v>0</v>
      </c>
      <c r="E229">
        <f ca="1">IF($C229=1,OFFSET(E229,-1,0)+MAX(1,COUNTIF(QCI!$A$13:$A$24,OFFSET(ORÇAMENTO!E229,-1,0))),OFFSET(E229,-1,0))</f>
        <v>1</v>
      </c>
      <c r="F229">
        <f t="shared" ca="1" si="5"/>
        <v>12</v>
      </c>
      <c r="G229">
        <f t="shared" ca="1" si="6"/>
        <v>2</v>
      </c>
      <c r="H229">
        <f t="shared" ca="1" si="7"/>
        <v>1</v>
      </c>
      <c r="I229">
        <f t="shared" ca="1" si="8"/>
        <v>2</v>
      </c>
      <c r="J229">
        <f t="shared" ca="1" si="61"/>
        <v>0</v>
      </c>
      <c r="K229">
        <f ca="1">IF(OR($C229="S",$C229=0),0,MATCH(OFFSET($D229,0,$C229)+IF($C229&lt;&gt;1,1,COUNTIF(QCI!$A$13:$A$24,ORÇAMENTO!E229)),OFFSET($D229,1,$C229,ROW($C$240)-ROW($C229)),0))</f>
        <v>0</v>
      </c>
      <c r="L229" s="114" t="str">
        <f t="shared" ca="1" si="10"/>
        <v>F</v>
      </c>
      <c r="M229" s="115" t="s">
        <v>705</v>
      </c>
      <c r="N229" s="116" t="str">
        <f t="shared" ca="1" si="11"/>
        <v>Serviço</v>
      </c>
      <c r="O229" s="117" t="str">
        <f t="shared" ca="1" si="12"/>
        <v>1.12.2.1.2.</v>
      </c>
      <c r="P229" s="118" t="s">
        <v>750</v>
      </c>
      <c r="Q229" s="119" t="s">
        <v>1068</v>
      </c>
      <c r="R229" s="120" t="str" cm="1">
        <f t="array" aca="1" ref="R229" ca="1">IF($C229="S",REFERENCIA.Descricao,"(digite a descrição aqui)")</f>
        <v>PINTURA LÁTEX ACRÍLICA ECONÔMICA, APLICAÇÃO MANUAL EM PAREDES, DUAS DEMÃOS. AF_04/2023</v>
      </c>
      <c r="S229" s="121" t="str" cm="1">
        <f t="array" aca="1" ref="S229" ca="1">REFERENCIA.Unidade</f>
        <v>M2</v>
      </c>
      <c r="T229" s="122">
        <f ca="1">OFFSET(CÁLCULO!H$15,ROW($T229)-ROW(T$15),0)</f>
        <v>2987.1</v>
      </c>
      <c r="U229" s="123">
        <f t="shared" ca="1" si="68"/>
        <v>10.210000000000001</v>
      </c>
      <c r="V229" s="124" t="s">
        <v>663</v>
      </c>
      <c r="W229" s="122" cm="1">
        <f t="array" aca="1" ref="W229" ca="1">IF($C229="S",ROUND(IF(TIPOORCAMENTO="Proposto",ORÇAMENTO.CustoUnitario*(1+$AH229),ORÇAMENTO.PrecoUnitarioLicitado),15-13*$AF$10),0)</f>
        <v>12.5</v>
      </c>
      <c r="X229" s="125" cm="1">
        <f t="array" aca="1" ref="X229" ca="1">IF($C229="S",IF(OR(Import.TipoArredondamento&lt;&gt;"TransfereGOV",ACOMPANHAMENTO="BM"),VTOTAL1,SUM(OFFSET(CÁLCULO!$AA$15,ROW($X229)-ROW($X$15),1):OFFSET(CÁLCULO!$AL$15,ROW($X229)-ROW($X$15),-1))),IF($C229=0,0,ROUND(SomaAgrup,15-13*$AF$11)))</f>
        <v>37338.75</v>
      </c>
      <c r="Y229" s="126" t="s">
        <v>751</v>
      </c>
      <c r="Z229" t="str">
        <f t="shared" ca="1" si="13"/>
        <v>RA</v>
      </c>
      <c r="AA229" s="127" cm="1">
        <f t="array" aca="1" ref="AA229" ca="1">IF($C229="S",IF($Z229="CP",$X229,IF($Z229="RA",(($X229)*QCI!$AA$3),0)),SomaAgrup)</f>
        <v>17453.168440416623</v>
      </c>
      <c r="AB229" s="128" cm="1">
        <f t="array" aca="1" ref="AB229" ca="1">IF($C229="S",IF($Z229="OU",ROUND($X229,2),0),SomaAgrup)</f>
        <v>0</v>
      </c>
      <c r="AC229" s="565"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7" t="str" cm="1">
        <f t="array" aca="1" ref="AE229" ca="1">IF(AND($C229="S",ORÇAMENTO.CodBarra&lt;&gt;""),IF(ORÇAMENTO.Fonte="",ORÇAMENTO.CodBarra,CONCATENATE(ORÇAMENTO.Fonte," ",ORÇAMENTO.CodBarra)))</f>
        <v>SINAPI 104641</v>
      </c>
      <c r="AF229" s="12"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14173</v>
      </c>
      <c r="AG229" s="428" cm="1">
        <f t="array" aca="1" ref="AG229" ca="1">ROUND(IF(DESONERACAO="sim",REFERENCIA.Desonerado,REFERENCIA.NaoDesonerado),2)</f>
        <v>10.210000000000001</v>
      </c>
      <c r="AH229" s="429">
        <f t="shared" ca="1" si="14"/>
        <v>0.22470000000000001</v>
      </c>
      <c r="AJ229" s="431">
        <v>2987.1</v>
      </c>
      <c r="AL229" s="439"/>
      <c r="AM229" s="336">
        <f t="shared" ca="1" si="67"/>
        <v>37338.75</v>
      </c>
      <c r="AN229" s="470" cm="1">
        <f t="array" aca="1" ref="AN229" ca="1">ROUND(ORÇAMENTO.CustoUnitario*(1+$AH229),2)</f>
        <v>12.5</v>
      </c>
    </row>
    <row r="230" spans="1:40" x14ac:dyDescent="0.2">
      <c r="A230">
        <f t="shared" si="1"/>
        <v>4</v>
      </c>
      <c r="B230">
        <f t="shared" ca="1" si="2"/>
        <v>4</v>
      </c>
      <c r="C230">
        <f t="shared" ca="1" si="3"/>
        <v>4</v>
      </c>
      <c r="D230">
        <f t="shared" ca="1" si="4"/>
        <v>4</v>
      </c>
      <c r="E230">
        <f ca="1">IF($C230=1,OFFSET(E230,-1,0)+MAX(1,COUNTIF(QCI!$A$13:$A$24,OFFSET(ORÇAMENTO!E230,-1,0))),OFFSET(E230,-1,0))</f>
        <v>1</v>
      </c>
      <c r="F230">
        <f t="shared" ca="1" si="5"/>
        <v>12</v>
      </c>
      <c r="G230">
        <f t="shared" ca="1" si="6"/>
        <v>2</v>
      </c>
      <c r="H230">
        <f t="shared" ca="1" si="7"/>
        <v>2</v>
      </c>
      <c r="I230">
        <f t="shared" ca="1" si="8"/>
        <v>0</v>
      </c>
      <c r="J230">
        <f t="shared" ca="1" si="61"/>
        <v>4</v>
      </c>
      <c r="K230" t="e">
        <f ca="1">IF(OR($C230="S",$C230=0),0,MATCH(OFFSET($D230,0,$C230)+IF($C230&lt;&gt;1,1,COUNTIF(QCI!$A$13:$A$24,ORÇAMENTO!E230)),OFFSET($D230,1,$C230,ROW($C$240)-ROW($C230)),0))</f>
        <v>#N/A</v>
      </c>
      <c r="L230" s="114" t="str">
        <f t="shared" ca="1" si="10"/>
        <v>F</v>
      </c>
      <c r="M230" s="115" t="s">
        <v>704</v>
      </c>
      <c r="N230" s="116" t="str">
        <f t="shared" ca="1" si="11"/>
        <v>Nível 4</v>
      </c>
      <c r="O230" s="117" t="str">
        <f t="shared" ca="1" si="12"/>
        <v>1.12.2.2.</v>
      </c>
      <c r="P230" s="118" t="s">
        <v>750</v>
      </c>
      <c r="Q230" s="119"/>
      <c r="R230" s="120" t="s">
        <v>1019</v>
      </c>
      <c r="S230" s="121" t="str" cm="1">
        <f t="array" aca="1" ref="S230" ca="1">REFERENCIA.Unidade</f>
        <v>-</v>
      </c>
      <c r="T230" s="122">
        <f ca="1">OFFSET(CÁLCULO!H$15,ROW($T230)-ROW(T$15),0)</f>
        <v>0</v>
      </c>
      <c r="U230" s="123"/>
      <c r="V230" s="124" t="s">
        <v>663</v>
      </c>
      <c r="W230" s="122" cm="1">
        <f t="array" aca="1" ref="W230" ca="1">IF($C230="S",ROUND(IF(TIPOORCAMENTO="Proposto",ORÇAMENTO.CustoUnitario*(1+$AH230),ORÇAMENTO.PrecoUnitarioLicitado),15-13*$AF$10),0)</f>
        <v>0</v>
      </c>
      <c r="X230" s="125" cm="1">
        <f t="array" aca="1" ref="X230" ca="1">IF($C230="S",IF(OR(Import.TipoArredondamento&lt;&gt;"TransfereGOV",ACOMPANHAMENTO="BM"),VTOTAL1,SUM(OFFSET(CÁLCULO!$AA$15,ROW($X230)-ROW($X$15),1):OFFSET(CÁLCULO!$AL$15,ROW($X230)-ROW($X$15),-1))),IF($C230=0,0,ROUND(SomaAgrup,15-13*$AF$11)))</f>
        <v>19111.68</v>
      </c>
      <c r="Y230" s="126" t="s">
        <v>751</v>
      </c>
      <c r="Z230" t="str">
        <f t="shared" ca="1" si="13"/>
        <v/>
      </c>
      <c r="AA230" s="127" cm="1">
        <f t="array" aca="1" ref="AA230" ca="1">IF($C230="S",IF($Z230="CP",$X230,IF($Z230="RA",(($X230)*QCI!$AA$3),0)),SomaAgrup)</f>
        <v>8933.3298575699919</v>
      </c>
      <c r="AB230" s="128" cm="1">
        <f t="array" aca="1" ref="AB230" ca="1">IF($C230="S",IF($Z230="OU",ROUND($X230,2),0),SomaAgrup)</f>
        <v>0</v>
      </c>
      <c r="AC230" s="565"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IF(C230&lt;=CRONO.NivelExibicao,MAX($AD$15:OFFSET(AD230,-1,0))+IF($C230&lt;&gt;1,1,MAX(1,COUNTIF(QCI!$A$13:$A$24,OFFSET($E230,-1,0)))),"")</f>
        <v/>
      </c>
      <c r="AE230" s="7" t="b" cm="1">
        <f t="array" aca="1" ref="AE230" ca="1">IF(AND($C230="S",ORÇAMENTO.CodBarra&lt;&gt;""),IF(ORÇAMENTO.Fonte="",ORÇAMENTO.CodBarra,CONCATENATE(ORÇAMENTO.Fonte," ",ORÇAMENTO.CodBarra)))</f>
        <v>0</v>
      </c>
      <c r="AF230" s="12" t="str"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(Sem Código)</v>
      </c>
      <c r="AG230" s="428" cm="1">
        <f t="array" aca="1" ref="AG230" ca="1">ROUND(IF(DESONERACAO="sim",REFERENCIA.Desonerado,REFERENCIA.NaoDesonerado),2)</f>
        <v>0</v>
      </c>
      <c r="AH230" s="429">
        <f t="shared" ca="1" si="14"/>
        <v>0.22470000000000001</v>
      </c>
      <c r="AJ230" s="431"/>
      <c r="AL230" s="439"/>
      <c r="AM230" s="336">
        <f t="shared" ca="1" si="67"/>
        <v>19111.68</v>
      </c>
      <c r="AN230" s="470" cm="1">
        <f t="array" aca="1" ref="AN230" ca="1">ROUND(ORÇAMENTO.CustoUnitario*(1+$AH230),2)</f>
        <v>0</v>
      </c>
    </row>
    <row r="231" spans="1:40" ht="25.5" x14ac:dyDescent="0.2">
      <c r="A231" t="str">
        <f t="shared" si="1"/>
        <v>S</v>
      </c>
      <c r="B231">
        <f t="shared" ca="1" si="2"/>
        <v>4</v>
      </c>
      <c r="C231" t="str">
        <f t="shared" ca="1" si="3"/>
        <v>S</v>
      </c>
      <c r="D231">
        <f t="shared" ca="1" si="4"/>
        <v>0</v>
      </c>
      <c r="E231">
        <f ca="1">IF($C231=1,OFFSET(E231,-1,0)+MAX(1,COUNTIF(QCI!$A$13:$A$24,OFFSET(ORÇAMENTO!E231,-1,0))),OFFSET(E231,-1,0))</f>
        <v>1</v>
      </c>
      <c r="F231">
        <f t="shared" ca="1" si="5"/>
        <v>12</v>
      </c>
      <c r="G231">
        <f t="shared" ca="1" si="6"/>
        <v>2</v>
      </c>
      <c r="H231">
        <f t="shared" ca="1" si="7"/>
        <v>2</v>
      </c>
      <c r="I231">
        <f t="shared" ca="1" si="8"/>
        <v>1</v>
      </c>
      <c r="J231">
        <f t="shared" ca="1" si="61"/>
        <v>0</v>
      </c>
      <c r="K231">
        <f ca="1">IF(OR($C231="S",$C231=0),0,MATCH(OFFSET($D231,0,$C231)+IF($C231&lt;&gt;1,1,COUNTIF(QCI!$A$13:$A$24,ORÇAMENTO!E231)),OFFSET($D231,1,$C231,ROW($C$240)-ROW($C231)),0))</f>
        <v>0</v>
      </c>
      <c r="L231" s="114" t="str">
        <f t="shared" ca="1" si="10"/>
        <v>F</v>
      </c>
      <c r="M231" s="115" t="s">
        <v>705</v>
      </c>
      <c r="N231" s="116" t="str">
        <f t="shared" ca="1" si="11"/>
        <v>Serviço</v>
      </c>
      <c r="O231" s="117" t="str">
        <f t="shared" ca="1" si="12"/>
        <v>1.12.2.2.1.</v>
      </c>
      <c r="P231" s="118" t="s">
        <v>750</v>
      </c>
      <c r="Q231" s="119" t="s">
        <v>1069</v>
      </c>
      <c r="R231" s="120" t="str" cm="1">
        <f t="array" aca="1" ref="R231" ca="1">IF($C231="S",REFERENCIA.Descricao,"(digite a descrição aqui)")</f>
        <v>LIXAMENTO DE MADEIRA PARA APLICAÇÃO DE FUNDO OU PINTURA. AF_01/2021</v>
      </c>
      <c r="S231" s="121" t="str" cm="1">
        <f t="array" aca="1" ref="S231" ca="1">REFERENCIA.Unidade</f>
        <v>M2</v>
      </c>
      <c r="T231" s="122">
        <f ca="1">OFFSET(CÁLCULO!H$15,ROW($T231)-ROW(T$15),0)</f>
        <v>302.39999999999998</v>
      </c>
      <c r="U231" s="123">
        <f t="shared" ref="U231:U233" ca="1" si="69">AG231</f>
        <v>2.29</v>
      </c>
      <c r="V231" s="124" t="s">
        <v>663</v>
      </c>
      <c r="W231" s="122" cm="1">
        <f t="array" aca="1" ref="W231" ca="1">IF($C231="S",ROUND(IF(TIPOORCAMENTO="Proposto",ORÇAMENTO.CustoUnitario*(1+$AH231),ORÇAMENTO.PrecoUnitarioLicitado),15-13*$AF$10),0)</f>
        <v>2.8</v>
      </c>
      <c r="X231" s="125" cm="1">
        <f t="array" aca="1" ref="X231" ca="1">IF($C231="S",IF(OR(Import.TipoArredondamento&lt;&gt;"TransfereGOV",ACOMPANHAMENTO="BM"),VTOTAL1,SUM(OFFSET(CÁLCULO!$AA$15,ROW($X231)-ROW($X$15),1):OFFSET(CÁLCULO!$AL$15,ROW($X231)-ROW($X$15),-1))),IF($C231=0,0,ROUND(SomaAgrup,15-13*$AF$11)))</f>
        <v>846.72</v>
      </c>
      <c r="Y231" s="126" t="s">
        <v>751</v>
      </c>
      <c r="Z231" t="str">
        <f t="shared" ca="1" si="13"/>
        <v>RA</v>
      </c>
      <c r="AA231" s="127" cm="1">
        <f t="array" aca="1" ref="AA231" ca="1">IF($C231="S",IF($Z231="CP",$X231,IF($Z231="RA",(($X231)*QCI!$AA$3),0)),SomaAgrup)</f>
        <v>395.78043672778449</v>
      </c>
      <c r="AB231" s="128" cm="1">
        <f t="array" aca="1" ref="AB231" ca="1">IF($C231="S",IF($Z231="OU",ROUND($X231,2),0),SomaAgrup)</f>
        <v>0</v>
      </c>
      <c r="AC231" s="565"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7" t="str" cm="1">
        <f t="array" aca="1" ref="AE231" ca="1">IF(AND($C231="S",ORÇAMENTO.CodBarra&lt;&gt;""),IF(ORÇAMENTO.Fonte="",ORÇAMENTO.CodBarra,CONCATENATE(ORÇAMENTO.Fonte," ",ORÇAMENTO.CodBarra)))</f>
        <v>SINAPI 102193</v>
      </c>
      <c r="AF231" s="12" cm="1">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14186</v>
      </c>
      <c r="AG231" s="428" cm="1">
        <f t="array" aca="1" ref="AG231" ca="1">ROUND(IF(DESONERACAO="sim",REFERENCIA.Desonerado,REFERENCIA.NaoDesonerado),2)</f>
        <v>2.29</v>
      </c>
      <c r="AH231" s="429">
        <f t="shared" ca="1" si="14"/>
        <v>0.22470000000000001</v>
      </c>
      <c r="AJ231" s="431">
        <v>302.39999999999998</v>
      </c>
      <c r="AL231" s="439"/>
      <c r="AM231" s="336">
        <f t="shared" ca="1" si="67"/>
        <v>846.72</v>
      </c>
      <c r="AN231" s="470" cm="1">
        <f t="array" aca="1" ref="AN231" ca="1">ROUND(ORÇAMENTO.CustoUnitario*(1+$AH231),2)</f>
        <v>2.8</v>
      </c>
    </row>
    <row r="232" spans="1:40" ht="25.5" x14ac:dyDescent="0.2">
      <c r="A232" t="str">
        <f t="shared" si="1"/>
        <v>S</v>
      </c>
      <c r="B232">
        <f t="shared" ca="1" si="2"/>
        <v>4</v>
      </c>
      <c r="C232" t="str">
        <f t="shared" ca="1" si="3"/>
        <v>S</v>
      </c>
      <c r="D232">
        <f t="shared" ca="1" si="4"/>
        <v>0</v>
      </c>
      <c r="E232">
        <f ca="1">IF($C232=1,OFFSET(E232,-1,0)+MAX(1,COUNTIF(QCI!$A$13:$A$24,OFFSET(ORÇAMENTO!E232,-1,0))),OFFSET(E232,-1,0))</f>
        <v>1</v>
      </c>
      <c r="F232">
        <f t="shared" ca="1" si="5"/>
        <v>12</v>
      </c>
      <c r="G232">
        <f t="shared" ca="1" si="6"/>
        <v>2</v>
      </c>
      <c r="H232">
        <f t="shared" ca="1" si="7"/>
        <v>2</v>
      </c>
      <c r="I232">
        <f t="shared" ca="1" si="8"/>
        <v>2</v>
      </c>
      <c r="J232">
        <f t="shared" ca="1" si="61"/>
        <v>0</v>
      </c>
      <c r="K232">
        <f ca="1">IF(OR($C232="S",$C232=0),0,MATCH(OFFSET($D232,0,$C232)+IF($C232&lt;&gt;1,1,COUNTIF(QCI!$A$13:$A$24,ORÇAMENTO!E232)),OFFSET($D232,1,$C232,ROW($C$240)-ROW($C232)),0))</f>
        <v>0</v>
      </c>
      <c r="L232" s="114" t="str">
        <f t="shared" ca="1" si="10"/>
        <v>F</v>
      </c>
      <c r="M232" s="115" t="s">
        <v>705</v>
      </c>
      <c r="N232" s="116" t="str">
        <f t="shared" ca="1" si="11"/>
        <v>Serviço</v>
      </c>
      <c r="O232" s="117" t="str">
        <f t="shared" ca="1" si="12"/>
        <v>1.12.2.2.2.</v>
      </c>
      <c r="P232" s="118" t="s">
        <v>750</v>
      </c>
      <c r="Q232" s="119" t="s">
        <v>1070</v>
      </c>
      <c r="R232" s="120" t="str" cm="1">
        <f t="array" aca="1" ref="R232" ca="1">IF($C232="S",REFERENCIA.Descricao,"(digite a descrição aqui)")</f>
        <v>PINTURA FUNDO NIVELADOR ALQUÍDICO BRANCO EM MADEIRA. AF_01/2021</v>
      </c>
      <c r="S232" s="121" t="str" cm="1">
        <f t="array" aca="1" ref="S232" ca="1">REFERENCIA.Unidade</f>
        <v>M2</v>
      </c>
      <c r="T232" s="122">
        <f ca="1">OFFSET(CÁLCULO!H$15,ROW($T232)-ROW(T$15),0)</f>
        <v>302.39999999999998</v>
      </c>
      <c r="U232" s="123">
        <f t="shared" ca="1" si="69"/>
        <v>31.66</v>
      </c>
      <c r="V232" s="124" t="s">
        <v>663</v>
      </c>
      <c r="W232" s="122" cm="1">
        <f t="array" aca="1" ref="W232" ca="1">IF($C232="S",ROUND(IF(TIPOORCAMENTO="Proposto",ORÇAMENTO.CustoUnitario*(1+$AH232),ORÇAMENTO.PrecoUnitarioLicitado),15-13*$AF$10),0)</f>
        <v>38.770000000000003</v>
      </c>
      <c r="X232" s="125" cm="1">
        <f t="array" aca="1" ref="X232" ca="1">IF($C232="S",IF(OR(Import.TipoArredondamento&lt;&gt;"TransfereGOV",ACOMPANHAMENTO="BM"),VTOTAL1,SUM(OFFSET(CÁLCULO!$AA$15,ROW($X232)-ROW($X$15),1):OFFSET(CÁLCULO!$AL$15,ROW($X232)-ROW($X$15),-1))),IF($C232=0,0,ROUND(SomaAgrup,15-13*$AF$11)))</f>
        <v>11724.05</v>
      </c>
      <c r="Y232" s="126" t="s">
        <v>751</v>
      </c>
      <c r="Z232" t="str">
        <f t="shared" ca="1" si="13"/>
        <v>RA</v>
      </c>
      <c r="AA232" s="127" cm="1">
        <f t="array" aca="1" ref="AA232" ca="1">IF($C232="S",IF($Z232="CP",$X232,IF($Z232="RA",(($X232)*QCI!$AA$3),0)),SomaAgrup)</f>
        <v>5480.1464819756011</v>
      </c>
      <c r="AB232" s="128" cm="1">
        <f t="array" aca="1" ref="AB232" ca="1">IF($C232="S",IF($Z232="OU",ROUND($X232,2),0),SomaAgrup)</f>
        <v>0</v>
      </c>
      <c r="AC232" s="565"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7" t="str" cm="1">
        <f t="array" aca="1" ref="AE232" ca="1">IF(AND($C232="S",ORÇAMENTO.CodBarra&lt;&gt;""),IF(ORÇAMENTO.Fonte="",ORÇAMENTO.CodBarra,CONCATENATE(ORÇAMENTO.Fonte," ",ORÇAMENTO.CodBarra)))</f>
        <v>SINAPI 102197</v>
      </c>
      <c r="AF232" s="12" cm="1">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14189</v>
      </c>
      <c r="AG232" s="428" cm="1">
        <f t="array" aca="1" ref="AG232" ca="1">ROUND(IF(DESONERACAO="sim",REFERENCIA.Desonerado,REFERENCIA.NaoDesonerado),2)</f>
        <v>31.66</v>
      </c>
      <c r="AH232" s="429">
        <f t="shared" ca="1" si="14"/>
        <v>0.22470000000000001</v>
      </c>
      <c r="AJ232" s="431">
        <v>302.39999999999998</v>
      </c>
      <c r="AL232" s="439"/>
      <c r="AM232" s="336">
        <f t="shared" ca="1" si="67"/>
        <v>11724.05</v>
      </c>
      <c r="AN232" s="470" cm="1">
        <f t="array" aca="1" ref="AN232" ca="1">ROUND(ORÇAMENTO.CustoUnitario*(1+$AH232),2)</f>
        <v>38.770000000000003</v>
      </c>
    </row>
    <row r="233" spans="1:40" ht="25.5" x14ac:dyDescent="0.2">
      <c r="A233" t="str">
        <f t="shared" si="1"/>
        <v>S</v>
      </c>
      <c r="B233">
        <f t="shared" ca="1" si="2"/>
        <v>4</v>
      </c>
      <c r="C233" t="str">
        <f t="shared" ca="1" si="3"/>
        <v>S</v>
      </c>
      <c r="D233">
        <f t="shared" ca="1" si="4"/>
        <v>0</v>
      </c>
      <c r="E233">
        <f ca="1">IF($C233=1,OFFSET(E233,-1,0)+MAX(1,COUNTIF(QCI!$A$13:$A$24,OFFSET(ORÇAMENTO!E233,-1,0))),OFFSET(E233,-1,0))</f>
        <v>1</v>
      </c>
      <c r="F233">
        <f t="shared" ca="1" si="5"/>
        <v>12</v>
      </c>
      <c r="G233">
        <f t="shared" ca="1" si="6"/>
        <v>2</v>
      </c>
      <c r="H233">
        <f t="shared" ca="1" si="7"/>
        <v>2</v>
      </c>
      <c r="I233">
        <f t="shared" ca="1" si="8"/>
        <v>3</v>
      </c>
      <c r="J233">
        <f t="shared" ca="1" si="61"/>
        <v>0</v>
      </c>
      <c r="K233">
        <f ca="1">IF(OR($C233="S",$C233=0),0,MATCH(OFFSET($D233,0,$C233)+IF($C233&lt;&gt;1,1,COUNTIF(QCI!$A$13:$A$24,ORÇAMENTO!E233)),OFFSET($D233,1,$C233,ROW($C$240)-ROW($C233)),0))</f>
        <v>0</v>
      </c>
      <c r="L233" s="114" t="str">
        <f t="shared" ca="1" si="10"/>
        <v>F</v>
      </c>
      <c r="M233" s="115" t="s">
        <v>705</v>
      </c>
      <c r="N233" s="116" t="str">
        <f t="shared" ca="1" si="11"/>
        <v>Serviço</v>
      </c>
      <c r="O233" s="117" t="str">
        <f t="shared" ca="1" si="12"/>
        <v>1.12.2.2.3.</v>
      </c>
      <c r="P233" s="118" t="s">
        <v>750</v>
      </c>
      <c r="Q233" s="119" t="s">
        <v>1071</v>
      </c>
      <c r="R233" s="120" t="str" cm="1">
        <f t="array" aca="1" ref="R233" ca="1">IF($C233="S",REFERENCIA.Descricao,"(digite a descrição aqui)")</f>
        <v>PINTURA TINTA DE ACABAMENTO (PIGMENTADA) ESMALTE SINTÉTICO FOSCO EM MADEIRA, 2 DEMÃOS. AF_01/2021</v>
      </c>
      <c r="S233" s="121" t="str" cm="1">
        <f t="array" aca="1" ref="S233" ca="1">REFERENCIA.Unidade</f>
        <v>M2</v>
      </c>
      <c r="T233" s="122">
        <f ca="1">OFFSET(CÁLCULO!H$15,ROW($T233)-ROW(T$15),0)</f>
        <v>302.39999999999998</v>
      </c>
      <c r="U233" s="123">
        <f t="shared" ca="1" si="69"/>
        <v>17.66</v>
      </c>
      <c r="V233" s="124" t="s">
        <v>663</v>
      </c>
      <c r="W233" s="122" cm="1">
        <f t="array" aca="1" ref="W233" ca="1">IF($C233="S",ROUND(IF(TIPOORCAMENTO="Proposto",ORÇAMENTO.CustoUnitario*(1+$AH233),ORÇAMENTO.PrecoUnitarioLicitado),15-13*$AF$10),0)</f>
        <v>21.63</v>
      </c>
      <c r="X233" s="125" cm="1">
        <f t="array" aca="1" ref="X233" ca="1">IF($C233="S",IF(OR(Import.TipoArredondamento&lt;&gt;"TransfereGOV",ACOMPANHAMENTO="BM"),VTOTAL1,SUM(OFFSET(CÁLCULO!$AA$15,ROW($X233)-ROW($X$15),1):OFFSET(CÁLCULO!$AL$15,ROW($X233)-ROW($X$15),-1))),IF($C233=0,0,ROUND(SomaAgrup,15-13*$AF$11)))</f>
        <v>6540.91</v>
      </c>
      <c r="Y233" s="126" t="s">
        <v>751</v>
      </c>
      <c r="Z233" t="str">
        <f t="shared" ca="1" si="13"/>
        <v>RA</v>
      </c>
      <c r="AA233" s="127" cm="1">
        <f t="array" aca="1" ref="AA233" ca="1">IF($C233="S",IF($Z233="CP",$X233,IF($Z233="RA",(($X233)*QCI!$AA$3),0)),SomaAgrup)</f>
        <v>3057.4029388666058</v>
      </c>
      <c r="AB233" s="128" cm="1">
        <f t="array" aca="1" ref="AB233" ca="1">IF($C233="S",IF($Z233="OU",ROUND($X233,2),0),SomaAgrup)</f>
        <v>0</v>
      </c>
      <c r="AC233" s="565"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7" t="str" cm="1">
        <f t="array" aca="1" ref="AE233" ca="1">IF(AND($C233="S",ORÇAMENTO.CodBarra&lt;&gt;""),IF(ORÇAMENTO.Fonte="",ORÇAMENTO.CodBarra,CONCATENATE(ORÇAMENTO.Fonte," ",ORÇAMENTO.CodBarra)))</f>
        <v>SINAPI 102218</v>
      </c>
      <c r="AF233" s="12" cm="1">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14208</v>
      </c>
      <c r="AG233" s="428" cm="1">
        <f t="array" aca="1" ref="AG233" ca="1">ROUND(IF(DESONERACAO="sim",REFERENCIA.Desonerado,REFERENCIA.NaoDesonerado),2)</f>
        <v>17.66</v>
      </c>
      <c r="AH233" s="429">
        <f t="shared" ca="1" si="14"/>
        <v>0.22470000000000001</v>
      </c>
      <c r="AJ233" s="431">
        <v>302.39999999999998</v>
      </c>
      <c r="AL233" s="439"/>
      <c r="AM233" s="336">
        <f t="shared" ca="1" si="67"/>
        <v>6540.91</v>
      </c>
      <c r="AN233" s="470" cm="1">
        <f t="array" aca="1" ref="AN233" ca="1">ROUND(ORÇAMENTO.CustoUnitario*(1+$AH233),2)</f>
        <v>21.63</v>
      </c>
    </row>
    <row r="234" spans="1:40" x14ac:dyDescent="0.2">
      <c r="A234">
        <f t="shared" si="1"/>
        <v>2</v>
      </c>
      <c r="B234">
        <f t="shared" ca="1" si="2"/>
        <v>2</v>
      </c>
      <c r="C234">
        <f t="shared" ca="1" si="3"/>
        <v>2</v>
      </c>
      <c r="D234">
        <f t="shared" ca="1" si="4"/>
        <v>6</v>
      </c>
      <c r="E234">
        <f ca="1">IF($C234=1,OFFSET(E234,-1,0)+MAX(1,COUNTIF(QCI!$A$13:$A$24,OFFSET(ORÇAMENTO!E234,-1,0))),OFFSET(E234,-1,0))</f>
        <v>1</v>
      </c>
      <c r="F234">
        <f t="shared" ca="1" si="5"/>
        <v>13</v>
      </c>
      <c r="G234">
        <f t="shared" ca="1" si="6"/>
        <v>0</v>
      </c>
      <c r="H234">
        <f t="shared" ca="1" si="7"/>
        <v>0</v>
      </c>
      <c r="I234">
        <f t="shared" ca="1" si="8"/>
        <v>0</v>
      </c>
      <c r="J234">
        <f t="shared" ca="1" si="61"/>
        <v>6</v>
      </c>
      <c r="K234" t="e">
        <f ca="1">IF(OR($C234="S",$C234=0),0,MATCH(OFFSET($D234,0,$C234)+IF($C234&lt;&gt;1,1,COUNTIF(QCI!$A$13:$A$24,ORÇAMENTO!E234)),OFFSET($D234,1,$C234,ROW($C$240)-ROW($C234)),0))</f>
        <v>#N/A</v>
      </c>
      <c r="L234" s="114" t="str">
        <f t="shared" ca="1" si="10"/>
        <v>F</v>
      </c>
      <c r="M234" s="115" t="s">
        <v>702</v>
      </c>
      <c r="N234" s="116" t="str">
        <f t="shared" ca="1" si="11"/>
        <v>Nível 2</v>
      </c>
      <c r="O234" s="117" t="str">
        <f t="shared" ca="1" si="12"/>
        <v>1.13.</v>
      </c>
      <c r="P234" s="118" t="s">
        <v>750</v>
      </c>
      <c r="Q234" s="119"/>
      <c r="R234" s="120" t="s">
        <v>1025</v>
      </c>
      <c r="S234" s="121" t="str" cm="1">
        <f t="array" aca="1" ref="S234" ca="1">REFERENCIA.Unidade</f>
        <v>-</v>
      </c>
      <c r="T234" s="122">
        <f ca="1">OFFSET(CÁLCULO!H$15,ROW($T234)-ROW(T$15),0)</f>
        <v>0</v>
      </c>
      <c r="U234" s="123"/>
      <c r="V234" s="124" t="s">
        <v>663</v>
      </c>
      <c r="W234" s="122" cm="1">
        <f t="array" aca="1" ref="W234" ca="1">IF($C234="S",ROUND(IF(TIPOORCAMENTO="Proposto",ORÇAMENTO.CustoUnitario*(1+$AH234),ORÇAMENTO.PrecoUnitarioLicitado),15-13*$AF$10),0)</f>
        <v>0</v>
      </c>
      <c r="X234" s="125" cm="1">
        <f t="array" aca="1" ref="X234" ca="1">IF($C234="S",IF(OR(Import.TipoArredondamento&lt;&gt;"TransfereGOV",ACOMPANHAMENTO="BM"),VTOTAL1,SUM(OFFSET(CÁLCULO!$AA$15,ROW($X234)-ROW($X$15),1):OFFSET(CÁLCULO!$AL$15,ROW($X234)-ROW($X$15),-1))),IF($C234=0,0,ROUND(SomaAgrup,15-13*$AF$11)))</f>
        <v>13927.63</v>
      </c>
      <c r="Y234" s="126" t="s">
        <v>751</v>
      </c>
      <c r="Z234" t="str">
        <f t="shared" ca="1" si="13"/>
        <v/>
      </c>
      <c r="AA234" s="127" cm="1">
        <f t="array" aca="1" ref="AA234" ca="1">IF($C234="S",IF($Z234="CP",$X234,IF($Z234="RA",(($X234)*QCI!$AA$3),0)),SomaAgrup)</f>
        <v>6510.1609551953343</v>
      </c>
      <c r="AB234" s="128" cm="1">
        <f t="array" aca="1" ref="AB234" ca="1">IF($C234="S",IF($Z234="OU",ROUND($X234,2),0),SomaAgrup)</f>
        <v>0</v>
      </c>
      <c r="AC234" s="565"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f ca="1">IF(C234&lt;=CRONO.NivelExibicao,MAX($AD$15:OFFSET(AD234,-1,0))+IF($C234&lt;&gt;1,1,MAX(1,COUNTIF(QCI!$A$13:$A$24,OFFSET($E234,-1,0)))),"")</f>
        <v>14</v>
      </c>
      <c r="AE234" s="7" t="b" cm="1">
        <f t="array" aca="1" ref="AE234" ca="1">IF(AND($C234="S",ORÇAMENTO.CodBarra&lt;&gt;""),IF(ORÇAMENTO.Fonte="",ORÇAMENTO.CodBarra,CONCATENATE(ORÇAMENTO.Fonte," ",ORÇAMENTO.CodBarra)))</f>
        <v>0</v>
      </c>
      <c r="AF234" s="12" t="str" cm="1">
        <f t="array" aca="1" ref="AF234" ca="1">IF(ISERROR(ORÇAMENTO.BancoRef),"(abra o arquivo 'Referência "&amp;Excel_BuiltIn_Database&amp;".xlsm)",IF(OR($C234&lt;&gt;"S",ORÇAMENTO.CodBarra=""),"(Sem Código)",IF(ISERROR(MATCH($AE234,INDIRECT(ORÇAMENTO.BancoRef),0)),"(Código não identificado nas referências)",MATCH($AE234,INDIRECT(ORÇAMENTO.BancoRef),0))))</f>
        <v>(Sem Código)</v>
      </c>
      <c r="AG234" s="428" cm="1">
        <f t="array" aca="1" ref="AG234" ca="1">ROUND(IF(DESONERACAO="sim",REFERENCIA.Desonerado,REFERENCIA.NaoDesonerado),2)</f>
        <v>0</v>
      </c>
      <c r="AH234" s="429">
        <f t="shared" ca="1" si="14"/>
        <v>0.22470000000000001</v>
      </c>
      <c r="AJ234" s="431"/>
      <c r="AL234" s="439"/>
      <c r="AM234" s="336">
        <f t="shared" ca="1" si="0"/>
        <v>13927.63</v>
      </c>
      <c r="AN234" s="470" cm="1">
        <f t="array" aca="1" ref="AN234" ca="1">ROUND(ORÇAMENTO.CustoUnitario*(1+$AH234),2)</f>
        <v>0</v>
      </c>
    </row>
    <row r="235" spans="1:40" ht="38.25" x14ac:dyDescent="0.2">
      <c r="A235" t="str">
        <f t="shared" si="1"/>
        <v>S</v>
      </c>
      <c r="B235">
        <f t="shared" ca="1" si="2"/>
        <v>2</v>
      </c>
      <c r="C235" t="str">
        <f t="shared" ca="1" si="3"/>
        <v>S</v>
      </c>
      <c r="D235">
        <f t="shared" ca="1" si="4"/>
        <v>0</v>
      </c>
      <c r="E235">
        <f ca="1">IF($C235=1,OFFSET(E235,-1,0)+MAX(1,COUNTIF(QCI!$A$13:$A$24,OFFSET(ORÇAMENTO!E235,-1,0))),OFFSET(E235,-1,0))</f>
        <v>1</v>
      </c>
      <c r="F235">
        <f t="shared" ca="1" si="5"/>
        <v>13</v>
      </c>
      <c r="G235">
        <f t="shared" ca="1" si="6"/>
        <v>0</v>
      </c>
      <c r="H235">
        <f t="shared" ca="1" si="7"/>
        <v>0</v>
      </c>
      <c r="I235">
        <f t="shared" ca="1" si="8"/>
        <v>1</v>
      </c>
      <c r="J235">
        <f t="shared" ca="1" si="61"/>
        <v>0</v>
      </c>
      <c r="K235">
        <f ca="1">IF(OR($C235="S",$C235=0),0,MATCH(OFFSET($D235,0,$C235)+IF($C235&lt;&gt;1,1,COUNTIF(QCI!$A$13:$A$24,ORÇAMENTO!E235)),OFFSET($D235,1,$C235,ROW($C$240)-ROW($C235)),0))</f>
        <v>0</v>
      </c>
      <c r="L235" s="114" t="str">
        <f t="shared" ca="1" si="10"/>
        <v>F</v>
      </c>
      <c r="M235" s="115" t="s">
        <v>705</v>
      </c>
      <c r="N235" s="116" t="str">
        <f t="shared" ca="1" si="11"/>
        <v>Serviço</v>
      </c>
      <c r="O235" s="117" t="str">
        <f t="shared" ca="1" si="12"/>
        <v>1.13.0.0.1.</v>
      </c>
      <c r="P235" s="118" t="s">
        <v>750</v>
      </c>
      <c r="Q235" s="119" t="s">
        <v>1060</v>
      </c>
      <c r="R235" s="120" t="str" cm="1">
        <f t="array" aca="1" ref="R235" ca="1">IF($C235="S",REFERENCIA.Descricao,"(digite a descrição aqui)")</f>
        <v>LIMPEZA DE PISO CERÂMICO/ PORCELANATO/ MÁRMORE/ GRANITO UTILIZANDO DETERGENTE NEUTRO E ESCOVAÇÃO MANUAL. AF_10/2025_PS</v>
      </c>
      <c r="S235" s="121" t="str" cm="1">
        <f t="array" aca="1" ref="S235" ca="1">REFERENCIA.Unidade</f>
        <v>M2</v>
      </c>
      <c r="T235" s="122">
        <f ca="1">OFFSET(CÁLCULO!H$15,ROW($T235)-ROW(T$15),0)</f>
        <v>1160.7</v>
      </c>
      <c r="U235" s="123">
        <f t="shared" ref="U235:U239" ca="1" si="70">AG235</f>
        <v>7.09</v>
      </c>
      <c r="V235" s="124" t="s">
        <v>663</v>
      </c>
      <c r="W235" s="122" cm="1">
        <f t="array" aca="1" ref="W235" ca="1">IF($C235="S",ROUND(IF(TIPOORCAMENTO="Proposto",ORÇAMENTO.CustoUnitario*(1+$AH235),ORÇAMENTO.PrecoUnitarioLicitado),15-13*$AF$10),0)</f>
        <v>8.68</v>
      </c>
      <c r="X235" s="125" cm="1">
        <f t="array" aca="1" ref="X235" ca="1">IF($C235="S",IF(OR(Import.TipoArredondamento&lt;&gt;"TransfereGOV",ACOMPANHAMENTO="BM"),VTOTAL1,SUM(OFFSET(CÁLCULO!$AA$15,ROW($X235)-ROW($X$15),1):OFFSET(CÁLCULO!$AL$15,ROW($X235)-ROW($X$15),-1))),IF($C235=0,0,ROUND(SomaAgrup,15-13*$AF$11)))</f>
        <v>10074.879999999999</v>
      </c>
      <c r="Y235" s="126" t="s">
        <v>751</v>
      </c>
      <c r="Z235" t="str">
        <f t="shared" ca="1" si="13"/>
        <v>RA</v>
      </c>
      <c r="AA235" s="127" cm="1">
        <f t="array" aca="1" ref="AA235" ca="1">IF($C235="S",IF($Z235="CP",$X235,IF($Z235="RA",(($X235)*QCI!$AA$3),0)),SomaAgrup)</f>
        <v>4709.2786356528968</v>
      </c>
      <c r="AB235" s="128" cm="1">
        <f t="array" aca="1" ref="AB235" ca="1">IF($C235="S",IF($Z235="OU",ROUND($X235,2),0),SomaAgrup)</f>
        <v>0</v>
      </c>
      <c r="AC235" s="565"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7" t="str" cm="1">
        <f t="array" aca="1" ref="AE235" ca="1">IF(AND($C235="S",ORÇAMENTO.CodBarra&lt;&gt;""),IF(ORÇAMENTO.Fonte="",ORÇAMENTO.CodBarra,CONCATENATE(ORÇAMENTO.Fonte," ",ORÇAMENTO.CodBarra)))</f>
        <v>SINAPI 99810</v>
      </c>
      <c r="AF235" s="12" cm="1">
        <f t="array" aca="1" ref="AF235" ca="1">IF(ISERROR(ORÇAMENTO.BancoRef),"(abra o arquivo 'Referência "&amp;Excel_BuiltIn_Database&amp;".xlsm)",IF(OR($C235&lt;&gt;"S",ORÇAMENTO.CodBarra=""),"(Sem Código)",IF(ISERROR(MATCH($AE235,INDIRECT(ORÇAMENTO.BancoRef),0)),"(Código não identificado nas referências)",MATCH($AE235,INDIRECT(ORÇAMENTO.BancoRef),0))))</f>
        <v>12964</v>
      </c>
      <c r="AG235" s="428" cm="1">
        <f t="array" aca="1" ref="AG235" ca="1">ROUND(IF(DESONERACAO="sim",REFERENCIA.Desonerado,REFERENCIA.NaoDesonerado),2)</f>
        <v>7.09</v>
      </c>
      <c r="AH235" s="429">
        <f t="shared" ca="1" si="14"/>
        <v>0.22470000000000001</v>
      </c>
      <c r="AJ235" s="431">
        <v>1160.7</v>
      </c>
      <c r="AL235" s="439"/>
      <c r="AM235" s="336">
        <f t="shared" ca="1" si="0"/>
        <v>10074.879999999999</v>
      </c>
      <c r="AN235" s="470" cm="1">
        <f t="array" aca="1" ref="AN235" ca="1">ROUND(ORÇAMENTO.CustoUnitario*(1+$AH235),2)</f>
        <v>8.68</v>
      </c>
    </row>
    <row r="236" spans="1:40" ht="38.25" x14ac:dyDescent="0.2">
      <c r="A236" t="str">
        <f t="shared" si="1"/>
        <v>S</v>
      </c>
      <c r="B236">
        <f t="shared" ca="1" si="2"/>
        <v>2</v>
      </c>
      <c r="C236" t="str">
        <f t="shared" ca="1" si="3"/>
        <v>S</v>
      </c>
      <c r="D236">
        <f t="shared" ca="1" si="4"/>
        <v>0</v>
      </c>
      <c r="E236">
        <f ca="1">IF($C236=1,OFFSET(E236,-1,0)+MAX(1,COUNTIF(QCI!$A$13:$A$24,OFFSET(ORÇAMENTO!E236,-1,0))),OFFSET(E236,-1,0))</f>
        <v>1</v>
      </c>
      <c r="F236">
        <f t="shared" ca="1" si="5"/>
        <v>13</v>
      </c>
      <c r="G236">
        <f t="shared" ca="1" si="6"/>
        <v>0</v>
      </c>
      <c r="H236">
        <f t="shared" ca="1" si="7"/>
        <v>0</v>
      </c>
      <c r="I236">
        <f t="shared" ca="1" si="8"/>
        <v>2</v>
      </c>
      <c r="J236">
        <f t="shared" ca="1" si="61"/>
        <v>0</v>
      </c>
      <c r="K236">
        <f ca="1">IF(OR($C236="S",$C236=0),0,MATCH(OFFSET($D236,0,$C236)+IF($C236&lt;&gt;1,1,COUNTIF(QCI!$A$13:$A$24,ORÇAMENTO!E236)),OFFSET($D236,1,$C236,ROW($C$240)-ROW($C236)),0))</f>
        <v>0</v>
      </c>
      <c r="L236" s="114" t="str">
        <f t="shared" ca="1" si="10"/>
        <v>F</v>
      </c>
      <c r="M236" s="115" t="s">
        <v>705</v>
      </c>
      <c r="N236" s="116" t="str">
        <f t="shared" ca="1" si="11"/>
        <v>Serviço</v>
      </c>
      <c r="O236" s="117" t="str">
        <f t="shared" ca="1" si="12"/>
        <v>1.13.0.0.2.</v>
      </c>
      <c r="P236" s="118" t="s">
        <v>750</v>
      </c>
      <c r="Q236" s="119" t="s">
        <v>1061</v>
      </c>
      <c r="R236" s="120" t="str" cm="1">
        <f t="array" aca="1" ref="R236" ca="1">IF($C236="S",REFERENCIA.Descricao,"(digite a descrição aqui)")</f>
        <v>LIMPEZA DE REVESTIMENTO CERÂMICO/ MÁRMORE/ GRANITO EM PAREDE UTILIZANDO DETERGENTE NEUTRO E ESCOVAÇÃO MANUAL. AF_10/2025_PS</v>
      </c>
      <c r="S236" s="121" t="str" cm="1">
        <f t="array" aca="1" ref="S236" ca="1">REFERENCIA.Unidade</f>
        <v>M2</v>
      </c>
      <c r="T236" s="122">
        <f ca="1">OFFSET(CÁLCULO!H$15,ROW($T236)-ROW(T$15),0)</f>
        <v>751.5</v>
      </c>
      <c r="U236" s="123">
        <f t="shared" ca="1" si="70"/>
        <v>3.35</v>
      </c>
      <c r="V236" s="124" t="s">
        <v>663</v>
      </c>
      <c r="W236" s="122" cm="1">
        <f t="array" aca="1" ref="W236" ca="1">IF($C236="S",ROUND(IF(TIPOORCAMENTO="Proposto",ORÇAMENTO.CustoUnitario*(1+$AH236),ORÇAMENTO.PrecoUnitarioLicitado),15-13*$AF$10),0)</f>
        <v>4.0999999999999996</v>
      </c>
      <c r="X236" s="125" cm="1">
        <f t="array" aca="1" ref="X236" ca="1">IF($C236="S",IF(OR(Import.TipoArredondamento&lt;&gt;"TransfereGOV",ACOMPANHAMENTO="BM"),VTOTAL1,SUM(OFFSET(CÁLCULO!$AA$15,ROW($X236)-ROW($X$15),1):OFFSET(CÁLCULO!$AL$15,ROW($X236)-ROW($X$15),-1))),IF($C236=0,0,ROUND(SomaAgrup,15-13*$AF$11)))</f>
        <v>3081.15</v>
      </c>
      <c r="Y236" s="126" t="s">
        <v>751</v>
      </c>
      <c r="Z236" t="str">
        <f t="shared" ca="1" si="13"/>
        <v>RA</v>
      </c>
      <c r="AA236" s="127" cm="1">
        <f t="array" aca="1" ref="AA236" ca="1">IF($C236="S",IF($Z236="CP",$X236,IF($Z236="RA",(($X236)*QCI!$AA$3),0)),SomaAgrup)</f>
        <v>1440.2150564812607</v>
      </c>
      <c r="AB236" s="128" cm="1">
        <f t="array" aca="1" ref="AB236" ca="1">IF($C236="S",IF($Z236="OU",ROUND($X236,2),0),SomaAgrup)</f>
        <v>0</v>
      </c>
      <c r="AC236" s="565" t="str" cm="1">
        <f t="array" aca="1" ref="AC236" ca="1">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IF(AND(TIPOORCAMENTO="Licitado",$AL236=0,$AN236&gt;0),"SEM PREÇO",
IF(AND($C236="S",$P236&lt;&gt;"",$Q236&lt;&gt;"",$U236&gt;0,AND($V236&lt;&gt;"BDI 1",$V236&lt;&gt;"BDI 2",$V236&lt;&gt;"BDI 3")),IF(ISNUMBER($V236),"JUSTIFICAR BDI","BDI"),
IF(OR(AND(import.recurso="OGU",TIPOORCAMENTO="Proposto",LEFT($O$8,5)&lt;&gt;"(N/D:",$AG236&lt;&gt;"",ORÇAMENTO.CustoUnitario&gt;$AG236),AND(TIPOORCAMENTO="LICITADO",ORÇAMENTO.PrecoUnitarioLicitado&gt;$AN236)),"ACIMA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IF(C236&lt;=CRONO.NivelExibicao,MAX($AD$15:OFFSET(AD236,-1,0))+IF($C236&lt;&gt;1,1,MAX(1,COUNTIF(QCI!$A$13:$A$24,OFFSET($E236,-1,0)))),"")</f>
        <v/>
      </c>
      <c r="AE236" s="7" t="str" cm="1">
        <f t="array" aca="1" ref="AE236" ca="1">IF(AND($C236="S",ORÇAMENTO.CodBarra&lt;&gt;""),IF(ORÇAMENTO.Fonte="",ORÇAMENTO.CodBarra,CONCATENATE(ORÇAMENTO.Fonte," ",ORÇAMENTO.CodBarra)))</f>
        <v>SINAPI 99813</v>
      </c>
      <c r="AF236" s="12" cm="1">
        <f t="array" aca="1" ref="AF236" ca="1">IF(ISERROR(ORÇAMENTO.BancoRef),"(abra o arquivo 'Referência "&amp;Excel_BuiltIn_Database&amp;".xlsm)",IF(OR($C236&lt;&gt;"S",ORÇAMENTO.CodBarra=""),"(Sem Código)",IF(ISERROR(MATCH($AE236,INDIRECT(ORÇAMENTO.BancoRef),0)),"(Código não identificado nas referências)",MATCH($AE236,INDIRECT(ORÇAMENTO.BancoRef),0))))</f>
        <v>12973</v>
      </c>
      <c r="AG236" s="428" cm="1">
        <f t="array" aca="1" ref="AG236" ca="1">ROUND(IF(DESONERACAO="sim",REFERENCIA.Desonerado,REFERENCIA.NaoDesonerado),2)</f>
        <v>3.35</v>
      </c>
      <c r="AH236" s="429">
        <f t="shared" ca="1" si="14"/>
        <v>0.22470000000000001</v>
      </c>
      <c r="AJ236" s="431">
        <v>751.5</v>
      </c>
      <c r="AL236" s="439"/>
      <c r="AM236" s="336">
        <f t="shared" ca="1" si="0"/>
        <v>3081.15</v>
      </c>
      <c r="AN236" s="470" cm="1">
        <f t="array" aca="1" ref="AN236" ca="1">ROUND(ORÇAMENTO.CustoUnitario*(1+$AH236),2)</f>
        <v>4.0999999999999996</v>
      </c>
    </row>
    <row r="237" spans="1:40" ht="25.5" x14ac:dyDescent="0.2">
      <c r="A237" t="str">
        <f t="shared" si="1"/>
        <v>S</v>
      </c>
      <c r="B237">
        <f t="shared" ca="1" si="2"/>
        <v>2</v>
      </c>
      <c r="C237" t="str">
        <f t="shared" ca="1" si="3"/>
        <v>S</v>
      </c>
      <c r="D237">
        <f t="shared" ca="1" si="4"/>
        <v>0</v>
      </c>
      <c r="E237">
        <f ca="1">IF($C237=1,OFFSET(E237,-1,0)+MAX(1,COUNTIF(QCI!$A$13:$A$24,OFFSET(ORÇAMENTO!E237,-1,0))),OFFSET(E237,-1,0))</f>
        <v>1</v>
      </c>
      <c r="F237">
        <f t="shared" ca="1" si="5"/>
        <v>13</v>
      </c>
      <c r="G237">
        <f t="shared" ca="1" si="6"/>
        <v>0</v>
      </c>
      <c r="H237">
        <f t="shared" ca="1" si="7"/>
        <v>0</v>
      </c>
      <c r="I237">
        <f t="shared" ca="1" si="8"/>
        <v>3</v>
      </c>
      <c r="J237">
        <f t="shared" ca="1" si="61"/>
        <v>0</v>
      </c>
      <c r="K237">
        <f ca="1">IF(OR($C237="S",$C237=0),0,MATCH(OFFSET($D237,0,$C237)+IF($C237&lt;&gt;1,1,COUNTIF(QCI!$A$13:$A$24,ORÇAMENTO!E237)),OFFSET($D237,1,$C237,ROW($C$240)-ROW($C237)),0))</f>
        <v>0</v>
      </c>
      <c r="L237" s="114" t="str">
        <f t="shared" ca="1" si="10"/>
        <v>F</v>
      </c>
      <c r="M237" s="115" t="s">
        <v>705</v>
      </c>
      <c r="N237" s="116" t="str">
        <f t="shared" ca="1" si="11"/>
        <v>Serviço</v>
      </c>
      <c r="O237" s="117" t="str">
        <f t="shared" ca="1" si="12"/>
        <v>1.13.0.0.3.</v>
      </c>
      <c r="P237" s="118" t="s">
        <v>750</v>
      </c>
      <c r="Q237" s="119" t="s">
        <v>1062</v>
      </c>
      <c r="R237" s="120" t="str" cm="1">
        <f t="array" aca="1" ref="R237" ca="1">IF($C237="S",REFERENCIA.Descricao,"(digite a descrição aqui)")</f>
        <v>LIMPEZA DE TANQUE OU LAVATÓRIO DE LOUÇA ISOLADO, INCLUSIVE METAIS CORRESPONDENTES. AF_10/2025_PS</v>
      </c>
      <c r="S237" s="121" t="str" cm="1">
        <f t="array" aca="1" ref="S237" ca="1">REFERENCIA.Unidade</f>
        <v>UN</v>
      </c>
      <c r="T237" s="122">
        <f ca="1">OFFSET(CÁLCULO!H$15,ROW($T237)-ROW(T$15),0)</f>
        <v>30</v>
      </c>
      <c r="U237" s="123">
        <f t="shared" ca="1" si="70"/>
        <v>9.5399999999999991</v>
      </c>
      <c r="V237" s="124" t="s">
        <v>663</v>
      </c>
      <c r="W237" s="122" cm="1">
        <f t="array" aca="1" ref="W237" ca="1">IF($C237="S",ROUND(IF(TIPOORCAMENTO="Proposto",ORÇAMENTO.CustoUnitario*(1+$AH237),ORÇAMENTO.PrecoUnitarioLicitado),15-13*$AF$10),0)</f>
        <v>11.68</v>
      </c>
      <c r="X237" s="125" cm="1">
        <f t="array" aca="1" ref="X237" ca="1">IF($C237="S",IF(OR(Import.TipoArredondamento&lt;&gt;"TransfereGOV",ACOMPANHAMENTO="BM"),VTOTAL1,SUM(OFFSET(CÁLCULO!$AA$15,ROW($X237)-ROW($X$15),1):OFFSET(CÁLCULO!$AL$15,ROW($X237)-ROW($X$15),-1))),IF($C237=0,0,ROUND(SomaAgrup,15-13*$AF$11)))</f>
        <v>350.4</v>
      </c>
      <c r="Y237" s="126" t="s">
        <v>751</v>
      </c>
      <c r="Z237" t="str">
        <f t="shared" ca="1" si="13"/>
        <v>RA</v>
      </c>
      <c r="AA237" s="127" cm="1">
        <f t="array" aca="1" ref="AA237" ca="1">IF($C237="S",IF($Z237="CP",$X237,IF($Z237="RA",(($X237)*QCI!$AA$3),0)),SomaAgrup)</f>
        <v>163.78668866852757</v>
      </c>
      <c r="AB237" s="128" cm="1">
        <f t="array" aca="1" ref="AB237" ca="1">IF($C237="S",IF($Z237="OU",ROUND($X237,2),0),SomaAgrup)</f>
        <v>0</v>
      </c>
      <c r="AC237" s="565" t="str" cm="1">
        <f t="array" aca="1" ref="AC237" ca="1">IF($N237=""," ",
IF(AND($C237&lt;&gt;"S",OR($R237="",$R237="(digite a descrição aqui)")),"DESCRIÇÃO",
IF(AND($C237="S",OR($Q237&lt;&gt;"",$T237&gt;0,$U237&gt;0),$P237=""),"FONTE",
IF(AND($C237="S",$P237&lt;&gt;"",OR($T237&gt;0,$U237&gt;0),$Q237=""),"CÓDIGO",
IF(AND($C237="S",$P237&lt;&gt;"",$Q237&lt;&gt;"",$R237="(Código não identificado nas referências)"),"CÓDIGO N/ID",
IF(AND($C237="S",OR($R237="",$R237="(digite a descrição aqui)"),OR($Q237&lt;&gt;"",$T237&gt;0,$U237&gt;0)),"DESCRIÇÃO",
IF(AND($C237="S",$P237&lt;&gt;"",$Q237&lt;&gt;"",$S237=""),"UNIDADE",
IF(AND($C237="S",$P237&lt;&gt;"",$Q237&lt;&gt;"",$U237=0),"SEM CUSTO",
IF(AND(TIPOORCAMENTO="Licitado",$AL237=0,$AN237&gt;0),"SEM PREÇO",
IF(AND($C237="S",$P237&lt;&gt;"",$Q237&lt;&gt;"",$U237&gt;0,AND($V237&lt;&gt;"BDI 1",$V237&lt;&gt;"BDI 2",$V237&lt;&gt;"BDI 3")),IF(ISNUMBER($V237),"JUSTIFICAR BDI","BDI"),
IF(OR(AND(import.recurso="OGU",TIPOORCAMENTO="Proposto",LEFT($O$8,5)&lt;&gt;"(N/D:",$AG237&lt;&gt;"",ORÇAMENTO.CustoUnitario&gt;$AG237),AND(TIPOORCAMENTO="LICITADO",ORÇAMENTO.PrecoUnitarioLicitado&gt;$AN237)),"ACIMA REF.",
IF(AND($C237="S",$P237&lt;&gt;"",$Q237&lt;&gt;"",$T237=0,$U237&gt;0),"QUANT.",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t="str">
        <f ca="1">IF(C237&lt;=CRONO.NivelExibicao,MAX($AD$15:OFFSET(AD237,-1,0))+IF($C237&lt;&gt;1,1,MAX(1,COUNTIF(QCI!$A$13:$A$24,OFFSET($E237,-1,0)))),"")</f>
        <v/>
      </c>
      <c r="AE237" s="7" t="str" cm="1">
        <f t="array" aca="1" ref="AE237" ca="1">IF(AND($C237="S",ORÇAMENTO.CodBarra&lt;&gt;""),IF(ORÇAMENTO.Fonte="",ORÇAMENTO.CodBarra,CONCATENATE(ORÇAMENTO.Fonte," ",ORÇAMENTO.CodBarra)))</f>
        <v>SINAPI 99816</v>
      </c>
      <c r="AF237" s="12" cm="1">
        <f t="array" aca="1" ref="AF237" ca="1">IF(ISERROR(ORÇAMENTO.BancoRef),"(abra o arquivo 'Referência "&amp;Excel_BuiltIn_Database&amp;".xlsm)",IF(OR($C237&lt;&gt;"S",ORÇAMENTO.CodBarra=""),"(Sem Código)",IF(ISERROR(MATCH($AE237,INDIRECT(ORÇAMENTO.BancoRef),0)),"(Código não identificado nas referências)",MATCH($AE237,INDIRECT(ORÇAMENTO.BancoRef),0))))</f>
        <v>12978</v>
      </c>
      <c r="AG237" s="428" cm="1">
        <f t="array" aca="1" ref="AG237" ca="1">ROUND(IF(DESONERACAO="sim",REFERENCIA.Desonerado,REFERENCIA.NaoDesonerado),2)</f>
        <v>9.5399999999999991</v>
      </c>
      <c r="AH237" s="429">
        <f t="shared" ca="1" si="14"/>
        <v>0.22470000000000001</v>
      </c>
      <c r="AJ237" s="431">
        <v>30</v>
      </c>
      <c r="AL237" s="439"/>
      <c r="AM237" s="336">
        <f t="shared" ca="1" si="0"/>
        <v>350.4</v>
      </c>
      <c r="AN237" s="470" cm="1">
        <f t="array" aca="1" ref="AN237" ca="1">ROUND(ORÇAMENTO.CustoUnitario*(1+$AH237),2)</f>
        <v>11.68</v>
      </c>
    </row>
    <row r="238" spans="1:40" ht="25.5" x14ac:dyDescent="0.2">
      <c r="A238" t="str">
        <f t="shared" si="1"/>
        <v>S</v>
      </c>
      <c r="B238">
        <f t="shared" ca="1" si="2"/>
        <v>2</v>
      </c>
      <c r="C238" t="str">
        <f t="shared" ca="1" si="3"/>
        <v>S</v>
      </c>
      <c r="D238">
        <f t="shared" ca="1" si="4"/>
        <v>0</v>
      </c>
      <c r="E238">
        <f ca="1">IF($C238=1,OFFSET(E238,-1,0)+MAX(1,COUNTIF(QCI!$A$13:$A$24,OFFSET(ORÇAMENTO!E238,-1,0))),OFFSET(E238,-1,0))</f>
        <v>1</v>
      </c>
      <c r="F238">
        <f t="shared" ca="1" si="5"/>
        <v>13</v>
      </c>
      <c r="G238">
        <f t="shared" ca="1" si="6"/>
        <v>0</v>
      </c>
      <c r="H238">
        <f t="shared" ca="1" si="7"/>
        <v>0</v>
      </c>
      <c r="I238">
        <f t="shared" ca="1" si="8"/>
        <v>4</v>
      </c>
      <c r="J238">
        <f t="shared" ca="1" si="61"/>
        <v>0</v>
      </c>
      <c r="K238">
        <f ca="1">IF(OR($C238="S",$C238=0),0,MATCH(OFFSET($D238,0,$C238)+IF($C238&lt;&gt;1,1,COUNTIF(QCI!$A$13:$A$24,ORÇAMENTO!E238)),OFFSET($D238,1,$C238,ROW($C$240)-ROW($C238)),0))</f>
        <v>0</v>
      </c>
      <c r="L238" s="114" t="str">
        <f t="shared" ca="1" si="10"/>
        <v>F</v>
      </c>
      <c r="M238" s="115" t="s">
        <v>705</v>
      </c>
      <c r="N238" s="116" t="str">
        <f t="shared" ca="1" si="11"/>
        <v>Serviço</v>
      </c>
      <c r="O238" s="117" t="str">
        <f t="shared" ca="1" si="12"/>
        <v>1.13.0.0.4.</v>
      </c>
      <c r="P238" s="118" t="s">
        <v>750</v>
      </c>
      <c r="Q238" s="119" t="s">
        <v>1063</v>
      </c>
      <c r="R238" s="120" t="str" cm="1">
        <f t="array" aca="1" ref="R238" ca="1">IF($C238="S",REFERENCIA.Descricao,"(digite a descrição aqui)")</f>
        <v>LIMPEZA DE BACIA SANITÁRIA, BIDÊ OU MICTÓRIO EM LOUÇA, INCLUSIVE METAIS CORRESPONDENTES. AF_10/2025_PS</v>
      </c>
      <c r="S238" s="121" t="str" cm="1">
        <f t="array" aca="1" ref="S238" ca="1">REFERENCIA.Unidade</f>
        <v>UN</v>
      </c>
      <c r="T238" s="122">
        <f ca="1">OFFSET(CÁLCULO!H$15,ROW($T238)-ROW(T$15),0)</f>
        <v>30</v>
      </c>
      <c r="U238" s="123">
        <f t="shared" ca="1" si="70"/>
        <v>6.22</v>
      </c>
      <c r="V238" s="124" t="s">
        <v>663</v>
      </c>
      <c r="W238" s="122" cm="1">
        <f t="array" aca="1" ref="W238" ca="1">IF($C238="S",ROUND(IF(TIPOORCAMENTO="Proposto",ORÇAMENTO.CustoUnitario*(1+$AH238),ORÇAMENTO.PrecoUnitarioLicitado),15-13*$AF$10),0)</f>
        <v>7.62</v>
      </c>
      <c r="X238" s="125" cm="1">
        <f t="array" aca="1" ref="X238" ca="1">IF($C238="S",IF(OR(Import.TipoArredondamento&lt;&gt;"TransfereGOV",ACOMPANHAMENTO="BM"),VTOTAL1,SUM(OFFSET(CÁLCULO!$AA$15,ROW($X238)-ROW($X$15),1):OFFSET(CÁLCULO!$AL$15,ROW($X238)-ROW($X$15),-1))),IF($C238=0,0,ROUND(SomaAgrup,15-13*$AF$11)))</f>
        <v>228.6</v>
      </c>
      <c r="Y238" s="126" t="s">
        <v>751</v>
      </c>
      <c r="Z238" t="str">
        <f t="shared" ca="1" si="13"/>
        <v>RA</v>
      </c>
      <c r="AA238" s="127" cm="1">
        <f t="array" aca="1" ref="AA238" ca="1">IF($C238="S",IF($Z238="CP",$X238,IF($Z238="RA",(($X238)*QCI!$AA$3),0)),SomaAgrup)</f>
        <v>106.8539869566935</v>
      </c>
      <c r="AB238" s="128" cm="1">
        <f t="array" aca="1" ref="AB238" ca="1">IF($C238="S",IF($Z238="OU",ROUND($X238,2),0),SomaAgrup)</f>
        <v>0</v>
      </c>
      <c r="AC238" s="565" t="str" cm="1">
        <f t="array" aca="1" ref="AC238" ca="1">IF($N238=""," ",
IF(AND($C238&lt;&gt;"S",OR($R238="",$R238="(digite a descrição aqui)")),"DESCRIÇÃO",
IF(AND($C238="S",OR($Q238&lt;&gt;"",$T238&gt;0,$U238&gt;0),$P238=""),"FONTE",
IF(AND($C238="S",$P238&lt;&gt;"",OR($T238&gt;0,$U238&gt;0),$Q238=""),"CÓDIGO",
IF(AND($C238="S",$P238&lt;&gt;"",$Q238&lt;&gt;"",$R238="(Código não identificado nas referências)"),"CÓDIGO N/ID",
IF(AND($C238="S",OR($R238="",$R238="(digite a descrição aqui)"),OR($Q238&lt;&gt;"",$T238&gt;0,$U238&gt;0)),"DESCRIÇÃO",
IF(AND($C238="S",$P238&lt;&gt;"",$Q238&lt;&gt;"",$S238=""),"UNIDADE",
IF(AND($C238="S",$P238&lt;&gt;"",$Q238&lt;&gt;"",$U238=0),"SEM CUSTO",
IF(AND(TIPOORCAMENTO="Licitado",$AL238=0,$AN238&gt;0),"SEM PREÇO",
IF(AND($C238="S",$P238&lt;&gt;"",$Q238&lt;&gt;"",$U238&gt;0,AND($V238&lt;&gt;"BDI 1",$V238&lt;&gt;"BDI 2",$V238&lt;&gt;"BDI 3")),IF(ISNUMBER($V238),"JUSTIFICAR BDI","BDI"),
IF(OR(AND(import.recurso="OGU",TIPOORCAMENTO="Proposto",LEFT($O$8,5)&lt;&gt;"(N/D:",$AG238&lt;&gt;"",ORÇAMENTO.CustoUnitario&gt;$AG238),AND(TIPOORCAMENTO="LICITADO",ORÇAMENTO.PrecoUnitarioLicitado&gt;$AN238)),"ACIMA REF.",
IF(AND($C238="S",$P238&lt;&gt;"",$Q238&lt;&gt;"",$T238=0,$U238&gt;0),"QUANT.",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t="str">
        <f ca="1">IF(C238&lt;=CRONO.NivelExibicao,MAX($AD$15:OFFSET(AD238,-1,0))+IF($C238&lt;&gt;1,1,MAX(1,COUNTIF(QCI!$A$13:$A$24,OFFSET($E238,-1,0)))),"")</f>
        <v/>
      </c>
      <c r="AE238" s="7" t="str" cm="1">
        <f t="array" aca="1" ref="AE238" ca="1">IF(AND($C238="S",ORÇAMENTO.CodBarra&lt;&gt;""),IF(ORÇAMENTO.Fonte="",ORÇAMENTO.CodBarra,CONCATENATE(ORÇAMENTO.Fonte," ",ORÇAMENTO.CodBarra)))</f>
        <v>SINAPI 99818</v>
      </c>
      <c r="AF238" s="12" cm="1">
        <f t="array" aca="1" ref="AF238" ca="1">IF(ISERROR(ORÇAMENTO.BancoRef),"(abra o arquivo 'Referência "&amp;Excel_BuiltIn_Database&amp;".xlsm)",IF(OR($C238&lt;&gt;"S",ORÇAMENTO.CodBarra=""),"(Sem Código)",IF(ISERROR(MATCH($AE238,INDIRECT(ORÇAMENTO.BancoRef),0)),"(Código não identificado nas referências)",MATCH($AE238,INDIRECT(ORÇAMENTO.BancoRef),0))))</f>
        <v>12952</v>
      </c>
      <c r="AG238" s="428" cm="1">
        <f t="array" aca="1" ref="AG238" ca="1">ROUND(IF(DESONERACAO="sim",REFERENCIA.Desonerado,REFERENCIA.NaoDesonerado),2)</f>
        <v>6.22</v>
      </c>
      <c r="AH238" s="429">
        <f t="shared" ca="1" si="14"/>
        <v>0.22470000000000001</v>
      </c>
      <c r="AJ238" s="431">
        <v>30</v>
      </c>
      <c r="AL238" s="439"/>
      <c r="AM238" s="336">
        <f t="shared" ca="1" si="0"/>
        <v>228.6</v>
      </c>
      <c r="AN238" s="470" cm="1">
        <f t="array" aca="1" ref="AN238" ca="1">ROUND(ORÇAMENTO.CustoUnitario*(1+$AH238),2)</f>
        <v>7.62</v>
      </c>
    </row>
    <row r="239" spans="1:40" ht="25.5" x14ac:dyDescent="0.2">
      <c r="A239" t="str">
        <f t="shared" si="1"/>
        <v>S</v>
      </c>
      <c r="B239">
        <f t="shared" ca="1" si="2"/>
        <v>2</v>
      </c>
      <c r="C239" t="str">
        <f t="shared" ca="1" si="3"/>
        <v>S</v>
      </c>
      <c r="D239">
        <f t="shared" ca="1" si="4"/>
        <v>0</v>
      </c>
      <c r="E239">
        <f ca="1">IF($C239=1,OFFSET(E239,-1,0)+MAX(1,COUNTIF(QCI!$A$13:$A$24,OFFSET(ORÇAMENTO!E239,-1,0))),OFFSET(E239,-1,0))</f>
        <v>1</v>
      </c>
      <c r="F239">
        <f t="shared" ca="1" si="5"/>
        <v>13</v>
      </c>
      <c r="G239">
        <f t="shared" ca="1" si="6"/>
        <v>0</v>
      </c>
      <c r="H239">
        <f t="shared" ca="1" si="7"/>
        <v>0</v>
      </c>
      <c r="I239">
        <f t="shared" ca="1" si="8"/>
        <v>5</v>
      </c>
      <c r="J239">
        <f t="shared" ca="1" si="61"/>
        <v>0</v>
      </c>
      <c r="K239">
        <f ca="1">IF(OR($C239="S",$C239=0),0,MATCH(OFFSET($D239,0,$C239)+IF($C239&lt;&gt;1,1,COUNTIF(QCI!$A$13:$A$24,ORÇAMENTO!E239)),OFFSET($D239,1,$C239,ROW($C$240)-ROW($C239)),0))</f>
        <v>0</v>
      </c>
      <c r="L239" s="114" t="str">
        <f t="shared" ca="1" si="10"/>
        <v>F</v>
      </c>
      <c r="M239" s="115" t="s">
        <v>705</v>
      </c>
      <c r="N239" s="116" t="str">
        <f t="shared" ca="1" si="11"/>
        <v>Serviço</v>
      </c>
      <c r="O239" s="117" t="str">
        <f t="shared" ca="1" si="12"/>
        <v>1.13.0.0.5.</v>
      </c>
      <c r="P239" s="118" t="s">
        <v>750</v>
      </c>
      <c r="Q239" s="119" t="s">
        <v>1064</v>
      </c>
      <c r="R239" s="120" t="str" cm="1">
        <f t="array" aca="1" ref="R239" ca="1">IF($C239="S",REFERENCIA.Descricao,"(digite a descrição aqui)")</f>
        <v>LIMPEZA DE JANELA DE VIDRO COM CAIXILHO EM AÇO/ALUMÍNIO/PVC. AF_10/2025_PS</v>
      </c>
      <c r="S239" s="121" t="str" cm="1">
        <f t="array" aca="1" ref="S239" ca="1">REFERENCIA.Unidade</f>
        <v>M2</v>
      </c>
      <c r="T239" s="122">
        <f ca="1">OFFSET(CÁLCULO!H$15,ROW($T239)-ROW(T$15),0)</f>
        <v>30</v>
      </c>
      <c r="U239" s="123">
        <f t="shared" ca="1" si="70"/>
        <v>5.24</v>
      </c>
      <c r="V239" s="124" t="s">
        <v>663</v>
      </c>
      <c r="W239" s="122" cm="1">
        <f t="array" aca="1" ref="W239" ca="1">IF($C239="S",ROUND(IF(TIPOORCAMENTO="Proposto",ORÇAMENTO.CustoUnitario*(1+$AH239),ORÇAMENTO.PrecoUnitarioLicitado),15-13*$AF$10),0)</f>
        <v>6.42</v>
      </c>
      <c r="X239" s="125" cm="1">
        <f t="array" aca="1" ref="X239" ca="1">IF($C239="S",IF(OR(Import.TipoArredondamento&lt;&gt;"TransfereGOV",ACOMPANHAMENTO="BM"),VTOTAL1,SUM(OFFSET(CÁLCULO!$AA$15,ROW($X239)-ROW($X$15),1):OFFSET(CÁLCULO!$AL$15,ROW($X239)-ROW($X$15),-1))),IF($C239=0,0,ROUND(SomaAgrup,15-13*$AF$11)))</f>
        <v>192.6</v>
      </c>
      <c r="Y239" s="126" t="s">
        <v>751</v>
      </c>
      <c r="Z239" t="str">
        <f t="shared" ca="1" si="13"/>
        <v>RA</v>
      </c>
      <c r="AA239" s="127" cm="1">
        <f t="array" aca="1" ref="AA239" ca="1">IF($C239="S",IF($Z239="CP",$X239,IF($Z239="RA",(($X239)*QCI!$AA$3),0)),SomaAgrup)</f>
        <v>90.026587435954369</v>
      </c>
      <c r="AB239" s="128" cm="1">
        <f t="array" aca="1" ref="AB239" ca="1">IF($C239="S",IF($Z239="OU",ROUND($X239,2),0),SomaAgrup)</f>
        <v>0</v>
      </c>
      <c r="AC239" s="565" t="str" cm="1">
        <f t="array" aca="1" ref="AC239" ca="1">IF($N239=""," ",
IF(AND($C239&lt;&gt;"S",OR($R239="",$R239="(digite a descrição aqui)")),"DESCRIÇÃO",
IF(AND($C239="S",OR($Q239&lt;&gt;"",$T239&gt;0,$U239&gt;0),$P239=""),"FONTE",
IF(AND($C239="S",$P239&lt;&gt;"",OR($T239&gt;0,$U239&gt;0),$Q239=""),"CÓDIGO",
IF(AND($C239="S",$P239&lt;&gt;"",$Q239&lt;&gt;"",$R239="(Código não identificado nas referências)"),"CÓDIGO N/ID",
IF(AND($C239="S",OR($R239="",$R239="(digite a descrição aqui)"),OR($Q239&lt;&gt;"",$T239&gt;0,$U239&gt;0)),"DESCRIÇÃO",
IF(AND($C239="S",$P239&lt;&gt;"",$Q239&lt;&gt;"",$S239=""),"UNIDADE",
IF(AND($C239="S",$P239&lt;&gt;"",$Q239&lt;&gt;"",$U239=0),"SEM CUSTO",
IF(AND(TIPOORCAMENTO="Licitado",$AL239=0,$AN239&gt;0),"SEM PREÇO",
IF(AND($C239="S",$P239&lt;&gt;"",$Q239&lt;&gt;"",$U239&gt;0,AND($V239&lt;&gt;"BDI 1",$V239&lt;&gt;"BDI 2",$V239&lt;&gt;"BDI 3")),IF(ISNUMBER($V239),"JUSTIFICAR BDI","BDI"),
IF(OR(AND(import.recurso="OGU",TIPOORCAMENTO="Proposto",LEFT($O$8,5)&lt;&gt;"(N/D:",$AG239&lt;&gt;"",ORÇAMENTO.CustoUnitario&gt;$AG239),AND(TIPOORCAMENTO="LICITADO",ORÇAMENTO.PrecoUnitarioLicitado&gt;$AN239)),"ACIMA REF.",
IF(AND($C239="S",$P239&lt;&gt;"",$Q239&lt;&gt;"",$T239=0,$U239&gt;0),"QUANT.",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t="str">
        <f ca="1">IF(C239&lt;=CRONO.NivelExibicao,MAX($AD$15:OFFSET(AD239,-1,0))+IF($C239&lt;&gt;1,1,MAX(1,COUNTIF(QCI!$A$13:$A$24,OFFSET($E239,-1,0)))),"")</f>
        <v/>
      </c>
      <c r="AE239" s="7" t="str" cm="1">
        <f t="array" aca="1" ref="AE239" ca="1">IF(AND($C239="S",ORÇAMENTO.CodBarra&lt;&gt;""),IF(ORÇAMENTO.Fonte="",ORÇAMENTO.CodBarra,CONCATENATE(ORÇAMENTO.Fonte," ",ORÇAMENTO.CodBarra)))</f>
        <v>SINAPI 99821</v>
      </c>
      <c r="AF239" s="12" cm="1">
        <f t="array" aca="1" ref="AF239" ca="1">IF(ISERROR(ORÇAMENTO.BancoRef),"(abra o arquivo 'Referência "&amp;Excel_BuiltIn_Database&amp;".xlsm)",IF(OR($C239&lt;&gt;"S",ORÇAMENTO.CodBarra=""),"(Sem Código)",IF(ISERROR(MATCH($AE239,INDIRECT(ORÇAMENTO.BancoRef),0)),"(Código não identificado nas referências)",MATCH($AE239,INDIRECT(ORÇAMENTO.BancoRef),0))))</f>
        <v>12959</v>
      </c>
      <c r="AG239" s="428" cm="1">
        <f t="array" aca="1" ref="AG239" ca="1">ROUND(IF(DESONERACAO="sim",REFERENCIA.Desonerado,REFERENCIA.NaoDesonerado),2)</f>
        <v>5.24</v>
      </c>
      <c r="AH239" s="429">
        <f t="shared" ca="1" si="14"/>
        <v>0.22470000000000001</v>
      </c>
      <c r="AJ239" s="431">
        <v>30</v>
      </c>
      <c r="AL239" s="439"/>
      <c r="AM239" s="336">
        <f t="shared" ca="1" si="0"/>
        <v>192.6</v>
      </c>
      <c r="AN239" s="470" cm="1">
        <f t="array" aca="1" ref="AN239" ca="1">ROUND(ORÇAMENTO.CustoUnitario*(1+$AH239),2)</f>
        <v>6.42</v>
      </c>
    </row>
    <row r="240" spans="1:40" ht="5.0999999999999996" customHeight="1" x14ac:dyDescent="0.2">
      <c r="A240">
        <v>-1</v>
      </c>
      <c r="C240">
        <v>-1</v>
      </c>
      <c r="E240">
        <v>0</v>
      </c>
      <c r="F240">
        <v>0</v>
      </c>
      <c r="G240">
        <v>0</v>
      </c>
      <c r="H240">
        <v>0</v>
      </c>
      <c r="I240">
        <v>0</v>
      </c>
      <c r="L240" s="114" t="s">
        <v>536</v>
      </c>
      <c r="M240" s="616"/>
      <c r="N240" s="424"/>
      <c r="O240" s="616"/>
      <c r="P240" s="617"/>
      <c r="Q240" s="617"/>
      <c r="R240" s="617"/>
      <c r="S240" s="617"/>
      <c r="T240" s="617"/>
      <c r="U240" s="617"/>
      <c r="V240" s="617"/>
      <c r="W240" s="617"/>
      <c r="X240" s="424"/>
      <c r="Y240" s="424"/>
      <c r="AC240" s="565" t="str" cm="1">
        <f t="array" ref="AC240">IF($N240=""," ",
IF(AND($C240&lt;&gt;"S",OR($R240="",$R240="(digite a descrição aqui)")),"DESCRIÇÃO",
IF(AND($C240="S",OR($Q240&lt;&gt;"",$T240&gt;0,$U240&gt;0),$P240=""),"FONTE",
IF(AND($C240="S",$P240&lt;&gt;"",OR($T240&gt;0,$U240&gt;0),$Q240=""),"CÓDIGO",
IF(AND($C240="S",$P240&lt;&gt;"",$Q240&lt;&gt;"",$R240="(Código não identificado nas referências)"),"CÓDIGO N/ID",
IF(AND($C240="S",OR($R240="",$R240="(digite a descrição aqui)"),OR($Q240&lt;&gt;"",$T240&gt;0,$U240&gt;0)),"DESCRIÇÃO",
IF(AND($C240="S",$P240&lt;&gt;"",$Q240&lt;&gt;"",$S240=""),"UNIDADE",
IF(AND($C240="S",$P240&lt;&gt;"",$Q240&lt;&gt;"",$U240=0),"SEM CUSTO",
IF(AND(TIPOORCAMENTO="Licitado",$AL240=0,$AN240&gt;0),"SEM PREÇO",
IF(AND($C240="S",$P240&lt;&gt;"",$Q240&lt;&gt;"",$U240&gt;0,AND($V240&lt;&gt;"BDI 1",$V240&lt;&gt;"BDI 2",$V240&lt;&gt;"BDI 3")),IF(ISNUMBER($V240),"JUSTIFICAR BDI","BDI"),
IF(OR(AND(import.recurso="OGU",TIPOORCAMENTO="Proposto",LEFT($O$8,5)&lt;&gt;"(N/D:",$AG240&lt;&gt;"",ORÇAMENTO.CustoUnitario&gt;$AG240),AND(TIPOORCAMENTO="LICITADO",ORÇAMENTO.PrecoUnitarioLicitado&gt;$AN240)),"ACIMA REF.",
IF(AND($C240="S",$P240&lt;&gt;"",$Q240&lt;&gt;"",$T240=0,$U240&gt;0),"QUANT.",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F240" s="12"/>
      <c r="AG240" s="618"/>
      <c r="AH240" s="419"/>
      <c r="AJ240" s="425"/>
      <c r="AL240" s="618"/>
      <c r="AM240" s="619"/>
      <c r="AN240" s="419"/>
    </row>
    <row r="241" spans="15:32" x14ac:dyDescent="0.2">
      <c r="AF241" s="12"/>
    </row>
    <row r="242" spans="15:32" x14ac:dyDescent="0.2">
      <c r="AF242" s="12"/>
    </row>
    <row r="243" spans="15:32" ht="14.25" x14ac:dyDescent="0.2">
      <c r="O243" s="134" t="s">
        <v>753</v>
      </c>
      <c r="Q243" s="736" t="s">
        <v>754</v>
      </c>
      <c r="R243" s="736"/>
      <c r="S243" s="736"/>
      <c r="T243" s="736"/>
      <c r="U243" s="736"/>
      <c r="V243" s="736"/>
      <c r="W243" s="736"/>
      <c r="X243" s="736"/>
      <c r="AF243" s="12"/>
    </row>
    <row r="244" spans="15:32" x14ac:dyDescent="0.2">
      <c r="AF244" s="12"/>
    </row>
    <row r="245" spans="15:32" ht="14.25" x14ac:dyDescent="0.2">
      <c r="O245" s="135" t="s">
        <v>689</v>
      </c>
      <c r="X245" s="4"/>
      <c r="AF245" s="12"/>
    </row>
    <row r="246" spans="15:32" ht="12.75" customHeight="1" x14ac:dyDescent="0.2">
      <c r="O246" s="737"/>
      <c r="P246" s="737"/>
      <c r="Q246" s="737"/>
      <c r="R246" s="737"/>
      <c r="S246" s="737"/>
      <c r="T246" s="737"/>
      <c r="U246" s="737"/>
      <c r="V246" s="737"/>
      <c r="W246" s="737"/>
      <c r="X246" s="737"/>
      <c r="AF246" s="12"/>
    </row>
    <row r="247" spans="15:32" x14ac:dyDescent="0.2">
      <c r="O247" s="737"/>
      <c r="P247" s="737"/>
      <c r="Q247" s="737"/>
      <c r="R247" s="737"/>
      <c r="S247" s="737"/>
      <c r="T247" s="737"/>
      <c r="U247" s="737"/>
      <c r="V247" s="737"/>
      <c r="W247" s="737"/>
      <c r="X247" s="737"/>
      <c r="AF247" s="12"/>
    </row>
    <row r="248" spans="15:32" x14ac:dyDescent="0.2">
      <c r="O248" s="737"/>
      <c r="P248" s="737"/>
      <c r="Q248" s="737"/>
      <c r="R248" s="737"/>
      <c r="S248" s="737"/>
      <c r="T248" s="737"/>
      <c r="U248" s="737"/>
      <c r="V248" s="737"/>
      <c r="W248" s="737"/>
      <c r="X248" s="737"/>
      <c r="AF248" s="12"/>
    </row>
    <row r="249" spans="15:32" ht="14.25" x14ac:dyDescent="0.2">
      <c r="O249" s="443"/>
      <c r="P249" s="443"/>
      <c r="Q249" s="443"/>
      <c r="R249" s="443"/>
      <c r="S249" s="443"/>
      <c r="T249" s="443"/>
      <c r="U249" s="443"/>
      <c r="V249" s="443"/>
      <c r="W249" s="443"/>
      <c r="X249" s="443"/>
      <c r="Y249" s="443"/>
      <c r="Z249" s="136"/>
      <c r="AA249" s="136"/>
      <c r="AB249" s="136"/>
      <c r="AF249" s="12"/>
    </row>
    <row r="250" spans="15:32" ht="15" x14ac:dyDescent="0.25">
      <c r="O250" s="73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50" s="738"/>
      <c r="Q250" s="738"/>
      <c r="R250" s="738"/>
      <c r="S250" s="738"/>
      <c r="T250" s="738"/>
      <c r="U250" s="738"/>
      <c r="V250" s="738"/>
      <c r="W250" s="738"/>
      <c r="X250" s="738"/>
      <c r="Y250" s="137"/>
      <c r="Z250" s="137"/>
      <c r="AA250" s="137"/>
      <c r="AB250" s="137"/>
      <c r="AF250" s="12"/>
    </row>
    <row r="251" spans="15:32" ht="15" customHeight="1" x14ac:dyDescent="0.25">
      <c r="O251" s="739" t="s">
        <v>755</v>
      </c>
      <c r="P251" s="739"/>
      <c r="Q251" s="739"/>
      <c r="R251" s="739"/>
      <c r="S251" s="739"/>
      <c r="T251" s="739"/>
      <c r="U251" s="739"/>
      <c r="V251" s="739"/>
      <c r="W251" s="739"/>
      <c r="X251" s="739"/>
      <c r="Y251" s="137"/>
      <c r="Z251" s="137"/>
      <c r="AA251" s="137"/>
      <c r="AB251" s="137"/>
      <c r="AF251" s="12"/>
    </row>
    <row r="252" spans="15:32" x14ac:dyDescent="0.2">
      <c r="AF252" s="12"/>
    </row>
    <row r="253" spans="15:32" ht="30" customHeight="1" x14ac:dyDescent="0.2">
      <c r="O253" s="685" t="str">
        <f>Import.Município</f>
        <v>SARANDI/RS</v>
      </c>
      <c r="P253" s="685"/>
      <c r="Q253" s="685"/>
      <c r="S253" s="460"/>
      <c r="T253" s="460"/>
      <c r="U253" s="460"/>
      <c r="V253" s="460"/>
      <c r="W253" s="417"/>
      <c r="AF253" s="12"/>
    </row>
    <row r="254" spans="15:32" x14ac:dyDescent="0.2">
      <c r="O254" s="9" t="s">
        <v>693</v>
      </c>
      <c r="S254" s="181" t="s">
        <v>696</v>
      </c>
      <c r="T254" s="181"/>
      <c r="U254" s="181"/>
      <c r="V254" s="181"/>
      <c r="AF254" s="12"/>
    </row>
    <row r="255" spans="15:32" x14ac:dyDescent="0.2">
      <c r="S255" s="77" t="s">
        <v>240</v>
      </c>
      <c r="T255" s="78" t="str">
        <f t="array" ref="T255:T257">Import.RespOrçamento</f>
        <v>RENATA CENCI SIGNOR</v>
      </c>
      <c r="V255" s="79"/>
      <c r="AF255" s="12"/>
    </row>
    <row r="256" spans="15:32" x14ac:dyDescent="0.2">
      <c r="O256" s="733">
        <f ca="1">DADOS!$C$25</f>
        <v>46190</v>
      </c>
      <c r="P256" s="733"/>
      <c r="Q256" s="733"/>
      <c r="S256" s="77" t="s">
        <v>243</v>
      </c>
      <c r="T256" s="78" t="str">
        <v>093177</v>
      </c>
      <c r="U256" s="79"/>
      <c r="V256" s="79"/>
      <c r="AF256" s="12"/>
    </row>
    <row r="257" spans="15:32" x14ac:dyDescent="0.2">
      <c r="O257" s="140" t="s">
        <v>694</v>
      </c>
      <c r="P257" s="1"/>
      <c r="Q257" s="1"/>
      <c r="S257" s="77" t="s">
        <v>246</v>
      </c>
      <c r="T257" s="78" t="str">
        <v>14426537</v>
      </c>
      <c r="U257" s="79"/>
      <c r="V257" s="79"/>
      <c r="AF257" s="12"/>
    </row>
    <row r="258" spans="15:32" x14ac:dyDescent="0.2">
      <c r="AF258" s="12"/>
    </row>
    <row r="259" spans="15:32" x14ac:dyDescent="0.2">
      <c r="AF259" s="12"/>
    </row>
    <row r="260" spans="15:32" x14ac:dyDescent="0.2">
      <c r="AF260" s="12"/>
    </row>
    <row r="261" spans="15:32" x14ac:dyDescent="0.2">
      <c r="AF261" s="12"/>
    </row>
    <row r="262" spans="15:32" x14ac:dyDescent="0.2">
      <c r="AF262" s="12"/>
    </row>
    <row r="263" spans="15:32" x14ac:dyDescent="0.2">
      <c r="AF263" s="12"/>
    </row>
    <row r="264" spans="15:32" x14ac:dyDescent="0.2">
      <c r="AF264" s="12"/>
    </row>
    <row r="265" spans="15:32" x14ac:dyDescent="0.2">
      <c r="AF265" s="12"/>
    </row>
    <row r="266" spans="15:32" x14ac:dyDescent="0.2">
      <c r="AF266" s="12"/>
    </row>
    <row r="267" spans="15:32" x14ac:dyDescent="0.2">
      <c r="AF267" s="12"/>
    </row>
    <row r="268" spans="15:32" x14ac:dyDescent="0.2">
      <c r="AF268" s="12"/>
    </row>
    <row r="269" spans="15:32" x14ac:dyDescent="0.2">
      <c r="AF269" s="12"/>
    </row>
    <row r="270" spans="15:32" x14ac:dyDescent="0.2">
      <c r="AF270" s="12"/>
    </row>
    <row r="271" spans="15:32" x14ac:dyDescent="0.2">
      <c r="AF271" s="12"/>
    </row>
    <row r="272" spans="15: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row r="65702" spans="32:32" x14ac:dyDescent="0.2">
      <c r="AF65702" s="12"/>
    </row>
    <row r="65703" spans="32:32" x14ac:dyDescent="0.2">
      <c r="AF65703" s="12"/>
    </row>
    <row r="65704" spans="32:32" x14ac:dyDescent="0.2">
      <c r="AF65704" s="12"/>
    </row>
    <row r="65705" spans="32:32" x14ac:dyDescent="0.2">
      <c r="AF65705" s="12"/>
    </row>
    <row r="65706" spans="32:32" x14ac:dyDescent="0.2">
      <c r="AF65706" s="12"/>
    </row>
    <row r="65707" spans="32:32" x14ac:dyDescent="0.2">
      <c r="AF65707" s="12"/>
    </row>
    <row r="65708" spans="32:32" x14ac:dyDescent="0.2">
      <c r="AF65708" s="12"/>
    </row>
    <row r="65709" spans="32:32" x14ac:dyDescent="0.2">
      <c r="AF65709" s="12"/>
    </row>
    <row r="65710" spans="32:32" x14ac:dyDescent="0.2">
      <c r="AF65710" s="12"/>
    </row>
    <row r="65711" spans="32:32" x14ac:dyDescent="0.2">
      <c r="AF65711" s="12"/>
    </row>
    <row r="65712" spans="32:32" x14ac:dyDescent="0.2">
      <c r="AF65712" s="12"/>
    </row>
    <row r="65713" spans="32:32" x14ac:dyDescent="0.2">
      <c r="AF65713" s="12"/>
    </row>
    <row r="65714" spans="32:32" x14ac:dyDescent="0.2">
      <c r="AF65714" s="12"/>
    </row>
    <row r="65715" spans="32:32" x14ac:dyDescent="0.2">
      <c r="AF65715" s="12"/>
    </row>
    <row r="65716" spans="32:32" x14ac:dyDescent="0.2">
      <c r="AF65716" s="12"/>
    </row>
    <row r="65717" spans="32:32" x14ac:dyDescent="0.2">
      <c r="AF65717" s="12"/>
    </row>
    <row r="65718" spans="32:32" x14ac:dyDescent="0.2">
      <c r="AF65718" s="12"/>
    </row>
    <row r="65719" spans="32:32" x14ac:dyDescent="0.2">
      <c r="AF65719" s="12"/>
    </row>
    <row r="65720" spans="32:32" x14ac:dyDescent="0.2">
      <c r="AF65720" s="12"/>
    </row>
    <row r="65721" spans="32:32" x14ac:dyDescent="0.2">
      <c r="AF65721" s="12"/>
    </row>
    <row r="65722" spans="32:32" x14ac:dyDescent="0.2">
      <c r="AF65722" s="12"/>
    </row>
    <row r="65723" spans="32:32" x14ac:dyDescent="0.2">
      <c r="AF65723" s="12"/>
    </row>
    <row r="65724" spans="32:32" x14ac:dyDescent="0.2">
      <c r="AF65724" s="12"/>
    </row>
    <row r="65725" spans="32:32" x14ac:dyDescent="0.2">
      <c r="AF65725" s="12"/>
    </row>
    <row r="65726" spans="32:32" x14ac:dyDescent="0.2">
      <c r="AF65726" s="12"/>
    </row>
    <row r="65727" spans="32:32" x14ac:dyDescent="0.2">
      <c r="AF65727" s="12"/>
    </row>
    <row r="65728" spans="32:32" x14ac:dyDescent="0.2">
      <c r="AF65728" s="12"/>
    </row>
    <row r="65729" spans="32:32" x14ac:dyDescent="0.2">
      <c r="AF65729" s="12"/>
    </row>
    <row r="65730" spans="32:32" x14ac:dyDescent="0.2">
      <c r="AF65730" s="12"/>
    </row>
    <row r="65731" spans="32:32" x14ac:dyDescent="0.2">
      <c r="AF65731" s="12"/>
    </row>
    <row r="65732" spans="32:32" x14ac:dyDescent="0.2">
      <c r="AF65732" s="12"/>
    </row>
    <row r="65733" spans="32:32" x14ac:dyDescent="0.2">
      <c r="AF65733" s="12"/>
    </row>
    <row r="65734" spans="32:32" x14ac:dyDescent="0.2">
      <c r="AF65734" s="12"/>
    </row>
    <row r="65735" spans="32:32" x14ac:dyDescent="0.2">
      <c r="AF65735" s="12"/>
    </row>
    <row r="65736" spans="32:32" x14ac:dyDescent="0.2">
      <c r="AF65736" s="12"/>
    </row>
    <row r="65737" spans="32:32" x14ac:dyDescent="0.2">
      <c r="AF65737" s="12"/>
    </row>
    <row r="65738" spans="32:32" x14ac:dyDescent="0.2">
      <c r="AF65738" s="12"/>
    </row>
    <row r="65739" spans="32:32" x14ac:dyDescent="0.2">
      <c r="AF65739" s="12"/>
    </row>
    <row r="65740" spans="32:32" x14ac:dyDescent="0.2">
      <c r="AF65740" s="12"/>
    </row>
    <row r="65741" spans="32:32" x14ac:dyDescent="0.2">
      <c r="AF65741" s="12"/>
    </row>
    <row r="65742" spans="32:32" x14ac:dyDescent="0.2">
      <c r="AF65742" s="12"/>
    </row>
    <row r="65743" spans="32:32" x14ac:dyDescent="0.2">
      <c r="AF65743" s="12"/>
    </row>
    <row r="65744" spans="32:32" x14ac:dyDescent="0.2">
      <c r="AF65744" s="12"/>
    </row>
    <row r="65745" spans="32:32" x14ac:dyDescent="0.2">
      <c r="AF65745" s="12"/>
    </row>
    <row r="65746" spans="32:32" x14ac:dyDescent="0.2">
      <c r="AF65746" s="12"/>
    </row>
    <row r="65747" spans="32:32" x14ac:dyDescent="0.2">
      <c r="AF65747" s="12"/>
    </row>
    <row r="65748" spans="32:32" x14ac:dyDescent="0.2">
      <c r="AF65748" s="12"/>
    </row>
    <row r="65749" spans="32:32" x14ac:dyDescent="0.2">
      <c r="AF65749" s="12"/>
    </row>
    <row r="65750" spans="32:32" x14ac:dyDescent="0.2">
      <c r="AF65750" s="12"/>
    </row>
    <row r="65751" spans="32:32" x14ac:dyDescent="0.2">
      <c r="AF65751" s="12"/>
    </row>
    <row r="65752" spans="32:32" x14ac:dyDescent="0.2">
      <c r="AF65752" s="12"/>
    </row>
    <row r="65753" spans="32:32" x14ac:dyDescent="0.2">
      <c r="AF65753" s="12"/>
    </row>
    <row r="65754" spans="32:32" x14ac:dyDescent="0.2">
      <c r="AF65754" s="12"/>
    </row>
    <row r="65755" spans="32:32" x14ac:dyDescent="0.2">
      <c r="AF65755" s="12"/>
    </row>
    <row r="65756" spans="32:32" x14ac:dyDescent="0.2">
      <c r="AF65756" s="12"/>
    </row>
    <row r="65757" spans="32:32" x14ac:dyDescent="0.2">
      <c r="AF65757" s="12"/>
    </row>
    <row r="65758" spans="32:32" x14ac:dyDescent="0.2">
      <c r="AF65758" s="12"/>
    </row>
    <row r="65759" spans="32:32" x14ac:dyDescent="0.2">
      <c r="AF65759" s="12"/>
    </row>
    <row r="65760" spans="32:32" x14ac:dyDescent="0.2">
      <c r="AF65760" s="12"/>
    </row>
    <row r="65761" spans="32:32" x14ac:dyDescent="0.2">
      <c r="AF65761" s="12"/>
    </row>
    <row r="65762" spans="32:32" x14ac:dyDescent="0.2">
      <c r="AF65762" s="12"/>
    </row>
    <row r="65763" spans="32:32" x14ac:dyDescent="0.2">
      <c r="AF65763" s="12"/>
    </row>
    <row r="65764" spans="32:32" x14ac:dyDescent="0.2">
      <c r="AF65764" s="12"/>
    </row>
    <row r="65765" spans="32:32" x14ac:dyDescent="0.2">
      <c r="AF65765" s="12"/>
    </row>
    <row r="65766" spans="32:32" x14ac:dyDescent="0.2">
      <c r="AF65766" s="12"/>
    </row>
    <row r="65767" spans="32:32" x14ac:dyDescent="0.2">
      <c r="AF65767" s="12"/>
    </row>
    <row r="65768" spans="32:32" x14ac:dyDescent="0.2">
      <c r="AF65768" s="12"/>
    </row>
    <row r="65769" spans="32:32" x14ac:dyDescent="0.2">
      <c r="AF65769" s="12"/>
    </row>
    <row r="65770" spans="32:32" x14ac:dyDescent="0.2">
      <c r="AF65770" s="12"/>
    </row>
  </sheetData>
  <sheetProtection algorithmName="SHA-512" hashValue="exR+XAmW4CSQlj42meCK2/qcD3mMwvxbslpEzVhyWvgav2FH4pHDKkUTIsux9UFzvU/I3bU6pqguRacYohZ5+g==" saltValue="9MuhaxFPCbRlxRODSfDBaA==" spinCount="100000" sheet="1" objects="1" scenarios="1" autoFilter="0"/>
  <autoFilter ref="L15:L240" xr:uid="{00000000-0001-0000-0400-000000000000}"/>
  <mergeCells count="25">
    <mergeCell ref="O256:Q256"/>
    <mergeCell ref="O15:R15"/>
    <mergeCell ref="Q243:X243"/>
    <mergeCell ref="O246:X248"/>
    <mergeCell ref="O250:X250"/>
    <mergeCell ref="O253:Q253"/>
    <mergeCell ref="O251:X251"/>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200:M202 M178:M179 M214:M218 M187:M192 M182:M184 M164:M165 M155:M159 M171:M174 M113:M119 M121:M122 M107:M110 M73:M76 M224:M239 M27:M30 M38:M39 M47:M49 M58:M59 M91:M102 M16:M24">
    <cfRule type="cellIs" dxfId="1233" priority="43956" stopIfTrue="1" operator="notEqual">
      <formula>$N14</formula>
    </cfRule>
  </conditionalFormatting>
  <conditionalFormatting sqref="N14:O14 W14 W113:X113 R113 N200:O202 W200:X202 R200:R202 N178:O179 W178:X179 R178:R179 N214:O218 W214:X218 R214:R218 N187:O192 W187:X192 R187:R192 N182:O184 W182:X184 R182:R184 W155:X155 R155 N164:O165 W164:X165 R164:R165 R158:R159 W158:X159 N155:O159 W156:W157 N171:O174 W171:X174 R171:R174 R116:R119 W116:X119 N113:O119 W114:W115 N121:O122 W121:X122 R121:R122 N107:O110 W107:X110 R107:R110 W91:X95 N73:O76 W73:X76 R73:R76 W102:X102 R102 W224:X239 N224:O239 R224:R239 N27:O30 W27:X30 R27:R30 N38:O39 W38:X39 R38:R39 N47:O49 W47:X49 R47:R49 N58:O59 W58:X59 R58:R59 W96:W101 N91:O102 X96:X99 R91:R99 N16:O24 W16:X24 R16:R24">
    <cfRule type="expression" dxfId="1232" priority="43957" stopIfTrue="1">
      <formula>$C14=1</formula>
    </cfRule>
    <cfRule type="expression" dxfId="1231" priority="43958" stopIfTrue="1">
      <formula>OR($C14=0,$C14=2,$C14=3,$C14=4)</formula>
    </cfRule>
  </conditionalFormatting>
  <conditionalFormatting sqref="U14:V14 U200:V202 U178:V179 U214:V218 U187:V192 U182:V184 U164:V165 U155:V159 U171:V174 U113:V119 U121:V122 U107:V110 U73:V76 U224:V239 U27:V30 U38:V39 U47:V49 U58:V59 U91:V102 U16:V24">
    <cfRule type="expression" dxfId="1230" priority="43959" stopIfTrue="1">
      <formula>$C14=1</formula>
    </cfRule>
    <cfRule type="expression" dxfId="1229" priority="43960" stopIfTrue="1">
      <formula>OR($C14=0,$C14=2,$C14=3,$C14=4)</formula>
    </cfRule>
    <cfRule type="expression" dxfId="1228" priority="43961" stopIfTrue="1">
      <formula>AND(TIPOORCAMENTO="Licitado",$C14&lt;&gt;"L",$C14&lt;&gt;-1)</formula>
    </cfRule>
  </conditionalFormatting>
  <conditionalFormatting sqref="P14:Q14 S14:T14 Y14 AG14:AH14 AG200:AH202 Y200:Y202 S200:T202 P200:Q202 P178:Q179 S178:T179 Y178:Y179 AG178:AH179 P214:Q218 S214:T218 Y214:Y218 AG214:AH218 P187:Q192 S187:T192 Y187:Y192 AG187:AH192 P182:Q184 S182:T184 Y182:Y184 AG182:AH184 P164:Q165 S164:T165 Y164:Y165 AG164:AH165 P155:Q159 S155:T159 Y155:Y159 AG155:AH159 AG171:AH174 Y171:Y174 S171:T174 P171:Q174 P113:Q119 S113:T119 Y113:Y119 AG113:AH119 AG121:AH122 Y121:Y122 S121:T122 P121:Q122 P107:Q110 S107:T110 Y107:Y110 AG107:AH110 P73:Q76 S73:T76 Y73:Y76 AG73:AH76 P224:Q239 S224:T239 Y224:Y239 AG224:AH239 P27:Q30 S27:T30 Y27:Y30 AG27:AH30 P38:Q39 S38:T39 Y38:Y39 AG38:AH39 P47:Q49 S47:T49 Y47:Y49 AG47:AH49 P58:Q59 S58:T59 Y58:Y59 AG58:AH59 P91:Q102 S91:T102 Y91:Y102 AG91:AH102 P16:Q24 S16:T24 Y16:Y24 AG16:AH24">
    <cfRule type="expression" dxfId="1227" priority="43962" stopIfTrue="1">
      <formula>$C14=1</formula>
    </cfRule>
    <cfRule type="expression" dxfId="1226" priority="43963" stopIfTrue="1">
      <formula>OR($C14=0,$C14=2,$C14=3,$C14=4)</formula>
    </cfRule>
  </conditionalFormatting>
  <conditionalFormatting sqref="AJ69:AJ240 AJ7:AJ67">
    <cfRule type="expression" dxfId="1225" priority="43964" stopIfTrue="1">
      <formula>OR(ACOMPANHAMENTO&lt;&gt;"BM",TIPOORCAMENTO="Licitado")</formula>
    </cfRule>
    <cfRule type="expression" dxfId="1224" priority="43965" stopIfTrue="1">
      <formula>$C7=1</formula>
    </cfRule>
    <cfRule type="expression" dxfId="1223" priority="43966" stopIfTrue="1">
      <formula>OR(AND(ISNUMBER($C7),$C7=0),$C7=2,$C7=3,$C7=4)</formula>
    </cfRule>
  </conditionalFormatting>
  <conditionalFormatting sqref="AL69:AL240 AL7:AL67">
    <cfRule type="expression" dxfId="1222" priority="43967" stopIfTrue="1">
      <formula>TIPOORCAMENTO="PROPOSTO"</formula>
    </cfRule>
    <cfRule type="expression" dxfId="1221" priority="43968" stopIfTrue="1">
      <formula>$C7=1</formula>
    </cfRule>
    <cfRule type="expression" dxfId="1220" priority="43969" stopIfTrue="1">
      <formula>OR(AND(ISNUMBER($C7),$C7=0),$C7=2,$C7=3,$C7=4)</formula>
    </cfRule>
  </conditionalFormatting>
  <conditionalFormatting sqref="O8:P8">
    <cfRule type="expression" dxfId="1219" priority="43973" stopIfTrue="1">
      <formula>ISERROR(INDIRECT($F$9))</formula>
    </cfRule>
  </conditionalFormatting>
  <conditionalFormatting sqref="S7:V8">
    <cfRule type="expression" dxfId="1218" priority="43974" stopIfTrue="1">
      <formula>TIPOORCAMENTO="Proposto"</formula>
    </cfRule>
  </conditionalFormatting>
  <conditionalFormatting sqref="S9:X9">
    <cfRule type="expression" dxfId="1217" priority="43921" stopIfTrue="1">
      <formula>TIPOORCAMENTO="Proposto"</formula>
    </cfRule>
  </conditionalFormatting>
  <conditionalFormatting sqref="AM69:AN240 AM7:AN67">
    <cfRule type="expression" dxfId="1216" priority="43970" stopIfTrue="1">
      <formula>TIPOORCAMENTO="PROPOSTO"</formula>
    </cfRule>
    <cfRule type="expression" dxfId="1215" priority="43971" stopIfTrue="1">
      <formula>$C7=1</formula>
    </cfRule>
    <cfRule type="expression" dxfId="1214" priority="43972" stopIfTrue="1">
      <formula>OR(AND(ISNUMBER($C7),$C7=0),$C7=2,$C7=3,$C7=4)</formula>
    </cfRule>
  </conditionalFormatting>
  <conditionalFormatting sqref="X14">
    <cfRule type="expression" dxfId="1213" priority="29546" stopIfTrue="1">
      <formula>$C14=1</formula>
    </cfRule>
    <cfRule type="expression" dxfId="1212" priority="29547" stopIfTrue="1">
      <formula>OR($C14=0,$C14=2,$C14=3,$C14=4)</formula>
    </cfRule>
  </conditionalFormatting>
  <conditionalFormatting sqref="AC11">
    <cfRule type="cellIs" dxfId="1211" priority="20381" operator="equal">
      <formula>"OK"</formula>
    </cfRule>
  </conditionalFormatting>
  <conditionalFormatting sqref="R14">
    <cfRule type="expression" dxfId="1210" priority="5313" stopIfTrue="1">
      <formula>$C14=1</formula>
    </cfRule>
    <cfRule type="expression" dxfId="1209" priority="5314" stopIfTrue="1">
      <formula>OR($C14=0,$C14=2,$C14=3,$C14=4)</formula>
    </cfRule>
  </conditionalFormatting>
  <conditionalFormatting sqref="R14 R224:R227 R234:R239 R113:R119 R121:R122 R73:R76 R102 R27:R30 R38:R39 R47:R49 R96:R99 R16:R24">
    <cfRule type="beginsWith" dxfId="1208" priority="5312" operator="beginsWith" text="(">
      <formula>LEFT(R14,LEN("("))="("</formula>
    </cfRule>
  </conditionalFormatting>
  <conditionalFormatting sqref="M25 M103 M111:M112 M106">
    <cfRule type="cellIs" dxfId="1207" priority="1232" stopIfTrue="1" operator="notEqual">
      <formula>$N25</formula>
    </cfRule>
  </conditionalFormatting>
  <conditionalFormatting sqref="N25:O25 W25 W103 N103:O103 N111:O112 W111:W112 N106:O106 W106">
    <cfRule type="expression" dxfId="1206" priority="1233" stopIfTrue="1">
      <formula>$C25=1</formula>
    </cfRule>
    <cfRule type="expression" dxfId="1205" priority="1234" stopIfTrue="1">
      <formula>OR($C25=0,$C25=2,$C25=3,$C25=4)</formula>
    </cfRule>
  </conditionalFormatting>
  <conditionalFormatting sqref="U25:V25 U103:V103 U111:V112 U106:V106">
    <cfRule type="expression" dxfId="1204" priority="1235" stopIfTrue="1">
      <formula>$C25=1</formula>
    </cfRule>
    <cfRule type="expression" dxfId="1203" priority="1236" stopIfTrue="1">
      <formula>OR($C25=0,$C25=2,$C25=3,$C25=4)</formula>
    </cfRule>
    <cfRule type="expression" dxfId="1202" priority="1237" stopIfTrue="1">
      <formula>AND(TIPOORCAMENTO="Licitado",$C25&lt;&gt;"L",$C25&lt;&gt;-1)</formula>
    </cfRule>
  </conditionalFormatting>
  <conditionalFormatting sqref="P25:Q25 S25:T25 Y25 AG25:AH25 AG103:AH103 Y103 S103:T103 P103:Q103 P111:Q112 S111:T112 Y111:Y112 AG111:AH112 P106:Q106 S106:T106 Y106 AG106:AH106">
    <cfRule type="expression" dxfId="1201" priority="1238" stopIfTrue="1">
      <formula>$C25=1</formula>
    </cfRule>
    <cfRule type="expression" dxfId="1200" priority="1239" stopIfTrue="1">
      <formula>OR($C25=0,$C25=2,$C25=3,$C25=4)</formula>
    </cfRule>
  </conditionalFormatting>
  <conditionalFormatting sqref="X25 X103 X111:X112 X106">
    <cfRule type="expression" dxfId="1199" priority="1230" stopIfTrue="1">
      <formula>$C25=1</formula>
    </cfRule>
    <cfRule type="expression" dxfId="1198" priority="1231" stopIfTrue="1">
      <formula>OR($C25=0,$C25=2,$C25=3,$C25=4)</formula>
    </cfRule>
  </conditionalFormatting>
  <conditionalFormatting sqref="R25 R103 R111:R112 R106">
    <cfRule type="expression" dxfId="1197" priority="1228" stopIfTrue="1">
      <formula>$C25=1</formula>
    </cfRule>
    <cfRule type="expression" dxfId="1196" priority="1229" stopIfTrue="1">
      <formula>OR($C25=0,$C25=2,$C25=3,$C25=4)</formula>
    </cfRule>
  </conditionalFormatting>
  <conditionalFormatting sqref="R25 R103 R111:R112 R106">
    <cfRule type="beginsWith" dxfId="1195" priority="1227" operator="beginsWith" text="(">
      <formula>LEFT(R25,LEN("("))="("</formula>
    </cfRule>
  </conditionalFormatting>
  <conditionalFormatting sqref="M132:M133 M219:M220 M175:M176 M193:M194 M222">
    <cfRule type="cellIs" dxfId="1194" priority="1219" stopIfTrue="1" operator="notEqual">
      <formula>$N132</formula>
    </cfRule>
  </conditionalFormatting>
  <conditionalFormatting sqref="N132:O133 W132:W133 W219:W220 N219:O220 W175:W176 N175:O176 N193:O194 W193:W194 N222:O222 W222">
    <cfRule type="expression" dxfId="1193" priority="1220" stopIfTrue="1">
      <formula>$C132=1</formula>
    </cfRule>
    <cfRule type="expression" dxfId="1192" priority="1221" stopIfTrue="1">
      <formula>OR($C132=0,$C132=2,$C132=3,$C132=4)</formula>
    </cfRule>
  </conditionalFormatting>
  <conditionalFormatting sqref="U132:V133 U219:V220 U175:V176 U193:V194 U222:V222">
    <cfRule type="expression" dxfId="1191" priority="1222" stopIfTrue="1">
      <formula>$C132=1</formula>
    </cfRule>
    <cfRule type="expression" dxfId="1190" priority="1223" stopIfTrue="1">
      <formula>OR($C132=0,$C132=2,$C132=3,$C132=4)</formula>
    </cfRule>
    <cfRule type="expression" dxfId="1189" priority="1224" stopIfTrue="1">
      <formula>AND(TIPOORCAMENTO="Licitado",$C132&lt;&gt;"L",$C132&lt;&gt;-1)</formula>
    </cfRule>
  </conditionalFormatting>
  <conditionalFormatting sqref="P132:Q133 S132:T133 Y132:Y133 AG132:AH133 AG219:AH220 Y219:Y220 S219:T220 P219:Q220 AG175:AH176 Y175:Y176 S175:T176 P175:Q176 P193:Q194 S193:T194 Y193:Y194 AG193:AH194 P222:Q222 S222:T222 Y222 AG222:AH222">
    <cfRule type="expression" dxfId="1188" priority="1225" stopIfTrue="1">
      <formula>$C132=1</formula>
    </cfRule>
    <cfRule type="expression" dxfId="1187" priority="1226" stopIfTrue="1">
      <formula>OR($C132=0,$C132=2,$C132=3,$C132=4)</formula>
    </cfRule>
  </conditionalFormatting>
  <conditionalFormatting sqref="X132:X133 X219:X220 X175:X176 X193:X194 X222">
    <cfRule type="expression" dxfId="1186" priority="1217" stopIfTrue="1">
      <formula>$C132=1</formula>
    </cfRule>
    <cfRule type="expression" dxfId="1185" priority="1218" stopIfTrue="1">
      <formula>OR($C132=0,$C132=2,$C132=3,$C132=4)</formula>
    </cfRule>
  </conditionalFormatting>
  <conditionalFormatting sqref="R132:R133 R219:R220 R175:R176 R193:R194 R222">
    <cfRule type="expression" dxfId="1184" priority="1215" stopIfTrue="1">
      <formula>$C132=1</formula>
    </cfRule>
    <cfRule type="expression" dxfId="1183" priority="1216" stopIfTrue="1">
      <formula>OR($C132=0,$C132=2,$C132=3,$C132=4)</formula>
    </cfRule>
  </conditionalFormatting>
  <conditionalFormatting sqref="R132:R133 R219:R220 R175:R176 R193:R194 R222">
    <cfRule type="beginsWith" dxfId="1182" priority="1214" operator="beginsWith" text="(">
      <formula>LEFT(R132,LEN("("))="("</formula>
    </cfRule>
  </conditionalFormatting>
  <conditionalFormatting sqref="M223">
    <cfRule type="cellIs" dxfId="1181" priority="1206" stopIfTrue="1" operator="notEqual">
      <formula>$N223</formula>
    </cfRule>
  </conditionalFormatting>
  <conditionalFormatting sqref="N223:O223 W223">
    <cfRule type="expression" dxfId="1180" priority="1207" stopIfTrue="1">
      <formula>$C223=1</formula>
    </cfRule>
    <cfRule type="expression" dxfId="1179" priority="1208" stopIfTrue="1">
      <formula>OR($C223=0,$C223=2,$C223=3,$C223=4)</formula>
    </cfRule>
  </conditionalFormatting>
  <conditionalFormatting sqref="U223:V223">
    <cfRule type="expression" dxfId="1178" priority="1209" stopIfTrue="1">
      <formula>$C223=1</formula>
    </cfRule>
    <cfRule type="expression" dxfId="1177" priority="1210" stopIfTrue="1">
      <formula>OR($C223=0,$C223=2,$C223=3,$C223=4)</formula>
    </cfRule>
    <cfRule type="expression" dxfId="1176" priority="1211" stopIfTrue="1">
      <formula>AND(TIPOORCAMENTO="Licitado",$C223&lt;&gt;"L",$C223&lt;&gt;-1)</formula>
    </cfRule>
  </conditionalFormatting>
  <conditionalFormatting sqref="P223:Q223 S223:T223 Y223 AG223:AH223">
    <cfRule type="expression" dxfId="1175" priority="1212" stopIfTrue="1">
      <formula>$C223=1</formula>
    </cfRule>
    <cfRule type="expression" dxfId="1174" priority="1213" stopIfTrue="1">
      <formula>OR($C223=0,$C223=2,$C223=3,$C223=4)</formula>
    </cfRule>
  </conditionalFormatting>
  <conditionalFormatting sqref="X223">
    <cfRule type="expression" dxfId="1173" priority="1204" stopIfTrue="1">
      <formula>$C223=1</formula>
    </cfRule>
    <cfRule type="expression" dxfId="1172" priority="1205" stopIfTrue="1">
      <formula>OR($C223=0,$C223=2,$C223=3,$C223=4)</formula>
    </cfRule>
  </conditionalFormatting>
  <conditionalFormatting sqref="R223">
    <cfRule type="expression" dxfId="1171" priority="1202" stopIfTrue="1">
      <formula>$C223=1</formula>
    </cfRule>
    <cfRule type="expression" dxfId="1170" priority="1203" stopIfTrue="1">
      <formula>OR($C223=0,$C223=2,$C223=3,$C223=4)</formula>
    </cfRule>
  </conditionalFormatting>
  <conditionalFormatting sqref="R223">
    <cfRule type="beginsWith" dxfId="1169" priority="1201" operator="beginsWith" text="(">
      <formula>LEFT(R223,LEN("("))="("</formula>
    </cfRule>
  </conditionalFormatting>
  <conditionalFormatting sqref="M26 M45:M46 M55:M56 M62:M63 M31:M32">
    <cfRule type="cellIs" dxfId="1168" priority="881" stopIfTrue="1" operator="notEqual">
      <formula>$N26</formula>
    </cfRule>
  </conditionalFormatting>
  <conditionalFormatting sqref="N26:O26 W26 W45:W46 N45:O46 N55:O56 W55:W56 W62:W63 N62:O63 W31:W32 N31:O32">
    <cfRule type="expression" dxfId="1167" priority="882" stopIfTrue="1">
      <formula>$C26=1</formula>
    </cfRule>
    <cfRule type="expression" dxfId="1166" priority="883" stopIfTrue="1">
      <formula>OR($C26=0,$C26=2,$C26=3,$C26=4)</formula>
    </cfRule>
  </conditionalFormatting>
  <conditionalFormatting sqref="U26:V26 U45:V46 U55:V56 U62:V63 U31:V32">
    <cfRule type="expression" dxfId="1165" priority="884" stopIfTrue="1">
      <formula>$C26=1</formula>
    </cfRule>
    <cfRule type="expression" dxfId="1164" priority="885" stopIfTrue="1">
      <formula>OR($C26=0,$C26=2,$C26=3,$C26=4)</formula>
    </cfRule>
    <cfRule type="expression" dxfId="1163" priority="886" stopIfTrue="1">
      <formula>AND(TIPOORCAMENTO="Licitado",$C26&lt;&gt;"L",$C26&lt;&gt;-1)</formula>
    </cfRule>
  </conditionalFormatting>
  <conditionalFormatting sqref="P26:Q26 S26:T26 Y26 AG26:AH26 AG45:AH46 Y45:Y46 S45:T46 P45:Q46 P55:Q56 S55:T56 Y55:Y56 AG55:AH56 AG62:AH63 Y62:Y63 S62:T63 P62:Q63 AG31:AH32 Y31:Y32 S31:T32 P31:Q32">
    <cfRule type="expression" dxfId="1162" priority="887" stopIfTrue="1">
      <formula>$C26=1</formula>
    </cfRule>
    <cfRule type="expression" dxfId="1161" priority="888" stopIfTrue="1">
      <formula>OR($C26=0,$C26=2,$C26=3,$C26=4)</formula>
    </cfRule>
  </conditionalFormatting>
  <conditionalFormatting sqref="X26 X45:X46 X55:X56 X62:X63 X31:X32">
    <cfRule type="expression" dxfId="1160" priority="879" stopIfTrue="1">
      <formula>$C26=1</formula>
    </cfRule>
    <cfRule type="expression" dxfId="1159" priority="880" stopIfTrue="1">
      <formula>OR($C26=0,$C26=2,$C26=3,$C26=4)</formula>
    </cfRule>
  </conditionalFormatting>
  <conditionalFormatting sqref="R26 R45:R46 R55:R56 R62:R63 R31:R32">
    <cfRule type="expression" dxfId="1158" priority="877" stopIfTrue="1">
      <formula>$C26=1</formula>
    </cfRule>
    <cfRule type="expression" dxfId="1157" priority="878" stopIfTrue="1">
      <formula>OR($C26=0,$C26=2,$C26=3,$C26=4)</formula>
    </cfRule>
  </conditionalFormatting>
  <conditionalFormatting sqref="R26 R45:R46 R55:R56 R62:R63 R31:R32">
    <cfRule type="beginsWith" dxfId="1156" priority="876" operator="beginsWith" text="(">
      <formula>LEFT(R26,LEN("("))="("</formula>
    </cfRule>
  </conditionalFormatting>
  <conditionalFormatting sqref="M82:M83">
    <cfRule type="cellIs" dxfId="1155" priority="855" stopIfTrue="1" operator="notEqual">
      <formula>$N82</formula>
    </cfRule>
  </conditionalFormatting>
  <conditionalFormatting sqref="N82:O83 W82:W83">
    <cfRule type="expression" dxfId="1154" priority="856" stopIfTrue="1">
      <formula>$C82=1</formula>
    </cfRule>
    <cfRule type="expression" dxfId="1153" priority="857" stopIfTrue="1">
      <formula>OR($C82=0,$C82=2,$C82=3,$C82=4)</formula>
    </cfRule>
  </conditionalFormatting>
  <conditionalFormatting sqref="U82:V83">
    <cfRule type="expression" dxfId="1152" priority="858" stopIfTrue="1">
      <formula>$C82=1</formula>
    </cfRule>
    <cfRule type="expression" dxfId="1151" priority="859" stopIfTrue="1">
      <formula>OR($C82=0,$C82=2,$C82=3,$C82=4)</formula>
    </cfRule>
    <cfRule type="expression" dxfId="1150" priority="860" stopIfTrue="1">
      <formula>AND(TIPOORCAMENTO="Licitado",$C82&lt;&gt;"L",$C82&lt;&gt;-1)</formula>
    </cfRule>
  </conditionalFormatting>
  <conditionalFormatting sqref="P82:Q83 S82:T83 Y82:Y83 AG82:AH83">
    <cfRule type="expression" dxfId="1149" priority="861" stopIfTrue="1">
      <formula>$C82=1</formula>
    </cfRule>
    <cfRule type="expression" dxfId="1148" priority="862" stopIfTrue="1">
      <formula>OR($C82=0,$C82=2,$C82=3,$C82=4)</formula>
    </cfRule>
  </conditionalFormatting>
  <conditionalFormatting sqref="X82:X83">
    <cfRule type="expression" dxfId="1147" priority="853" stopIfTrue="1">
      <formula>$C82=1</formula>
    </cfRule>
    <cfRule type="expression" dxfId="1146" priority="854" stopIfTrue="1">
      <formula>OR($C82=0,$C82=2,$C82=3,$C82=4)</formula>
    </cfRule>
  </conditionalFormatting>
  <conditionalFormatting sqref="R82:R83">
    <cfRule type="expression" dxfId="1145" priority="851" stopIfTrue="1">
      <formula>$C82=1</formula>
    </cfRule>
    <cfRule type="expression" dxfId="1144" priority="852" stopIfTrue="1">
      <formula>OR($C82=0,$C82=2,$C82=3,$C82=4)</formula>
    </cfRule>
  </conditionalFormatting>
  <conditionalFormatting sqref="R82:R83 R94:R95">
    <cfRule type="beginsWith" dxfId="1143" priority="850" operator="beginsWith" text="(">
      <formula>LEFT(R82,LEN("("))="("</formula>
    </cfRule>
  </conditionalFormatting>
  <conditionalFormatting sqref="M77:M78">
    <cfRule type="cellIs" dxfId="1142" priority="829" stopIfTrue="1" operator="notEqual">
      <formula>$N77</formula>
    </cfRule>
  </conditionalFormatting>
  <conditionalFormatting sqref="N77:O78 W77:W78">
    <cfRule type="expression" dxfId="1141" priority="830" stopIfTrue="1">
      <formula>$C77=1</formula>
    </cfRule>
    <cfRule type="expression" dxfId="1140" priority="831" stopIfTrue="1">
      <formula>OR($C77=0,$C77=2,$C77=3,$C77=4)</formula>
    </cfRule>
  </conditionalFormatting>
  <conditionalFormatting sqref="U77:V78">
    <cfRule type="expression" dxfId="1139" priority="832" stopIfTrue="1">
      <formula>$C77=1</formula>
    </cfRule>
    <cfRule type="expression" dxfId="1138" priority="833" stopIfTrue="1">
      <formula>OR($C77=0,$C77=2,$C77=3,$C77=4)</formula>
    </cfRule>
    <cfRule type="expression" dxfId="1137" priority="834" stopIfTrue="1">
      <formula>AND(TIPOORCAMENTO="Licitado",$C77&lt;&gt;"L",$C77&lt;&gt;-1)</formula>
    </cfRule>
  </conditionalFormatting>
  <conditionalFormatting sqref="P77:Q78 S77:T78 Y77:Y78 AG77:AH78">
    <cfRule type="expression" dxfId="1136" priority="835" stopIfTrue="1">
      <formula>$C77=1</formula>
    </cfRule>
    <cfRule type="expression" dxfId="1135" priority="836" stopIfTrue="1">
      <formula>OR($C77=0,$C77=2,$C77=3,$C77=4)</formula>
    </cfRule>
  </conditionalFormatting>
  <conditionalFormatting sqref="X77:X78">
    <cfRule type="expression" dxfId="1134" priority="827" stopIfTrue="1">
      <formula>$C77=1</formula>
    </cfRule>
    <cfRule type="expression" dxfId="1133" priority="828" stopIfTrue="1">
      <formula>OR($C77=0,$C77=2,$C77=3,$C77=4)</formula>
    </cfRule>
  </conditionalFormatting>
  <conditionalFormatting sqref="R77:R78">
    <cfRule type="expression" dxfId="1132" priority="825" stopIfTrue="1">
      <formula>$C77=1</formula>
    </cfRule>
    <cfRule type="expression" dxfId="1131" priority="826" stopIfTrue="1">
      <formula>OR($C77=0,$C77=2,$C77=3,$C77=4)</formula>
    </cfRule>
  </conditionalFormatting>
  <conditionalFormatting sqref="R77:R78">
    <cfRule type="beginsWith" dxfId="1130" priority="824" operator="beginsWith" text="(">
      <formula>LEFT(R77,LEN("("))="("</formula>
    </cfRule>
  </conditionalFormatting>
  <conditionalFormatting sqref="M40:M41">
    <cfRule type="cellIs" dxfId="1129" priority="816" stopIfTrue="1" operator="notEqual">
      <formula>$N40</formula>
    </cfRule>
  </conditionalFormatting>
  <conditionalFormatting sqref="N40:O41 W40:W41">
    <cfRule type="expression" dxfId="1128" priority="817" stopIfTrue="1">
      <formula>$C40=1</formula>
    </cfRule>
    <cfRule type="expression" dxfId="1127" priority="818" stopIfTrue="1">
      <formula>OR($C40=0,$C40=2,$C40=3,$C40=4)</formula>
    </cfRule>
  </conditionalFormatting>
  <conditionalFormatting sqref="U40:V41">
    <cfRule type="expression" dxfId="1126" priority="819" stopIfTrue="1">
      <formula>$C40=1</formula>
    </cfRule>
    <cfRule type="expression" dxfId="1125" priority="820" stopIfTrue="1">
      <formula>OR($C40=0,$C40=2,$C40=3,$C40=4)</formula>
    </cfRule>
    <cfRule type="expression" dxfId="1124" priority="821" stopIfTrue="1">
      <formula>AND(TIPOORCAMENTO="Licitado",$C40&lt;&gt;"L",$C40&lt;&gt;-1)</formula>
    </cfRule>
  </conditionalFormatting>
  <conditionalFormatting sqref="P40:Q41 S40:T41 Y40:Y41 AG40:AH41">
    <cfRule type="expression" dxfId="1123" priority="822" stopIfTrue="1">
      <formula>$C40=1</formula>
    </cfRule>
    <cfRule type="expression" dxfId="1122" priority="823" stopIfTrue="1">
      <formula>OR($C40=0,$C40=2,$C40=3,$C40=4)</formula>
    </cfRule>
  </conditionalFormatting>
  <conditionalFormatting sqref="X40:X41">
    <cfRule type="expression" dxfId="1121" priority="814" stopIfTrue="1">
      <formula>$C40=1</formula>
    </cfRule>
    <cfRule type="expression" dxfId="1120" priority="815" stopIfTrue="1">
      <formula>OR($C40=0,$C40=2,$C40=3,$C40=4)</formula>
    </cfRule>
  </conditionalFormatting>
  <conditionalFormatting sqref="R40:R41">
    <cfRule type="expression" dxfId="1119" priority="812" stopIfTrue="1">
      <formula>$C40=1</formula>
    </cfRule>
    <cfRule type="expression" dxfId="1118" priority="813" stopIfTrue="1">
      <formula>OR($C40=0,$C40=2,$C40=3,$C40=4)</formula>
    </cfRule>
  </conditionalFormatting>
  <conditionalFormatting sqref="R40:R41">
    <cfRule type="beginsWith" dxfId="1117" priority="811" operator="beginsWith" text="(">
      <formula>LEFT(R40,LEN("("))="("</formula>
    </cfRule>
  </conditionalFormatting>
  <conditionalFormatting sqref="M50:M51">
    <cfRule type="cellIs" dxfId="1116" priority="803" stopIfTrue="1" operator="notEqual">
      <formula>$N50</formula>
    </cfRule>
  </conditionalFormatting>
  <conditionalFormatting sqref="N50:O51 W50:W51">
    <cfRule type="expression" dxfId="1115" priority="804" stopIfTrue="1">
      <formula>$C50=1</formula>
    </cfRule>
    <cfRule type="expression" dxfId="1114" priority="805" stopIfTrue="1">
      <formula>OR($C50=0,$C50=2,$C50=3,$C50=4)</formula>
    </cfRule>
  </conditionalFormatting>
  <conditionalFormatting sqref="U50:V51">
    <cfRule type="expression" dxfId="1113" priority="806" stopIfTrue="1">
      <formula>$C50=1</formula>
    </cfRule>
    <cfRule type="expression" dxfId="1112" priority="807" stopIfTrue="1">
      <formula>OR($C50=0,$C50=2,$C50=3,$C50=4)</formula>
    </cfRule>
    <cfRule type="expression" dxfId="1111" priority="808" stopIfTrue="1">
      <formula>AND(TIPOORCAMENTO="Licitado",$C50&lt;&gt;"L",$C50&lt;&gt;-1)</formula>
    </cfRule>
  </conditionalFormatting>
  <conditionalFormatting sqref="P50:Q51 S50:T51 Y50:Y51 AG50:AH51">
    <cfRule type="expression" dxfId="1110" priority="809" stopIfTrue="1">
      <formula>$C50=1</formula>
    </cfRule>
    <cfRule type="expression" dxfId="1109" priority="810" stopIfTrue="1">
      <formula>OR($C50=0,$C50=2,$C50=3,$C50=4)</formula>
    </cfRule>
  </conditionalFormatting>
  <conditionalFormatting sqref="X50:X51">
    <cfRule type="expression" dxfId="1108" priority="801" stopIfTrue="1">
      <formula>$C50=1</formula>
    </cfRule>
    <cfRule type="expression" dxfId="1107" priority="802" stopIfTrue="1">
      <formula>OR($C50=0,$C50=2,$C50=3,$C50=4)</formula>
    </cfRule>
  </conditionalFormatting>
  <conditionalFormatting sqref="R50:R51">
    <cfRule type="expression" dxfId="1106" priority="799" stopIfTrue="1">
      <formula>$C50=1</formula>
    </cfRule>
    <cfRule type="expression" dxfId="1105" priority="800" stopIfTrue="1">
      <formula>OR($C50=0,$C50=2,$C50=3,$C50=4)</formula>
    </cfRule>
  </conditionalFormatting>
  <conditionalFormatting sqref="R50:R51">
    <cfRule type="beginsWith" dxfId="1104" priority="798" operator="beginsWith" text="(">
      <formula>LEFT(R50,LEN("("))="("</formula>
    </cfRule>
  </conditionalFormatting>
  <conditionalFormatting sqref="M89:M90">
    <cfRule type="cellIs" dxfId="1103" priority="790" stopIfTrue="1" operator="notEqual">
      <formula>$N89</formula>
    </cfRule>
  </conditionalFormatting>
  <conditionalFormatting sqref="N89:O90 W89:W90">
    <cfRule type="expression" dxfId="1102" priority="791" stopIfTrue="1">
      <formula>$C89=1</formula>
    </cfRule>
    <cfRule type="expression" dxfId="1101" priority="792" stopIfTrue="1">
      <formula>OR($C89=0,$C89=2,$C89=3,$C89=4)</formula>
    </cfRule>
  </conditionalFormatting>
  <conditionalFormatting sqref="U89:V90">
    <cfRule type="expression" dxfId="1100" priority="793" stopIfTrue="1">
      <formula>$C89=1</formula>
    </cfRule>
    <cfRule type="expression" dxfId="1099" priority="794" stopIfTrue="1">
      <formula>OR($C89=0,$C89=2,$C89=3,$C89=4)</formula>
    </cfRule>
    <cfRule type="expression" dxfId="1098" priority="795" stopIfTrue="1">
      <formula>AND(TIPOORCAMENTO="Licitado",$C89&lt;&gt;"L",$C89&lt;&gt;-1)</formula>
    </cfRule>
  </conditionalFormatting>
  <conditionalFormatting sqref="P89:Q90 S89:T90 Y89:Y90 AG89:AH90">
    <cfRule type="expression" dxfId="1097" priority="796" stopIfTrue="1">
      <formula>$C89=1</formula>
    </cfRule>
    <cfRule type="expression" dxfId="1096" priority="797" stopIfTrue="1">
      <formula>OR($C89=0,$C89=2,$C89=3,$C89=4)</formula>
    </cfRule>
  </conditionalFormatting>
  <conditionalFormatting sqref="X89:X90">
    <cfRule type="expression" dxfId="1095" priority="788" stopIfTrue="1">
      <formula>$C89=1</formula>
    </cfRule>
    <cfRule type="expression" dxfId="1094" priority="789" stopIfTrue="1">
      <formula>OR($C89=0,$C89=2,$C89=3,$C89=4)</formula>
    </cfRule>
  </conditionalFormatting>
  <conditionalFormatting sqref="R89:R90">
    <cfRule type="expression" dxfId="1093" priority="786" stopIfTrue="1">
      <formula>$C89=1</formula>
    </cfRule>
    <cfRule type="expression" dxfId="1092" priority="787" stopIfTrue="1">
      <formula>OR($C89=0,$C89=2,$C89=3,$C89=4)</formula>
    </cfRule>
  </conditionalFormatting>
  <conditionalFormatting sqref="R89:R90">
    <cfRule type="beginsWith" dxfId="1091" priority="785" operator="beginsWith" text="(">
      <formula>LEFT(R89,LEN("("))="("</formula>
    </cfRule>
  </conditionalFormatting>
  <conditionalFormatting sqref="R107:R110">
    <cfRule type="beginsWith" dxfId="1090" priority="772" operator="beginsWith" text="(">
      <formula>LEFT(R107,LEN("("))="("</formula>
    </cfRule>
  </conditionalFormatting>
  <conditionalFormatting sqref="M195:M197 M203:M204">
    <cfRule type="cellIs" dxfId="1089" priority="764" stopIfTrue="1" operator="notEqual">
      <formula>$N195</formula>
    </cfRule>
  </conditionalFormatting>
  <conditionalFormatting sqref="N195:O197 W195:W197 W203:W204 N203:O204">
    <cfRule type="expression" dxfId="1088" priority="765" stopIfTrue="1">
      <formula>$C195=1</formula>
    </cfRule>
    <cfRule type="expression" dxfId="1087" priority="766" stopIfTrue="1">
      <formula>OR($C195=0,$C195=2,$C195=3,$C195=4)</formula>
    </cfRule>
  </conditionalFormatting>
  <conditionalFormatting sqref="U195:V197 U203:V204">
    <cfRule type="expression" dxfId="1086" priority="767" stopIfTrue="1">
      <formula>$C195=1</formula>
    </cfRule>
    <cfRule type="expression" dxfId="1085" priority="768" stopIfTrue="1">
      <formula>OR($C195=0,$C195=2,$C195=3,$C195=4)</formula>
    </cfRule>
    <cfRule type="expression" dxfId="1084" priority="769" stopIfTrue="1">
      <formula>AND(TIPOORCAMENTO="Licitado",$C195&lt;&gt;"L",$C195&lt;&gt;-1)</formula>
    </cfRule>
  </conditionalFormatting>
  <conditionalFormatting sqref="P195:Q197 S195:T197 Y195:Y197 AG195:AH197 AG203:AH204 Y203:Y204 S203:T204 P203:Q204">
    <cfRule type="expression" dxfId="1083" priority="770" stopIfTrue="1">
      <formula>$C195=1</formula>
    </cfRule>
    <cfRule type="expression" dxfId="1082" priority="771" stopIfTrue="1">
      <formula>OR($C195=0,$C195=2,$C195=3,$C195=4)</formula>
    </cfRule>
  </conditionalFormatting>
  <conditionalFormatting sqref="X195:X197 X203:X204">
    <cfRule type="expression" dxfId="1081" priority="762" stopIfTrue="1">
      <formula>$C195=1</formula>
    </cfRule>
    <cfRule type="expression" dxfId="1080" priority="763" stopIfTrue="1">
      <formula>OR($C195=0,$C195=2,$C195=3,$C195=4)</formula>
    </cfRule>
  </conditionalFormatting>
  <conditionalFormatting sqref="R195:R197 R203:R204">
    <cfRule type="expression" dxfId="1079" priority="760" stopIfTrue="1">
      <formula>$C195=1</formula>
    </cfRule>
    <cfRule type="expression" dxfId="1078" priority="761" stopIfTrue="1">
      <formula>OR($C195=0,$C195=2,$C195=3,$C195=4)</formula>
    </cfRule>
  </conditionalFormatting>
  <conditionalFormatting sqref="R195:R197 R203:R204">
    <cfRule type="beginsWith" dxfId="1077" priority="759" operator="beginsWith" text="(">
      <formula>LEFT(R195,LEN("("))="("</formula>
    </cfRule>
  </conditionalFormatting>
  <conditionalFormatting sqref="M71:M72">
    <cfRule type="cellIs" dxfId="1076" priority="751" stopIfTrue="1" operator="notEqual">
      <formula>$N71</formula>
    </cfRule>
  </conditionalFormatting>
  <conditionalFormatting sqref="N71:O72 W71:W72">
    <cfRule type="expression" dxfId="1075" priority="752" stopIfTrue="1">
      <formula>$C71=1</formula>
    </cfRule>
    <cfRule type="expression" dxfId="1074" priority="753" stopIfTrue="1">
      <formula>OR($C71=0,$C71=2,$C71=3,$C71=4)</formula>
    </cfRule>
  </conditionalFormatting>
  <conditionalFormatting sqref="U71:V72">
    <cfRule type="expression" dxfId="1073" priority="754" stopIfTrue="1">
      <formula>$C71=1</formula>
    </cfRule>
    <cfRule type="expression" dxfId="1072" priority="755" stopIfTrue="1">
      <formula>OR($C71=0,$C71=2,$C71=3,$C71=4)</formula>
    </cfRule>
    <cfRule type="expression" dxfId="1071" priority="756" stopIfTrue="1">
      <formula>AND(TIPOORCAMENTO="Licitado",$C71&lt;&gt;"L",$C71&lt;&gt;-1)</formula>
    </cfRule>
  </conditionalFormatting>
  <conditionalFormatting sqref="P71:Q72 S71:T72 Y71:Y72 AG71:AH72">
    <cfRule type="expression" dxfId="1070" priority="757" stopIfTrue="1">
      <formula>$C71=1</formula>
    </cfRule>
    <cfRule type="expression" dxfId="1069" priority="758" stopIfTrue="1">
      <formula>OR($C71=0,$C71=2,$C71=3,$C71=4)</formula>
    </cfRule>
  </conditionalFormatting>
  <conditionalFormatting sqref="X71:X72">
    <cfRule type="expression" dxfId="1068" priority="749" stopIfTrue="1">
      <formula>$C71=1</formula>
    </cfRule>
    <cfRule type="expression" dxfId="1067" priority="750" stopIfTrue="1">
      <formula>OR($C71=0,$C71=2,$C71=3,$C71=4)</formula>
    </cfRule>
  </conditionalFormatting>
  <conditionalFormatting sqref="R71:R72">
    <cfRule type="expression" dxfId="1066" priority="747" stopIfTrue="1">
      <formula>$C71=1</formula>
    </cfRule>
    <cfRule type="expression" dxfId="1065" priority="748" stopIfTrue="1">
      <formula>OR($C71=0,$C71=2,$C71=3,$C71=4)</formula>
    </cfRule>
  </conditionalFormatting>
  <conditionalFormatting sqref="R71:R72">
    <cfRule type="beginsWith" dxfId="1064" priority="746" operator="beginsWith" text="(">
      <formula>LEFT(R71,LEN("("))="("</formula>
    </cfRule>
  </conditionalFormatting>
  <conditionalFormatting sqref="X100:X101">
    <cfRule type="expression" dxfId="1063" priority="744" stopIfTrue="1">
      <formula>$C100=1</formula>
    </cfRule>
    <cfRule type="expression" dxfId="1062" priority="745" stopIfTrue="1">
      <formula>OR($C100=0,$C100=2,$C100=3,$C100=4)</formula>
    </cfRule>
  </conditionalFormatting>
  <conditionalFormatting sqref="R100:R101">
    <cfRule type="expression" dxfId="1061" priority="742" stopIfTrue="1">
      <formula>$C100=1</formula>
    </cfRule>
    <cfRule type="expression" dxfId="1060" priority="743" stopIfTrue="1">
      <formula>OR($C100=0,$C100=2,$C100=3,$C100=4)</formula>
    </cfRule>
  </conditionalFormatting>
  <conditionalFormatting sqref="R100:R101">
    <cfRule type="beginsWith" dxfId="1059" priority="741" operator="beginsWith" text="(">
      <formula>LEFT(R100,LEN("("))="("</formula>
    </cfRule>
  </conditionalFormatting>
  <conditionalFormatting sqref="M120">
    <cfRule type="cellIs" dxfId="1058" priority="720" stopIfTrue="1" operator="notEqual">
      <formula>$N120</formula>
    </cfRule>
  </conditionalFormatting>
  <conditionalFormatting sqref="N120:O120 W120">
    <cfRule type="expression" dxfId="1057" priority="721" stopIfTrue="1">
      <formula>$C120=1</formula>
    </cfRule>
    <cfRule type="expression" dxfId="1056" priority="722" stopIfTrue="1">
      <formula>OR($C120=0,$C120=2,$C120=3,$C120=4)</formula>
    </cfRule>
  </conditionalFormatting>
  <conditionalFormatting sqref="U120:V120">
    <cfRule type="expression" dxfId="1055" priority="723" stopIfTrue="1">
      <formula>$C120=1</formula>
    </cfRule>
    <cfRule type="expression" dxfId="1054" priority="724" stopIfTrue="1">
      <formula>OR($C120=0,$C120=2,$C120=3,$C120=4)</formula>
    </cfRule>
    <cfRule type="expression" dxfId="1053" priority="725" stopIfTrue="1">
      <formula>AND(TIPOORCAMENTO="Licitado",$C120&lt;&gt;"L",$C120&lt;&gt;-1)</formula>
    </cfRule>
  </conditionalFormatting>
  <conditionalFormatting sqref="P120:Q120 S120:T120 Y120 AG120:AH120">
    <cfRule type="expression" dxfId="1052" priority="726" stopIfTrue="1">
      <formula>$C120=1</formula>
    </cfRule>
    <cfRule type="expression" dxfId="1051" priority="727" stopIfTrue="1">
      <formula>OR($C120=0,$C120=2,$C120=3,$C120=4)</formula>
    </cfRule>
  </conditionalFormatting>
  <conditionalFormatting sqref="X120">
    <cfRule type="expression" dxfId="1050" priority="718" stopIfTrue="1">
      <formula>$C120=1</formula>
    </cfRule>
    <cfRule type="expression" dxfId="1049" priority="719" stopIfTrue="1">
      <formula>OR($C120=0,$C120=2,$C120=3,$C120=4)</formula>
    </cfRule>
  </conditionalFormatting>
  <conditionalFormatting sqref="R120">
    <cfRule type="expression" dxfId="1048" priority="716" stopIfTrue="1">
      <formula>$C120=1</formula>
    </cfRule>
    <cfRule type="expression" dxfId="1047" priority="717" stopIfTrue="1">
      <formula>OR($C120=0,$C120=2,$C120=3,$C120=4)</formula>
    </cfRule>
  </conditionalFormatting>
  <conditionalFormatting sqref="R120">
    <cfRule type="beginsWith" dxfId="1046" priority="715" operator="beginsWith" text="(">
      <formula>LEFT(R120,LEN("("))="("</formula>
    </cfRule>
  </conditionalFormatting>
  <conditionalFormatting sqref="M123 M130:M131 M127:M128">
    <cfRule type="cellIs" dxfId="1045" priority="707" stopIfTrue="1" operator="notEqual">
      <formula>$N123</formula>
    </cfRule>
  </conditionalFormatting>
  <conditionalFormatting sqref="N123:O123 W123 W130:W131 N130:O131 W127:W128 N127:O128">
    <cfRule type="expression" dxfId="1044" priority="708" stopIfTrue="1">
      <formula>$C123=1</formula>
    </cfRule>
    <cfRule type="expression" dxfId="1043" priority="709" stopIfTrue="1">
      <formula>OR($C123=0,$C123=2,$C123=3,$C123=4)</formula>
    </cfRule>
  </conditionalFormatting>
  <conditionalFormatting sqref="U123:V123 U130:V131 U127:V128">
    <cfRule type="expression" dxfId="1042" priority="710" stopIfTrue="1">
      <formula>$C123=1</formula>
    </cfRule>
    <cfRule type="expression" dxfId="1041" priority="711" stopIfTrue="1">
      <formula>OR($C123=0,$C123=2,$C123=3,$C123=4)</formula>
    </cfRule>
    <cfRule type="expression" dxfId="1040" priority="712" stopIfTrue="1">
      <formula>AND(TIPOORCAMENTO="Licitado",$C123&lt;&gt;"L",$C123&lt;&gt;-1)</formula>
    </cfRule>
  </conditionalFormatting>
  <conditionalFormatting sqref="P123:Q123 S123:T123 Y123 AG123:AH123 AG130:AH131 Y130:Y131 S130:T131 P130:Q131 AG127:AH128 Y127:Y128 S127:T128 P127:Q128">
    <cfRule type="expression" dxfId="1039" priority="713" stopIfTrue="1">
      <formula>$C123=1</formula>
    </cfRule>
    <cfRule type="expression" dxfId="1038" priority="714" stopIfTrue="1">
      <formula>OR($C123=0,$C123=2,$C123=3,$C123=4)</formula>
    </cfRule>
  </conditionalFormatting>
  <conditionalFormatting sqref="X123 X130:X131 X127:X128">
    <cfRule type="expression" dxfId="1037" priority="705" stopIfTrue="1">
      <formula>$C123=1</formula>
    </cfRule>
    <cfRule type="expression" dxfId="1036" priority="706" stopIfTrue="1">
      <formula>OR($C123=0,$C123=2,$C123=3,$C123=4)</formula>
    </cfRule>
  </conditionalFormatting>
  <conditionalFormatting sqref="R123 R130:R131 R127:R128">
    <cfRule type="expression" dxfId="1035" priority="703" stopIfTrue="1">
      <formula>$C123=1</formula>
    </cfRule>
    <cfRule type="expression" dxfId="1034" priority="704" stopIfTrue="1">
      <formula>OR($C123=0,$C123=2,$C123=3,$C123=4)</formula>
    </cfRule>
  </conditionalFormatting>
  <conditionalFormatting sqref="R123 R130:R131 R127:R128">
    <cfRule type="beginsWith" dxfId="1033" priority="702" operator="beginsWith" text="(">
      <formula>LEFT(R123,LEN("("))="("</formula>
    </cfRule>
  </conditionalFormatting>
  <conditionalFormatting sqref="M134 M166:M167 M140:M141 M153:M154 M160:M161">
    <cfRule type="cellIs" dxfId="1032" priority="694" stopIfTrue="1" operator="notEqual">
      <formula>$N134</formula>
    </cfRule>
  </conditionalFormatting>
  <conditionalFormatting sqref="N134:O134 W134 W166:W167 N166:O167 W140:W141 N140:O141 N153:O154 W153:W154 W160:W161 N160:O161">
    <cfRule type="expression" dxfId="1031" priority="695" stopIfTrue="1">
      <formula>$C134=1</formula>
    </cfRule>
    <cfRule type="expression" dxfId="1030" priority="696" stopIfTrue="1">
      <formula>OR($C134=0,$C134=2,$C134=3,$C134=4)</formula>
    </cfRule>
  </conditionalFormatting>
  <conditionalFormatting sqref="U134:V134 U166:V167 U140:V141 U153:V154 U160:V161">
    <cfRule type="expression" dxfId="1029" priority="697" stopIfTrue="1">
      <formula>$C134=1</formula>
    </cfRule>
    <cfRule type="expression" dxfId="1028" priority="698" stopIfTrue="1">
      <formula>OR($C134=0,$C134=2,$C134=3,$C134=4)</formula>
    </cfRule>
    <cfRule type="expression" dxfId="1027" priority="699" stopIfTrue="1">
      <formula>AND(TIPOORCAMENTO="Licitado",$C134&lt;&gt;"L",$C134&lt;&gt;-1)</formula>
    </cfRule>
  </conditionalFormatting>
  <conditionalFormatting sqref="P134:Q134 S134:T134 Y134 AG134:AH134 AG166:AH167 Y166:Y167 S166:T167 P166:Q167 AG140:AH141 Y140:Y141 S140:T141 P140:Q141 P153:Q154 S153:T154 Y153:Y154 AG153:AH154 AG160:AH161 Y160:Y161 S160:T161 P160:Q161">
    <cfRule type="expression" dxfId="1026" priority="700" stopIfTrue="1">
      <formula>$C134=1</formula>
    </cfRule>
    <cfRule type="expression" dxfId="1025" priority="701" stopIfTrue="1">
      <formula>OR($C134=0,$C134=2,$C134=3,$C134=4)</formula>
    </cfRule>
  </conditionalFormatting>
  <conditionalFormatting sqref="X134 X166:X167 X140:X141 X153:X154 X160:X161">
    <cfRule type="expression" dxfId="1024" priority="692" stopIfTrue="1">
      <formula>$C134=1</formula>
    </cfRule>
    <cfRule type="expression" dxfId="1023" priority="693" stopIfTrue="1">
      <formula>OR($C134=0,$C134=2,$C134=3,$C134=4)</formula>
    </cfRule>
  </conditionalFormatting>
  <conditionalFormatting sqref="R134 R166:R167 R140:R141 R153:R154 R160:R161">
    <cfRule type="expression" dxfId="1022" priority="690" stopIfTrue="1">
      <formula>$C134=1</formula>
    </cfRule>
    <cfRule type="expression" dxfId="1021" priority="691" stopIfTrue="1">
      <formula>OR($C134=0,$C134=2,$C134=3,$C134=4)</formula>
    </cfRule>
  </conditionalFormatting>
  <conditionalFormatting sqref="R134 R166:R167 R140:R141 R153:R154 R160:R161">
    <cfRule type="beginsWith" dxfId="1020" priority="689" operator="beginsWith" text="(">
      <formula>LEFT(R134,LEN("("))="("</formula>
    </cfRule>
  </conditionalFormatting>
  <conditionalFormatting sqref="M168:M170">
    <cfRule type="cellIs" dxfId="1019" priority="668" stopIfTrue="1" operator="notEqual">
      <formula>$N168</formula>
    </cfRule>
  </conditionalFormatting>
  <conditionalFormatting sqref="N168:O170 W168:W170">
    <cfRule type="expression" dxfId="1018" priority="669" stopIfTrue="1">
      <formula>$C168=1</formula>
    </cfRule>
    <cfRule type="expression" dxfId="1017" priority="670" stopIfTrue="1">
      <formula>OR($C168=0,$C168=2,$C168=3,$C168=4)</formula>
    </cfRule>
  </conditionalFormatting>
  <conditionalFormatting sqref="U168:V170">
    <cfRule type="expression" dxfId="1016" priority="671" stopIfTrue="1">
      <formula>$C168=1</formula>
    </cfRule>
    <cfRule type="expression" dxfId="1015" priority="672" stopIfTrue="1">
      <formula>OR($C168=0,$C168=2,$C168=3,$C168=4)</formula>
    </cfRule>
    <cfRule type="expression" dxfId="1014" priority="673" stopIfTrue="1">
      <formula>AND(TIPOORCAMENTO="Licitado",$C168&lt;&gt;"L",$C168&lt;&gt;-1)</formula>
    </cfRule>
  </conditionalFormatting>
  <conditionalFormatting sqref="P168:Q170 S168:T170 Y168:Y170 AG168:AH170">
    <cfRule type="expression" dxfId="1013" priority="674" stopIfTrue="1">
      <formula>$C168=1</formula>
    </cfRule>
    <cfRule type="expression" dxfId="1012" priority="675" stopIfTrue="1">
      <formula>OR($C168=0,$C168=2,$C168=3,$C168=4)</formula>
    </cfRule>
  </conditionalFormatting>
  <conditionalFormatting sqref="X168:X170">
    <cfRule type="expression" dxfId="1011" priority="666" stopIfTrue="1">
      <formula>$C168=1</formula>
    </cfRule>
    <cfRule type="expression" dxfId="1010" priority="667" stopIfTrue="1">
      <formula>OR($C168=0,$C168=2,$C168=3,$C168=4)</formula>
    </cfRule>
  </conditionalFormatting>
  <conditionalFormatting sqref="R168:R170">
    <cfRule type="expression" dxfId="1009" priority="664" stopIfTrue="1">
      <formula>$C168=1</formula>
    </cfRule>
    <cfRule type="expression" dxfId="1008" priority="665" stopIfTrue="1">
      <formula>OR($C168=0,$C168=2,$C168=3,$C168=4)</formula>
    </cfRule>
  </conditionalFormatting>
  <conditionalFormatting sqref="R168:R170 R172:R174">
    <cfRule type="beginsWith" dxfId="1007" priority="663" operator="beginsWith" text="(">
      <formula>LEFT(R168,LEN("("))="("</formula>
    </cfRule>
  </conditionalFormatting>
  <conditionalFormatting sqref="M162:M163">
    <cfRule type="cellIs" dxfId="1006" priority="642" stopIfTrue="1" operator="notEqual">
      <formula>$N162</formula>
    </cfRule>
  </conditionalFormatting>
  <conditionalFormatting sqref="N162:O163 W162:W163">
    <cfRule type="expression" dxfId="1005" priority="643" stopIfTrue="1">
      <formula>$C162=1</formula>
    </cfRule>
    <cfRule type="expression" dxfId="1004" priority="644" stopIfTrue="1">
      <formula>OR($C162=0,$C162=2,$C162=3,$C162=4)</formula>
    </cfRule>
  </conditionalFormatting>
  <conditionalFormatting sqref="U162:V163">
    <cfRule type="expression" dxfId="1003" priority="645" stopIfTrue="1">
      <formula>$C162=1</formula>
    </cfRule>
    <cfRule type="expression" dxfId="1002" priority="646" stopIfTrue="1">
      <formula>OR($C162=0,$C162=2,$C162=3,$C162=4)</formula>
    </cfRule>
    <cfRule type="expression" dxfId="1001" priority="647" stopIfTrue="1">
      <formula>AND(TIPOORCAMENTO="Licitado",$C162&lt;&gt;"L",$C162&lt;&gt;-1)</formula>
    </cfRule>
  </conditionalFormatting>
  <conditionalFormatting sqref="P162:Q163 S162:T163 Y162:Y163 AG162:AH163">
    <cfRule type="expression" dxfId="1000" priority="648" stopIfTrue="1">
      <formula>$C162=1</formula>
    </cfRule>
    <cfRule type="expression" dxfId="999" priority="649" stopIfTrue="1">
      <formula>OR($C162=0,$C162=2,$C162=3,$C162=4)</formula>
    </cfRule>
  </conditionalFormatting>
  <conditionalFormatting sqref="X162:X163">
    <cfRule type="expression" dxfId="998" priority="640" stopIfTrue="1">
      <formula>$C162=1</formula>
    </cfRule>
    <cfRule type="expression" dxfId="997" priority="641" stopIfTrue="1">
      <formula>OR($C162=0,$C162=2,$C162=3,$C162=4)</formula>
    </cfRule>
  </conditionalFormatting>
  <conditionalFormatting sqref="R162:R163">
    <cfRule type="expression" dxfId="996" priority="638" stopIfTrue="1">
      <formula>$C162=1</formula>
    </cfRule>
    <cfRule type="expression" dxfId="995" priority="639" stopIfTrue="1">
      <formula>OR($C162=0,$C162=2,$C162=3,$C162=4)</formula>
    </cfRule>
  </conditionalFormatting>
  <conditionalFormatting sqref="R162:R163">
    <cfRule type="beginsWith" dxfId="994" priority="637" operator="beginsWith" text="(">
      <formula>LEFT(R162,LEN("("))="("</formula>
    </cfRule>
  </conditionalFormatting>
  <conditionalFormatting sqref="M177 M180:M181 M185:M186">
    <cfRule type="cellIs" dxfId="993" priority="629" stopIfTrue="1" operator="notEqual">
      <formula>$N177</formula>
    </cfRule>
  </conditionalFormatting>
  <conditionalFormatting sqref="N177:O177 W177 W180:W181 N180:O181 N185:O186 W185:W186">
    <cfRule type="expression" dxfId="992" priority="630" stopIfTrue="1">
      <formula>$C177=1</formula>
    </cfRule>
    <cfRule type="expression" dxfId="991" priority="631" stopIfTrue="1">
      <formula>OR($C177=0,$C177=2,$C177=3,$C177=4)</formula>
    </cfRule>
  </conditionalFormatting>
  <conditionalFormatting sqref="U177:V177 U180:V181 U185:V186">
    <cfRule type="expression" dxfId="990" priority="632" stopIfTrue="1">
      <formula>$C177=1</formula>
    </cfRule>
    <cfRule type="expression" dxfId="989" priority="633" stopIfTrue="1">
      <formula>OR($C177=0,$C177=2,$C177=3,$C177=4)</formula>
    </cfRule>
    <cfRule type="expression" dxfId="988" priority="634" stopIfTrue="1">
      <formula>AND(TIPOORCAMENTO="Licitado",$C177&lt;&gt;"L",$C177&lt;&gt;-1)</formula>
    </cfRule>
  </conditionalFormatting>
  <conditionalFormatting sqref="P177:Q177 S177:T177 Y177 AG177:AH177 AG180:AH181 Y180:Y181 S180:T181 P180:Q181 P185:Q186 S185:T186 Y185:Y186 AG185:AH186">
    <cfRule type="expression" dxfId="987" priority="635" stopIfTrue="1">
      <formula>$C177=1</formula>
    </cfRule>
    <cfRule type="expression" dxfId="986" priority="636" stopIfTrue="1">
      <formula>OR($C177=0,$C177=2,$C177=3,$C177=4)</formula>
    </cfRule>
  </conditionalFormatting>
  <conditionalFormatting sqref="X177 X180:X181 X185:X186">
    <cfRule type="expression" dxfId="985" priority="627" stopIfTrue="1">
      <formula>$C177=1</formula>
    </cfRule>
    <cfRule type="expression" dxfId="984" priority="628" stopIfTrue="1">
      <formula>OR($C177=0,$C177=2,$C177=3,$C177=4)</formula>
    </cfRule>
  </conditionalFormatting>
  <conditionalFormatting sqref="R177 R180:R181 R185:R186">
    <cfRule type="expression" dxfId="983" priority="625" stopIfTrue="1">
      <formula>$C177=1</formula>
    </cfRule>
    <cfRule type="expression" dxfId="982" priority="626" stopIfTrue="1">
      <formula>OR($C177=0,$C177=2,$C177=3,$C177=4)</formula>
    </cfRule>
  </conditionalFormatting>
  <conditionalFormatting sqref="R177 R180:R181 R185:R186">
    <cfRule type="beginsWith" dxfId="981" priority="624" operator="beginsWith" text="(">
      <formula>LEFT(R177,LEN("("))="("</formula>
    </cfRule>
  </conditionalFormatting>
  <conditionalFormatting sqref="R190:R192">
    <cfRule type="beginsWith" dxfId="980" priority="611" operator="beginsWith" text="(">
      <formula>LEFT(R190,LEN("("))="("</formula>
    </cfRule>
  </conditionalFormatting>
  <conditionalFormatting sqref="M198">
    <cfRule type="cellIs" dxfId="979" priority="590" stopIfTrue="1" operator="notEqual">
      <formula>$N198</formula>
    </cfRule>
  </conditionalFormatting>
  <conditionalFormatting sqref="N198:O198 W198">
    <cfRule type="expression" dxfId="978" priority="591" stopIfTrue="1">
      <formula>$C198=1</formula>
    </cfRule>
    <cfRule type="expression" dxfId="977" priority="592" stopIfTrue="1">
      <formula>OR($C198=0,$C198=2,$C198=3,$C198=4)</formula>
    </cfRule>
  </conditionalFormatting>
  <conditionalFormatting sqref="U198:V198">
    <cfRule type="expression" dxfId="976" priority="593" stopIfTrue="1">
      <formula>$C198=1</formula>
    </cfRule>
    <cfRule type="expression" dxfId="975" priority="594" stopIfTrue="1">
      <formula>OR($C198=0,$C198=2,$C198=3,$C198=4)</formula>
    </cfRule>
    <cfRule type="expression" dxfId="974" priority="595" stopIfTrue="1">
      <formula>AND(TIPOORCAMENTO="Licitado",$C198&lt;&gt;"L",$C198&lt;&gt;-1)</formula>
    </cfRule>
  </conditionalFormatting>
  <conditionalFormatting sqref="P198:Q198 S198:T198 Y198 AG198:AH198">
    <cfRule type="expression" dxfId="973" priority="596" stopIfTrue="1">
      <formula>$C198=1</formula>
    </cfRule>
    <cfRule type="expression" dxfId="972" priority="597" stopIfTrue="1">
      <formula>OR($C198=0,$C198=2,$C198=3,$C198=4)</formula>
    </cfRule>
  </conditionalFormatting>
  <conditionalFormatting sqref="X198">
    <cfRule type="expression" dxfId="971" priority="588" stopIfTrue="1">
      <formula>$C198=1</formula>
    </cfRule>
    <cfRule type="expression" dxfId="970" priority="589" stopIfTrue="1">
      <formula>OR($C198=0,$C198=2,$C198=3,$C198=4)</formula>
    </cfRule>
  </conditionalFormatting>
  <conditionalFormatting sqref="R198">
    <cfRule type="expression" dxfId="969" priority="586" stopIfTrue="1">
      <formula>$C198=1</formula>
    </cfRule>
    <cfRule type="expression" dxfId="968" priority="587" stopIfTrue="1">
      <formula>OR($C198=0,$C198=2,$C198=3,$C198=4)</formula>
    </cfRule>
  </conditionalFormatting>
  <conditionalFormatting sqref="R198 R200:R202">
    <cfRule type="beginsWith" dxfId="967" priority="585" operator="beginsWith" text="(">
      <formula>LEFT(R198,LEN("("))="("</formula>
    </cfRule>
  </conditionalFormatting>
  <conditionalFormatting sqref="M205 M211:M212">
    <cfRule type="cellIs" dxfId="966" priority="577" stopIfTrue="1" operator="notEqual">
      <formula>$N205</formula>
    </cfRule>
  </conditionalFormatting>
  <conditionalFormatting sqref="N205:O205 W205 W211:W212 N211:O212">
    <cfRule type="expression" dxfId="965" priority="578" stopIfTrue="1">
      <formula>$C205=1</formula>
    </cfRule>
    <cfRule type="expression" dxfId="964" priority="579" stopIfTrue="1">
      <formula>OR($C205=0,$C205=2,$C205=3,$C205=4)</formula>
    </cfRule>
  </conditionalFormatting>
  <conditionalFormatting sqref="U205:V205 U211:V212">
    <cfRule type="expression" dxfId="963" priority="580" stopIfTrue="1">
      <formula>$C205=1</formula>
    </cfRule>
    <cfRule type="expression" dxfId="962" priority="581" stopIfTrue="1">
      <formula>OR($C205=0,$C205=2,$C205=3,$C205=4)</formula>
    </cfRule>
    <cfRule type="expression" dxfId="961" priority="582" stopIfTrue="1">
      <formula>AND(TIPOORCAMENTO="Licitado",$C205&lt;&gt;"L",$C205&lt;&gt;-1)</formula>
    </cfRule>
  </conditionalFormatting>
  <conditionalFormatting sqref="P205:Q205 S205:T205 Y205 AG205:AH205 AG211:AH212 Y211:Y212 S211:T212 P211:Q212">
    <cfRule type="expression" dxfId="960" priority="583" stopIfTrue="1">
      <formula>$C205=1</formula>
    </cfRule>
    <cfRule type="expression" dxfId="959" priority="584" stopIfTrue="1">
      <formula>OR($C205=0,$C205=2,$C205=3,$C205=4)</formula>
    </cfRule>
  </conditionalFormatting>
  <conditionalFormatting sqref="X205 X211:X212">
    <cfRule type="expression" dxfId="958" priority="575" stopIfTrue="1">
      <formula>$C205=1</formula>
    </cfRule>
    <cfRule type="expression" dxfId="957" priority="576" stopIfTrue="1">
      <formula>OR($C205=0,$C205=2,$C205=3,$C205=4)</formula>
    </cfRule>
  </conditionalFormatting>
  <conditionalFormatting sqref="R205 R211:R212">
    <cfRule type="expression" dxfId="956" priority="573" stopIfTrue="1">
      <formula>$C205=1</formula>
    </cfRule>
    <cfRule type="expression" dxfId="955" priority="574" stopIfTrue="1">
      <formula>OR($C205=0,$C205=2,$C205=3,$C205=4)</formula>
    </cfRule>
  </conditionalFormatting>
  <conditionalFormatting sqref="R205 R211:R212 R214:R218">
    <cfRule type="beginsWith" dxfId="954" priority="572" operator="beginsWith" text="(">
      <formula>LEFT(R205,LEN("("))="("</formula>
    </cfRule>
  </conditionalFormatting>
  <conditionalFormatting sqref="R228:R233">
    <cfRule type="beginsWith" dxfId="953" priority="533" operator="beginsWith" text="(">
      <formula>LEFT(R228,LEN("("))="("</formula>
    </cfRule>
  </conditionalFormatting>
  <conditionalFormatting sqref="M221">
    <cfRule type="cellIs" dxfId="952" priority="512" stopIfTrue="1" operator="notEqual">
      <formula>$N221</formula>
    </cfRule>
  </conditionalFormatting>
  <conditionalFormatting sqref="N221:O221 W221">
    <cfRule type="expression" dxfId="951" priority="513" stopIfTrue="1">
      <formula>$C221=1</formula>
    </cfRule>
    <cfRule type="expression" dxfId="950" priority="514" stopIfTrue="1">
      <formula>OR($C221=0,$C221=2,$C221=3,$C221=4)</formula>
    </cfRule>
  </conditionalFormatting>
  <conditionalFormatting sqref="U221:V221">
    <cfRule type="expression" dxfId="949" priority="515" stopIfTrue="1">
      <formula>$C221=1</formula>
    </cfRule>
    <cfRule type="expression" dxfId="948" priority="516" stopIfTrue="1">
      <formula>OR($C221=0,$C221=2,$C221=3,$C221=4)</formula>
    </cfRule>
    <cfRule type="expression" dxfId="947" priority="517" stopIfTrue="1">
      <formula>AND(TIPOORCAMENTO="Licitado",$C221&lt;&gt;"L",$C221&lt;&gt;-1)</formula>
    </cfRule>
  </conditionalFormatting>
  <conditionalFormatting sqref="P221:Q221 S221:T221 Y221 AG221:AH221">
    <cfRule type="expression" dxfId="946" priority="518" stopIfTrue="1">
      <formula>$C221=1</formula>
    </cfRule>
    <cfRule type="expression" dxfId="945" priority="519" stopIfTrue="1">
      <formula>OR($C221=0,$C221=2,$C221=3,$C221=4)</formula>
    </cfRule>
  </conditionalFormatting>
  <conditionalFormatting sqref="X221">
    <cfRule type="expression" dxfId="944" priority="510" stopIfTrue="1">
      <formula>$C221=1</formula>
    </cfRule>
    <cfRule type="expression" dxfId="943" priority="511" stopIfTrue="1">
      <formula>OR($C221=0,$C221=2,$C221=3,$C221=4)</formula>
    </cfRule>
  </conditionalFormatting>
  <conditionalFormatting sqref="R221">
    <cfRule type="expression" dxfId="942" priority="508" stopIfTrue="1">
      <formula>$C221=1</formula>
    </cfRule>
    <cfRule type="expression" dxfId="941" priority="509" stopIfTrue="1">
      <formula>OR($C221=0,$C221=2,$C221=3,$C221=4)</formula>
    </cfRule>
  </conditionalFormatting>
  <conditionalFormatting sqref="R221">
    <cfRule type="beginsWith" dxfId="940" priority="507" operator="beginsWith" text="(">
      <formula>LEFT(R221,LEN("("))="("</formula>
    </cfRule>
  </conditionalFormatting>
  <conditionalFormatting sqref="M199">
    <cfRule type="cellIs" dxfId="939" priority="499" stopIfTrue="1" operator="notEqual">
      <formula>$N199</formula>
    </cfRule>
  </conditionalFormatting>
  <conditionalFormatting sqref="N199:O199 W199">
    <cfRule type="expression" dxfId="938" priority="500" stopIfTrue="1">
      <formula>$C199=1</formula>
    </cfRule>
    <cfRule type="expression" dxfId="937" priority="501" stopIfTrue="1">
      <formula>OR($C199=0,$C199=2,$C199=3,$C199=4)</formula>
    </cfRule>
  </conditionalFormatting>
  <conditionalFormatting sqref="U199:V199">
    <cfRule type="expression" dxfId="936" priority="502" stopIfTrue="1">
      <formula>$C199=1</formula>
    </cfRule>
    <cfRule type="expression" dxfId="935" priority="503" stopIfTrue="1">
      <formula>OR($C199=0,$C199=2,$C199=3,$C199=4)</formula>
    </cfRule>
    <cfRule type="expression" dxfId="934" priority="504" stopIfTrue="1">
      <formula>AND(TIPOORCAMENTO="Licitado",$C199&lt;&gt;"L",$C199&lt;&gt;-1)</formula>
    </cfRule>
  </conditionalFormatting>
  <conditionalFormatting sqref="P199:Q199 S199:T199 Y199 AG199:AH199">
    <cfRule type="expression" dxfId="933" priority="505" stopIfTrue="1">
      <formula>$C199=1</formula>
    </cfRule>
    <cfRule type="expression" dxfId="932" priority="506" stopIfTrue="1">
      <formula>OR($C199=0,$C199=2,$C199=3,$C199=4)</formula>
    </cfRule>
  </conditionalFormatting>
  <conditionalFormatting sqref="X199">
    <cfRule type="expression" dxfId="931" priority="497" stopIfTrue="1">
      <formula>$C199=1</formula>
    </cfRule>
    <cfRule type="expression" dxfId="930" priority="498" stopIfTrue="1">
      <formula>OR($C199=0,$C199=2,$C199=3,$C199=4)</formula>
    </cfRule>
  </conditionalFormatting>
  <conditionalFormatting sqref="R199">
    <cfRule type="expression" dxfId="929" priority="495" stopIfTrue="1">
      <formula>$C199=1</formula>
    </cfRule>
    <cfRule type="expression" dxfId="928" priority="496" stopIfTrue="1">
      <formula>OR($C199=0,$C199=2,$C199=3,$C199=4)</formula>
    </cfRule>
  </conditionalFormatting>
  <conditionalFormatting sqref="R199">
    <cfRule type="beginsWith" dxfId="927" priority="494" operator="beginsWith" text="(">
      <formula>LEFT(R199,LEN("("))="("</formula>
    </cfRule>
  </conditionalFormatting>
  <conditionalFormatting sqref="M206:M207">
    <cfRule type="cellIs" dxfId="926" priority="486" stopIfTrue="1" operator="notEqual">
      <formula>$N206</formula>
    </cfRule>
  </conditionalFormatting>
  <conditionalFormatting sqref="N206:O207 W206:W207">
    <cfRule type="expression" dxfId="925" priority="487" stopIfTrue="1">
      <formula>$C206=1</formula>
    </cfRule>
    <cfRule type="expression" dxfId="924" priority="488" stopIfTrue="1">
      <formula>OR($C206=0,$C206=2,$C206=3,$C206=4)</formula>
    </cfRule>
  </conditionalFormatting>
  <conditionalFormatting sqref="U206:V207">
    <cfRule type="expression" dxfId="923" priority="489" stopIfTrue="1">
      <formula>$C206=1</formula>
    </cfRule>
    <cfRule type="expression" dxfId="922" priority="490" stopIfTrue="1">
      <formula>OR($C206=0,$C206=2,$C206=3,$C206=4)</formula>
    </cfRule>
    <cfRule type="expression" dxfId="921" priority="491" stopIfTrue="1">
      <formula>AND(TIPOORCAMENTO="Licitado",$C206&lt;&gt;"L",$C206&lt;&gt;-1)</formula>
    </cfRule>
  </conditionalFormatting>
  <conditionalFormatting sqref="P206:Q207 S206:T207 Y206:Y207 AG206:AH207">
    <cfRule type="expression" dxfId="920" priority="492" stopIfTrue="1">
      <formula>$C206=1</formula>
    </cfRule>
    <cfRule type="expression" dxfId="919" priority="493" stopIfTrue="1">
      <formula>OR($C206=0,$C206=2,$C206=3,$C206=4)</formula>
    </cfRule>
  </conditionalFormatting>
  <conditionalFormatting sqref="X206:X207">
    <cfRule type="expression" dxfId="918" priority="484" stopIfTrue="1">
      <formula>$C206=1</formula>
    </cfRule>
    <cfRule type="expression" dxfId="917" priority="485" stopIfTrue="1">
      <formula>OR($C206=0,$C206=2,$C206=3,$C206=4)</formula>
    </cfRule>
  </conditionalFormatting>
  <conditionalFormatting sqref="R206:R207">
    <cfRule type="expression" dxfId="916" priority="482" stopIfTrue="1">
      <formula>$C206=1</formula>
    </cfRule>
    <cfRule type="expression" dxfId="915" priority="483" stopIfTrue="1">
      <formula>OR($C206=0,$C206=2,$C206=3,$C206=4)</formula>
    </cfRule>
  </conditionalFormatting>
  <conditionalFormatting sqref="R206:R207">
    <cfRule type="beginsWith" dxfId="914" priority="481" operator="beginsWith" text="(">
      <formula>LEFT(R206,LEN("("))="("</formula>
    </cfRule>
  </conditionalFormatting>
  <conditionalFormatting sqref="M208:M210">
    <cfRule type="cellIs" dxfId="913" priority="473" stopIfTrue="1" operator="notEqual">
      <formula>$N208</formula>
    </cfRule>
  </conditionalFormatting>
  <conditionalFormatting sqref="N208:O210 W208:W210">
    <cfRule type="expression" dxfId="912" priority="474" stopIfTrue="1">
      <formula>$C208=1</formula>
    </cfRule>
    <cfRule type="expression" dxfId="911" priority="475" stopIfTrue="1">
      <formula>OR($C208=0,$C208=2,$C208=3,$C208=4)</formula>
    </cfRule>
  </conditionalFormatting>
  <conditionalFormatting sqref="U208:V210">
    <cfRule type="expression" dxfId="910" priority="476" stopIfTrue="1">
      <formula>$C208=1</formula>
    </cfRule>
    <cfRule type="expression" dxfId="909" priority="477" stopIfTrue="1">
      <formula>OR($C208=0,$C208=2,$C208=3,$C208=4)</formula>
    </cfRule>
    <cfRule type="expression" dxfId="908" priority="478" stopIfTrue="1">
      <formula>AND(TIPOORCAMENTO="Licitado",$C208&lt;&gt;"L",$C208&lt;&gt;-1)</formula>
    </cfRule>
  </conditionalFormatting>
  <conditionalFormatting sqref="P208:Q210 S208:T210 Y208:Y210 AG208:AH210">
    <cfRule type="expression" dxfId="907" priority="479" stopIfTrue="1">
      <formula>$C208=1</formula>
    </cfRule>
    <cfRule type="expression" dxfId="906" priority="480" stopIfTrue="1">
      <formula>OR($C208=0,$C208=2,$C208=3,$C208=4)</formula>
    </cfRule>
  </conditionalFormatting>
  <conditionalFormatting sqref="X208:X210">
    <cfRule type="expression" dxfId="905" priority="471" stopIfTrue="1">
      <formula>$C208=1</formula>
    </cfRule>
    <cfRule type="expression" dxfId="904" priority="472" stopIfTrue="1">
      <formula>OR($C208=0,$C208=2,$C208=3,$C208=4)</formula>
    </cfRule>
  </conditionalFormatting>
  <conditionalFormatting sqref="R208:R210">
    <cfRule type="expression" dxfId="903" priority="469" stopIfTrue="1">
      <formula>$C208=1</formula>
    </cfRule>
    <cfRule type="expression" dxfId="902" priority="470" stopIfTrue="1">
      <formula>OR($C208=0,$C208=2,$C208=3,$C208=4)</formula>
    </cfRule>
  </conditionalFormatting>
  <conditionalFormatting sqref="R208:R210">
    <cfRule type="beginsWith" dxfId="901" priority="468" operator="beginsWith" text="(">
      <formula>LEFT(R208,LEN("("))="("</formula>
    </cfRule>
  </conditionalFormatting>
  <conditionalFormatting sqref="M213">
    <cfRule type="cellIs" dxfId="900" priority="447" stopIfTrue="1" operator="notEqual">
      <formula>$N213</formula>
    </cfRule>
  </conditionalFormatting>
  <conditionalFormatting sqref="N213:O213 W213">
    <cfRule type="expression" dxfId="899" priority="448" stopIfTrue="1">
      <formula>$C213=1</formula>
    </cfRule>
    <cfRule type="expression" dxfId="898" priority="449" stopIfTrue="1">
      <formula>OR($C213=0,$C213=2,$C213=3,$C213=4)</formula>
    </cfRule>
  </conditionalFormatting>
  <conditionalFormatting sqref="U213:V213">
    <cfRule type="expression" dxfId="897" priority="450" stopIfTrue="1">
      <formula>$C213=1</formula>
    </cfRule>
    <cfRule type="expression" dxfId="896" priority="451" stopIfTrue="1">
      <formula>OR($C213=0,$C213=2,$C213=3,$C213=4)</formula>
    </cfRule>
    <cfRule type="expression" dxfId="895" priority="452" stopIfTrue="1">
      <formula>AND(TIPOORCAMENTO="Licitado",$C213&lt;&gt;"L",$C213&lt;&gt;-1)</formula>
    </cfRule>
  </conditionalFormatting>
  <conditionalFormatting sqref="P213:Q213 S213:T213 Y213 AG213:AH213">
    <cfRule type="expression" dxfId="894" priority="453" stopIfTrue="1">
      <formula>$C213=1</formula>
    </cfRule>
    <cfRule type="expression" dxfId="893" priority="454" stopIfTrue="1">
      <formula>OR($C213=0,$C213=2,$C213=3,$C213=4)</formula>
    </cfRule>
  </conditionalFormatting>
  <conditionalFormatting sqref="X213">
    <cfRule type="expression" dxfId="892" priority="445" stopIfTrue="1">
      <formula>$C213=1</formula>
    </cfRule>
    <cfRule type="expression" dxfId="891" priority="446" stopIfTrue="1">
      <formula>OR($C213=0,$C213=2,$C213=3,$C213=4)</formula>
    </cfRule>
  </conditionalFormatting>
  <conditionalFormatting sqref="R213">
    <cfRule type="expression" dxfId="890" priority="443" stopIfTrue="1">
      <formula>$C213=1</formula>
    </cfRule>
    <cfRule type="expression" dxfId="889" priority="444" stopIfTrue="1">
      <formula>OR($C213=0,$C213=2,$C213=3,$C213=4)</formula>
    </cfRule>
  </conditionalFormatting>
  <conditionalFormatting sqref="R213">
    <cfRule type="beginsWith" dxfId="888" priority="442" operator="beginsWith" text="(">
      <formula>LEFT(R213,LEN("("))="("</formula>
    </cfRule>
  </conditionalFormatting>
  <conditionalFormatting sqref="R178:R179">
    <cfRule type="beginsWith" dxfId="887" priority="429" operator="beginsWith" text="(">
      <formula>LEFT(R178,LEN("("))="("</formula>
    </cfRule>
  </conditionalFormatting>
  <conditionalFormatting sqref="R182:R184">
    <cfRule type="beginsWith" dxfId="886" priority="416" operator="beginsWith" text="(">
      <formula>LEFT(R182,LEN("("))="("</formula>
    </cfRule>
  </conditionalFormatting>
  <conditionalFormatting sqref="R187:R189">
    <cfRule type="beginsWith" dxfId="885" priority="403" operator="beginsWith" text="(">
      <formula>LEFT(R187,LEN("("))="("</formula>
    </cfRule>
  </conditionalFormatting>
  <conditionalFormatting sqref="M135:M139">
    <cfRule type="cellIs" dxfId="884" priority="395" stopIfTrue="1" operator="notEqual">
      <formula>$N135</formula>
    </cfRule>
  </conditionalFormatting>
  <conditionalFormatting sqref="N135:O139 W135:W139">
    <cfRule type="expression" dxfId="883" priority="396" stopIfTrue="1">
      <formula>$C135=1</formula>
    </cfRule>
    <cfRule type="expression" dxfId="882" priority="397" stopIfTrue="1">
      <formula>OR($C135=0,$C135=2,$C135=3,$C135=4)</formula>
    </cfRule>
  </conditionalFormatting>
  <conditionalFormatting sqref="U135:V139">
    <cfRule type="expression" dxfId="881" priority="398" stopIfTrue="1">
      <formula>$C135=1</formula>
    </cfRule>
    <cfRule type="expression" dxfId="880" priority="399" stopIfTrue="1">
      <formula>OR($C135=0,$C135=2,$C135=3,$C135=4)</formula>
    </cfRule>
    <cfRule type="expression" dxfId="879" priority="400" stopIfTrue="1">
      <formula>AND(TIPOORCAMENTO="Licitado",$C135&lt;&gt;"L",$C135&lt;&gt;-1)</formula>
    </cfRule>
  </conditionalFormatting>
  <conditionalFormatting sqref="P135:Q139 S135:T139 Y135:Y139 AG135:AH139">
    <cfRule type="expression" dxfId="878" priority="401" stopIfTrue="1">
      <formula>$C135=1</formula>
    </cfRule>
    <cfRule type="expression" dxfId="877" priority="402" stopIfTrue="1">
      <formula>OR($C135=0,$C135=2,$C135=3,$C135=4)</formula>
    </cfRule>
  </conditionalFormatting>
  <conditionalFormatting sqref="X135:X139">
    <cfRule type="expression" dxfId="876" priority="393" stopIfTrue="1">
      <formula>$C135=1</formula>
    </cfRule>
    <cfRule type="expression" dxfId="875" priority="394" stopIfTrue="1">
      <formula>OR($C135=0,$C135=2,$C135=3,$C135=4)</formula>
    </cfRule>
  </conditionalFormatting>
  <conditionalFormatting sqref="R135:R139">
    <cfRule type="expression" dxfId="874" priority="391" stopIfTrue="1">
      <formula>$C135=1</formula>
    </cfRule>
    <cfRule type="expression" dxfId="873" priority="392" stopIfTrue="1">
      <formula>OR($C135=0,$C135=2,$C135=3,$C135=4)</formula>
    </cfRule>
  </conditionalFormatting>
  <conditionalFormatting sqref="R135:R139">
    <cfRule type="beginsWith" dxfId="872" priority="390" operator="beginsWith" text="(">
      <formula>LEFT(R135,LEN("("))="("</formula>
    </cfRule>
  </conditionalFormatting>
  <conditionalFormatting sqref="M142:M146">
    <cfRule type="cellIs" dxfId="871" priority="382" stopIfTrue="1" operator="notEqual">
      <formula>$N142</formula>
    </cfRule>
  </conditionalFormatting>
  <conditionalFormatting sqref="N142:O146 W142:W146">
    <cfRule type="expression" dxfId="870" priority="383" stopIfTrue="1">
      <formula>$C142=1</formula>
    </cfRule>
    <cfRule type="expression" dxfId="869" priority="384" stopIfTrue="1">
      <formula>OR($C142=0,$C142=2,$C142=3,$C142=4)</formula>
    </cfRule>
  </conditionalFormatting>
  <conditionalFormatting sqref="U142:V146">
    <cfRule type="expression" dxfId="868" priority="385" stopIfTrue="1">
      <formula>$C142=1</formula>
    </cfRule>
    <cfRule type="expression" dxfId="867" priority="386" stopIfTrue="1">
      <formula>OR($C142=0,$C142=2,$C142=3,$C142=4)</formula>
    </cfRule>
    <cfRule type="expression" dxfId="866" priority="387" stopIfTrue="1">
      <formula>AND(TIPOORCAMENTO="Licitado",$C142&lt;&gt;"L",$C142&lt;&gt;-1)</formula>
    </cfRule>
  </conditionalFormatting>
  <conditionalFormatting sqref="P142:Q146 S142:T146 Y142:Y146 AG142:AH146">
    <cfRule type="expression" dxfId="865" priority="388" stopIfTrue="1">
      <formula>$C142=1</formula>
    </cfRule>
    <cfRule type="expression" dxfId="864" priority="389" stopIfTrue="1">
      <formula>OR($C142=0,$C142=2,$C142=3,$C142=4)</formula>
    </cfRule>
  </conditionalFormatting>
  <conditionalFormatting sqref="X142:X146">
    <cfRule type="expression" dxfId="863" priority="380" stopIfTrue="1">
      <formula>$C142=1</formula>
    </cfRule>
    <cfRule type="expression" dxfId="862" priority="381" stopIfTrue="1">
      <formula>OR($C142=0,$C142=2,$C142=3,$C142=4)</formula>
    </cfRule>
  </conditionalFormatting>
  <conditionalFormatting sqref="R142:R146">
    <cfRule type="expression" dxfId="861" priority="378" stopIfTrue="1">
      <formula>$C142=1</formula>
    </cfRule>
    <cfRule type="expression" dxfId="860" priority="379" stopIfTrue="1">
      <formula>OR($C142=0,$C142=2,$C142=3,$C142=4)</formula>
    </cfRule>
  </conditionalFormatting>
  <conditionalFormatting sqref="R142:R146">
    <cfRule type="beginsWith" dxfId="859" priority="377" operator="beginsWith" text="(">
      <formula>LEFT(R142,LEN("("))="("</formula>
    </cfRule>
  </conditionalFormatting>
  <conditionalFormatting sqref="M147:M151">
    <cfRule type="cellIs" dxfId="858" priority="369" stopIfTrue="1" operator="notEqual">
      <formula>$N147</formula>
    </cfRule>
  </conditionalFormatting>
  <conditionalFormatting sqref="N147:O151 W147:W151">
    <cfRule type="expression" dxfId="857" priority="370" stopIfTrue="1">
      <formula>$C147=1</formula>
    </cfRule>
    <cfRule type="expression" dxfId="856" priority="371" stopIfTrue="1">
      <formula>OR($C147=0,$C147=2,$C147=3,$C147=4)</formula>
    </cfRule>
  </conditionalFormatting>
  <conditionalFormatting sqref="U147:V151">
    <cfRule type="expression" dxfId="855" priority="372" stopIfTrue="1">
      <formula>$C147=1</formula>
    </cfRule>
    <cfRule type="expression" dxfId="854" priority="373" stopIfTrue="1">
      <formula>OR($C147=0,$C147=2,$C147=3,$C147=4)</formula>
    </cfRule>
    <cfRule type="expression" dxfId="853" priority="374" stopIfTrue="1">
      <formula>AND(TIPOORCAMENTO="Licitado",$C147&lt;&gt;"L",$C147&lt;&gt;-1)</formula>
    </cfRule>
  </conditionalFormatting>
  <conditionalFormatting sqref="P147:Q151 S147:T151 Y147:Y151 AG147:AH151">
    <cfRule type="expression" dxfId="852" priority="375" stopIfTrue="1">
      <formula>$C147=1</formula>
    </cfRule>
    <cfRule type="expression" dxfId="851" priority="376" stopIfTrue="1">
      <formula>OR($C147=0,$C147=2,$C147=3,$C147=4)</formula>
    </cfRule>
  </conditionalFormatting>
  <conditionalFormatting sqref="X147:X151">
    <cfRule type="expression" dxfId="850" priority="367" stopIfTrue="1">
      <formula>$C147=1</formula>
    </cfRule>
    <cfRule type="expression" dxfId="849" priority="368" stopIfTrue="1">
      <formula>OR($C147=0,$C147=2,$C147=3,$C147=4)</formula>
    </cfRule>
  </conditionalFormatting>
  <conditionalFormatting sqref="R147:R151">
    <cfRule type="expression" dxfId="848" priority="365" stopIfTrue="1">
      <formula>$C147=1</formula>
    </cfRule>
    <cfRule type="expression" dxfId="847" priority="366" stopIfTrue="1">
      <formula>OR($C147=0,$C147=2,$C147=3,$C147=4)</formula>
    </cfRule>
  </conditionalFormatting>
  <conditionalFormatting sqref="R147:R151">
    <cfRule type="beginsWith" dxfId="846" priority="364" operator="beginsWith" text="(">
      <formula>LEFT(R147,LEN("("))="("</formula>
    </cfRule>
  </conditionalFormatting>
  <conditionalFormatting sqref="M152">
    <cfRule type="cellIs" dxfId="845" priority="356" stopIfTrue="1" operator="notEqual">
      <formula>$N152</formula>
    </cfRule>
  </conditionalFormatting>
  <conditionalFormatting sqref="N152:O152 W152">
    <cfRule type="expression" dxfId="844" priority="357" stopIfTrue="1">
      <formula>$C152=1</formula>
    </cfRule>
    <cfRule type="expression" dxfId="843" priority="358" stopIfTrue="1">
      <formula>OR($C152=0,$C152=2,$C152=3,$C152=4)</formula>
    </cfRule>
  </conditionalFormatting>
  <conditionalFormatting sqref="U152:V152">
    <cfRule type="expression" dxfId="842" priority="359" stopIfTrue="1">
      <formula>$C152=1</formula>
    </cfRule>
    <cfRule type="expression" dxfId="841" priority="360" stopIfTrue="1">
      <formula>OR($C152=0,$C152=2,$C152=3,$C152=4)</formula>
    </cfRule>
    <cfRule type="expression" dxfId="840" priority="361" stopIfTrue="1">
      <formula>AND(TIPOORCAMENTO="Licitado",$C152&lt;&gt;"L",$C152&lt;&gt;-1)</formula>
    </cfRule>
  </conditionalFormatting>
  <conditionalFormatting sqref="P152:Q152 S152:T152 Y152 AG152:AH152">
    <cfRule type="expression" dxfId="839" priority="362" stopIfTrue="1">
      <formula>$C152=1</formula>
    </cfRule>
    <cfRule type="expression" dxfId="838" priority="363" stopIfTrue="1">
      <formula>OR($C152=0,$C152=2,$C152=3,$C152=4)</formula>
    </cfRule>
  </conditionalFormatting>
  <conditionalFormatting sqref="X152">
    <cfRule type="expression" dxfId="837" priority="354" stopIfTrue="1">
      <formula>$C152=1</formula>
    </cfRule>
    <cfRule type="expression" dxfId="836" priority="355" stopIfTrue="1">
      <formula>OR($C152=0,$C152=2,$C152=3,$C152=4)</formula>
    </cfRule>
  </conditionalFormatting>
  <conditionalFormatting sqref="R152">
    <cfRule type="expression" dxfId="835" priority="352" stopIfTrue="1">
      <formula>$C152=1</formula>
    </cfRule>
    <cfRule type="expression" dxfId="834" priority="353" stopIfTrue="1">
      <formula>OR($C152=0,$C152=2,$C152=3,$C152=4)</formula>
    </cfRule>
  </conditionalFormatting>
  <conditionalFormatting sqref="R152">
    <cfRule type="beginsWith" dxfId="833" priority="351" operator="beginsWith" text="(">
      <formula>LEFT(R152,LEN("("))="("</formula>
    </cfRule>
  </conditionalFormatting>
  <conditionalFormatting sqref="R155 R158:R159">
    <cfRule type="beginsWith" dxfId="832" priority="338" operator="beginsWith" text="(">
      <formula>LEFT(R155,LEN("("))="("</formula>
    </cfRule>
  </conditionalFormatting>
  <conditionalFormatting sqref="R164:R165">
    <cfRule type="beginsWith" dxfId="831" priority="299" operator="beginsWith" text="(">
      <formula>LEFT(R164,LEN("("))="("</formula>
    </cfRule>
  </conditionalFormatting>
  <conditionalFormatting sqref="X156:X157">
    <cfRule type="expression" dxfId="830" priority="297" stopIfTrue="1">
      <formula>$C156=1</formula>
    </cfRule>
    <cfRule type="expression" dxfId="829" priority="298" stopIfTrue="1">
      <formula>OR($C156=0,$C156=2,$C156=3,$C156=4)</formula>
    </cfRule>
  </conditionalFormatting>
  <conditionalFormatting sqref="R156:R157">
    <cfRule type="expression" dxfId="828" priority="295" stopIfTrue="1">
      <formula>$C156=1</formula>
    </cfRule>
    <cfRule type="expression" dxfId="827" priority="296" stopIfTrue="1">
      <formula>OR($C156=0,$C156=2,$C156=3,$C156=4)</formula>
    </cfRule>
  </conditionalFormatting>
  <conditionalFormatting sqref="R156:R157">
    <cfRule type="beginsWith" dxfId="826" priority="294" operator="beginsWith" text="(">
      <formula>LEFT(R156,LEN("("))="("</formula>
    </cfRule>
  </conditionalFormatting>
  <conditionalFormatting sqref="R171">
    <cfRule type="beginsWith" dxfId="825" priority="281" operator="beginsWith" text="(">
      <formula>LEFT(R171,LEN("("))="("</formula>
    </cfRule>
  </conditionalFormatting>
  <conditionalFormatting sqref="M129">
    <cfRule type="cellIs" dxfId="824" priority="273" stopIfTrue="1" operator="notEqual">
      <formula>$N129</formula>
    </cfRule>
  </conditionalFormatting>
  <conditionalFormatting sqref="N129:O129 W129">
    <cfRule type="expression" dxfId="823" priority="274" stopIfTrue="1">
      <formula>$C129=1</formula>
    </cfRule>
    <cfRule type="expression" dxfId="822" priority="275" stopIfTrue="1">
      <formula>OR($C129=0,$C129=2,$C129=3,$C129=4)</formula>
    </cfRule>
  </conditionalFormatting>
  <conditionalFormatting sqref="U129:V129">
    <cfRule type="expression" dxfId="821" priority="276" stopIfTrue="1">
      <formula>$C129=1</formula>
    </cfRule>
    <cfRule type="expression" dxfId="820" priority="277" stopIfTrue="1">
      <formula>OR($C129=0,$C129=2,$C129=3,$C129=4)</formula>
    </cfRule>
    <cfRule type="expression" dxfId="819" priority="278" stopIfTrue="1">
      <formula>AND(TIPOORCAMENTO="Licitado",$C129&lt;&gt;"L",$C129&lt;&gt;-1)</formula>
    </cfRule>
  </conditionalFormatting>
  <conditionalFormatting sqref="P129:Q129 S129:T129 Y129 AG129:AH129">
    <cfRule type="expression" dxfId="818" priority="279" stopIfTrue="1">
      <formula>$C129=1</formula>
    </cfRule>
    <cfRule type="expression" dxfId="817" priority="280" stopIfTrue="1">
      <formula>OR($C129=0,$C129=2,$C129=3,$C129=4)</formula>
    </cfRule>
  </conditionalFormatting>
  <conditionalFormatting sqref="X129">
    <cfRule type="expression" dxfId="816" priority="271" stopIfTrue="1">
      <formula>$C129=1</formula>
    </cfRule>
    <cfRule type="expression" dxfId="815" priority="272" stopIfTrue="1">
      <formula>OR($C129=0,$C129=2,$C129=3,$C129=4)</formula>
    </cfRule>
  </conditionalFormatting>
  <conditionalFormatting sqref="R129">
    <cfRule type="expression" dxfId="814" priority="269" stopIfTrue="1">
      <formula>$C129=1</formula>
    </cfRule>
    <cfRule type="expression" dxfId="813" priority="270" stopIfTrue="1">
      <formula>OR($C129=0,$C129=2,$C129=3,$C129=4)</formula>
    </cfRule>
  </conditionalFormatting>
  <conditionalFormatting sqref="R129">
    <cfRule type="beginsWith" dxfId="812" priority="268" operator="beginsWith" text="(">
      <formula>LEFT(R129,LEN("("))="("</formula>
    </cfRule>
  </conditionalFormatting>
  <conditionalFormatting sqref="M124:M126">
    <cfRule type="cellIs" dxfId="811" priority="260" stopIfTrue="1" operator="notEqual">
      <formula>$N124</formula>
    </cfRule>
  </conditionalFormatting>
  <conditionalFormatting sqref="N124:O126 W124:W126">
    <cfRule type="expression" dxfId="810" priority="261" stopIfTrue="1">
      <formula>$C124=1</formula>
    </cfRule>
    <cfRule type="expression" dxfId="809" priority="262" stopIfTrue="1">
      <formula>OR($C124=0,$C124=2,$C124=3,$C124=4)</formula>
    </cfRule>
  </conditionalFormatting>
  <conditionalFormatting sqref="U124:V126">
    <cfRule type="expression" dxfId="808" priority="263" stopIfTrue="1">
      <formula>$C124=1</formula>
    </cfRule>
    <cfRule type="expression" dxfId="807" priority="264" stopIfTrue="1">
      <formula>OR($C124=0,$C124=2,$C124=3,$C124=4)</formula>
    </cfRule>
    <cfRule type="expression" dxfId="806" priority="265" stopIfTrue="1">
      <formula>AND(TIPOORCAMENTO="Licitado",$C124&lt;&gt;"L",$C124&lt;&gt;-1)</formula>
    </cfRule>
  </conditionalFormatting>
  <conditionalFormatting sqref="P124:Q126 S124:T126 Y124:Y126 AG124:AH126">
    <cfRule type="expression" dxfId="805" priority="266" stopIfTrue="1">
      <formula>$C124=1</formula>
    </cfRule>
    <cfRule type="expression" dxfId="804" priority="267" stopIfTrue="1">
      <formula>OR($C124=0,$C124=2,$C124=3,$C124=4)</formula>
    </cfRule>
  </conditionalFormatting>
  <conditionalFormatting sqref="X124:X126">
    <cfRule type="expression" dxfId="803" priority="258" stopIfTrue="1">
      <formula>$C124=1</formula>
    </cfRule>
    <cfRule type="expression" dxfId="802" priority="259" stopIfTrue="1">
      <formula>OR($C124=0,$C124=2,$C124=3,$C124=4)</formula>
    </cfRule>
  </conditionalFormatting>
  <conditionalFormatting sqref="R124:R126">
    <cfRule type="expression" dxfId="801" priority="256" stopIfTrue="1">
      <formula>$C124=1</formula>
    </cfRule>
    <cfRule type="expression" dxfId="800" priority="257" stopIfTrue="1">
      <formula>OR($C124=0,$C124=2,$C124=3,$C124=4)</formula>
    </cfRule>
  </conditionalFormatting>
  <conditionalFormatting sqref="R124:R126">
    <cfRule type="beginsWith" dxfId="799" priority="255" operator="beginsWith" text="(">
      <formula>LEFT(R124,LEN("("))="("</formula>
    </cfRule>
  </conditionalFormatting>
  <conditionalFormatting sqref="M57 M60:M61">
    <cfRule type="cellIs" dxfId="798" priority="247" stopIfTrue="1" operator="notEqual">
      <formula>$N57</formula>
    </cfRule>
  </conditionalFormatting>
  <conditionalFormatting sqref="N57:O57 W57 W60:W61 N60:O61">
    <cfRule type="expression" dxfId="797" priority="248" stopIfTrue="1">
      <formula>$C57=1</formula>
    </cfRule>
    <cfRule type="expression" dxfId="796" priority="249" stopIfTrue="1">
      <formula>OR($C57=0,$C57=2,$C57=3,$C57=4)</formula>
    </cfRule>
  </conditionalFormatting>
  <conditionalFormatting sqref="U57:V57 U60:V61">
    <cfRule type="expression" dxfId="795" priority="250" stopIfTrue="1">
      <formula>$C57=1</formula>
    </cfRule>
    <cfRule type="expression" dxfId="794" priority="251" stopIfTrue="1">
      <formula>OR($C57=0,$C57=2,$C57=3,$C57=4)</formula>
    </cfRule>
    <cfRule type="expression" dxfId="793" priority="252" stopIfTrue="1">
      <formula>AND(TIPOORCAMENTO="Licitado",$C57&lt;&gt;"L",$C57&lt;&gt;-1)</formula>
    </cfRule>
  </conditionalFormatting>
  <conditionalFormatting sqref="P57:Q57 S57:T57 Y57 AG57:AH57 AG60:AH61 Y60:Y61 S60:T61 P60:Q61">
    <cfRule type="expression" dxfId="792" priority="253" stopIfTrue="1">
      <formula>$C57=1</formula>
    </cfRule>
    <cfRule type="expression" dxfId="791" priority="254" stopIfTrue="1">
      <formula>OR($C57=0,$C57=2,$C57=3,$C57=4)</formula>
    </cfRule>
  </conditionalFormatting>
  <conditionalFormatting sqref="X57 X60:X61">
    <cfRule type="expression" dxfId="790" priority="245" stopIfTrue="1">
      <formula>$C57=1</formula>
    </cfRule>
    <cfRule type="expression" dxfId="789" priority="246" stopIfTrue="1">
      <formula>OR($C57=0,$C57=2,$C57=3,$C57=4)</formula>
    </cfRule>
  </conditionalFormatting>
  <conditionalFormatting sqref="R57 R60:R61">
    <cfRule type="expression" dxfId="788" priority="243" stopIfTrue="1">
      <formula>$C57=1</formula>
    </cfRule>
    <cfRule type="expression" dxfId="787" priority="244" stopIfTrue="1">
      <formula>OR($C57=0,$C57=2,$C57=3,$C57=4)</formula>
    </cfRule>
  </conditionalFormatting>
  <conditionalFormatting sqref="R57 R60:R61">
    <cfRule type="beginsWith" dxfId="786" priority="242" operator="beginsWith" text="(">
      <formula>LEFT(R57,LEN("("))="("</formula>
    </cfRule>
  </conditionalFormatting>
  <conditionalFormatting sqref="X114:X115">
    <cfRule type="expression" dxfId="785" priority="235" stopIfTrue="1">
      <formula>$C114=1</formula>
    </cfRule>
    <cfRule type="expression" dxfId="784" priority="236" stopIfTrue="1">
      <formula>OR($C114=0,$C114=2,$C114=3,$C114=4)</formula>
    </cfRule>
  </conditionalFormatting>
  <conditionalFormatting sqref="R114:R115">
    <cfRule type="expression" dxfId="783" priority="233" stopIfTrue="1">
      <formula>$C114=1</formula>
    </cfRule>
    <cfRule type="expression" dxfId="782" priority="234" stopIfTrue="1">
      <formula>OR($C114=0,$C114=2,$C114=3,$C114=4)</formula>
    </cfRule>
  </conditionalFormatting>
  <conditionalFormatting sqref="M33:M37">
    <cfRule type="cellIs" dxfId="781" priority="212" stopIfTrue="1" operator="notEqual">
      <formula>$N33</formula>
    </cfRule>
  </conditionalFormatting>
  <conditionalFormatting sqref="N33:O37 W33:W37">
    <cfRule type="expression" dxfId="780" priority="213" stopIfTrue="1">
      <formula>$C33=1</formula>
    </cfRule>
    <cfRule type="expression" dxfId="779" priority="214" stopIfTrue="1">
      <formula>OR($C33=0,$C33=2,$C33=3,$C33=4)</formula>
    </cfRule>
  </conditionalFormatting>
  <conditionalFormatting sqref="U33:V37">
    <cfRule type="expression" dxfId="778" priority="215" stopIfTrue="1">
      <formula>$C33=1</formula>
    </cfRule>
    <cfRule type="expression" dxfId="777" priority="216" stopIfTrue="1">
      <formula>OR($C33=0,$C33=2,$C33=3,$C33=4)</formula>
    </cfRule>
    <cfRule type="expression" dxfId="776" priority="217" stopIfTrue="1">
      <formula>AND(TIPOORCAMENTO="Licitado",$C33&lt;&gt;"L",$C33&lt;&gt;-1)</formula>
    </cfRule>
  </conditionalFormatting>
  <conditionalFormatting sqref="P33:Q37 S33:T37 Y33:Y37 AG33:AH37">
    <cfRule type="expression" dxfId="775" priority="218" stopIfTrue="1">
      <formula>$C33=1</formula>
    </cfRule>
    <cfRule type="expression" dxfId="774" priority="219" stopIfTrue="1">
      <formula>OR($C33=0,$C33=2,$C33=3,$C33=4)</formula>
    </cfRule>
  </conditionalFormatting>
  <conditionalFormatting sqref="X33:X37">
    <cfRule type="expression" dxfId="773" priority="210" stopIfTrue="1">
      <formula>$C33=1</formula>
    </cfRule>
    <cfRule type="expression" dxfId="772" priority="211" stopIfTrue="1">
      <formula>OR($C33=0,$C33=2,$C33=3,$C33=4)</formula>
    </cfRule>
  </conditionalFormatting>
  <conditionalFormatting sqref="R33:R37">
    <cfRule type="expression" dxfId="771" priority="208" stopIfTrue="1">
      <formula>$C33=1</formula>
    </cfRule>
    <cfRule type="expression" dxfId="770" priority="209" stopIfTrue="1">
      <formula>OR($C33=0,$C33=2,$C33=3,$C33=4)</formula>
    </cfRule>
  </conditionalFormatting>
  <conditionalFormatting sqref="R33:R37">
    <cfRule type="beginsWith" dxfId="769" priority="207" operator="beginsWith" text="(">
      <formula>LEFT(R33,LEN("("))="("</formula>
    </cfRule>
  </conditionalFormatting>
  <conditionalFormatting sqref="M42:M44">
    <cfRule type="cellIs" dxfId="768" priority="186" stopIfTrue="1" operator="notEqual">
      <formula>$N42</formula>
    </cfRule>
  </conditionalFormatting>
  <conditionalFormatting sqref="N42:O44 W42:W44">
    <cfRule type="expression" dxfId="767" priority="187" stopIfTrue="1">
      <formula>$C42=1</formula>
    </cfRule>
    <cfRule type="expression" dxfId="766" priority="188" stopIfTrue="1">
      <formula>OR($C42=0,$C42=2,$C42=3,$C42=4)</formula>
    </cfRule>
  </conditionalFormatting>
  <conditionalFormatting sqref="U42:V44">
    <cfRule type="expression" dxfId="765" priority="189" stopIfTrue="1">
      <formula>$C42=1</formula>
    </cfRule>
    <cfRule type="expression" dxfId="764" priority="190" stopIfTrue="1">
      <formula>OR($C42=0,$C42=2,$C42=3,$C42=4)</formula>
    </cfRule>
    <cfRule type="expression" dxfId="763" priority="191" stopIfTrue="1">
      <formula>AND(TIPOORCAMENTO="Licitado",$C42&lt;&gt;"L",$C42&lt;&gt;-1)</formula>
    </cfRule>
  </conditionalFormatting>
  <conditionalFormatting sqref="P42:Q44 S42:T44 Y42:Y44 AG42:AH44">
    <cfRule type="expression" dxfId="762" priority="192" stopIfTrue="1">
      <formula>$C42=1</formula>
    </cfRule>
    <cfRule type="expression" dxfId="761" priority="193" stopIfTrue="1">
      <formula>OR($C42=0,$C42=2,$C42=3,$C42=4)</formula>
    </cfRule>
  </conditionalFormatting>
  <conditionalFormatting sqref="X42:X44">
    <cfRule type="expression" dxfId="760" priority="184" stopIfTrue="1">
      <formula>$C42=1</formula>
    </cfRule>
    <cfRule type="expression" dxfId="759" priority="185" stopIfTrue="1">
      <formula>OR($C42=0,$C42=2,$C42=3,$C42=4)</formula>
    </cfRule>
  </conditionalFormatting>
  <conditionalFormatting sqref="R42:R44">
    <cfRule type="expression" dxfId="758" priority="182" stopIfTrue="1">
      <formula>$C42=1</formula>
    </cfRule>
    <cfRule type="expression" dxfId="757" priority="183" stopIfTrue="1">
      <formula>OR($C42=0,$C42=2,$C42=3,$C42=4)</formula>
    </cfRule>
  </conditionalFormatting>
  <conditionalFormatting sqref="R42:R44">
    <cfRule type="beginsWith" dxfId="756" priority="181" operator="beginsWith" text="(">
      <formula>LEFT(R42,LEN("("))="("</formula>
    </cfRule>
  </conditionalFormatting>
  <conditionalFormatting sqref="M79:M81">
    <cfRule type="cellIs" dxfId="755" priority="173" stopIfTrue="1" operator="notEqual">
      <formula>$N79</formula>
    </cfRule>
  </conditionalFormatting>
  <conditionalFormatting sqref="N79:O81 W79:W81">
    <cfRule type="expression" dxfId="754" priority="174" stopIfTrue="1">
      <formula>$C79=1</formula>
    </cfRule>
    <cfRule type="expression" dxfId="753" priority="175" stopIfTrue="1">
      <formula>OR($C79=0,$C79=2,$C79=3,$C79=4)</formula>
    </cfRule>
  </conditionalFormatting>
  <conditionalFormatting sqref="U79:V81">
    <cfRule type="expression" dxfId="752" priority="176" stopIfTrue="1">
      <formula>$C79=1</formula>
    </cfRule>
    <cfRule type="expression" dxfId="751" priority="177" stopIfTrue="1">
      <formula>OR($C79=0,$C79=2,$C79=3,$C79=4)</formula>
    </cfRule>
    <cfRule type="expression" dxfId="750" priority="178" stopIfTrue="1">
      <formula>AND(TIPOORCAMENTO="Licitado",$C79&lt;&gt;"L",$C79&lt;&gt;-1)</formula>
    </cfRule>
  </conditionalFormatting>
  <conditionalFormatting sqref="P79:Q81 S79:T81 Y79:Y81 AG79:AH81">
    <cfRule type="expression" dxfId="749" priority="179" stopIfTrue="1">
      <formula>$C79=1</formula>
    </cfRule>
    <cfRule type="expression" dxfId="748" priority="180" stopIfTrue="1">
      <formula>OR($C79=0,$C79=2,$C79=3,$C79=4)</formula>
    </cfRule>
  </conditionalFormatting>
  <conditionalFormatting sqref="X79:X81">
    <cfRule type="expression" dxfId="747" priority="171" stopIfTrue="1">
      <formula>$C79=1</formula>
    </cfRule>
    <cfRule type="expression" dxfId="746" priority="172" stopIfTrue="1">
      <formula>OR($C79=0,$C79=2,$C79=3,$C79=4)</formula>
    </cfRule>
  </conditionalFormatting>
  <conditionalFormatting sqref="R79:R81">
    <cfRule type="expression" dxfId="745" priority="169" stopIfTrue="1">
      <formula>$C79=1</formula>
    </cfRule>
    <cfRule type="expression" dxfId="744" priority="170" stopIfTrue="1">
      <formula>OR($C79=0,$C79=2,$C79=3,$C79=4)</formula>
    </cfRule>
  </conditionalFormatting>
  <conditionalFormatting sqref="R79:R81">
    <cfRule type="beginsWith" dxfId="743" priority="168" operator="beginsWith" text="(">
      <formula>LEFT(R79,LEN("("))="("</formula>
    </cfRule>
  </conditionalFormatting>
  <conditionalFormatting sqref="M104:M105">
    <cfRule type="cellIs" dxfId="742" priority="147" stopIfTrue="1" operator="notEqual">
      <formula>$N104</formula>
    </cfRule>
  </conditionalFormatting>
  <conditionalFormatting sqref="N104:O105 W104:W105">
    <cfRule type="expression" dxfId="741" priority="148" stopIfTrue="1">
      <formula>$C104=1</formula>
    </cfRule>
    <cfRule type="expression" dxfId="740" priority="149" stopIfTrue="1">
      <formula>OR($C104=0,$C104=2,$C104=3,$C104=4)</formula>
    </cfRule>
  </conditionalFormatting>
  <conditionalFormatting sqref="U104:V105">
    <cfRule type="expression" dxfId="739" priority="150" stopIfTrue="1">
      <formula>$C104=1</formula>
    </cfRule>
    <cfRule type="expression" dxfId="738" priority="151" stopIfTrue="1">
      <formula>OR($C104=0,$C104=2,$C104=3,$C104=4)</formula>
    </cfRule>
    <cfRule type="expression" dxfId="737" priority="152" stopIfTrue="1">
      <formula>AND(TIPOORCAMENTO="Licitado",$C104&lt;&gt;"L",$C104&lt;&gt;-1)</formula>
    </cfRule>
  </conditionalFormatting>
  <conditionalFormatting sqref="P104:Q105 S104:T105 Y104:Y105 AG104:AH105">
    <cfRule type="expression" dxfId="736" priority="153" stopIfTrue="1">
      <formula>$C104=1</formula>
    </cfRule>
    <cfRule type="expression" dxfId="735" priority="154" stopIfTrue="1">
      <formula>OR($C104=0,$C104=2,$C104=3,$C104=4)</formula>
    </cfRule>
  </conditionalFormatting>
  <conditionalFormatting sqref="X104:X105">
    <cfRule type="expression" dxfId="734" priority="145" stopIfTrue="1">
      <formula>$C104=1</formula>
    </cfRule>
    <cfRule type="expression" dxfId="733" priority="146" stopIfTrue="1">
      <formula>OR($C104=0,$C104=2,$C104=3,$C104=4)</formula>
    </cfRule>
  </conditionalFormatting>
  <conditionalFormatting sqref="R104:R105">
    <cfRule type="expression" dxfId="732" priority="143" stopIfTrue="1">
      <formula>$C104=1</formula>
    </cfRule>
    <cfRule type="expression" dxfId="731" priority="144" stopIfTrue="1">
      <formula>OR($C104=0,$C104=2,$C104=3,$C104=4)</formula>
    </cfRule>
  </conditionalFormatting>
  <conditionalFormatting sqref="R104:R105">
    <cfRule type="beginsWith" dxfId="730" priority="142" operator="beginsWith" text="(">
      <formula>LEFT(R104,LEN("("))="("</formula>
    </cfRule>
  </conditionalFormatting>
  <conditionalFormatting sqref="M52:M54">
    <cfRule type="cellIs" dxfId="729" priority="134" stopIfTrue="1" operator="notEqual">
      <formula>$N52</formula>
    </cfRule>
  </conditionalFormatting>
  <conditionalFormatting sqref="N52:O54 W52:W54">
    <cfRule type="expression" dxfId="728" priority="135" stopIfTrue="1">
      <formula>$C52=1</formula>
    </cfRule>
    <cfRule type="expression" dxfId="727" priority="136" stopIfTrue="1">
      <formula>OR($C52=0,$C52=2,$C52=3,$C52=4)</formula>
    </cfRule>
  </conditionalFormatting>
  <conditionalFormatting sqref="U52:V54">
    <cfRule type="expression" dxfId="726" priority="137" stopIfTrue="1">
      <formula>$C52=1</formula>
    </cfRule>
    <cfRule type="expression" dxfId="725" priority="138" stopIfTrue="1">
      <formula>OR($C52=0,$C52=2,$C52=3,$C52=4)</formula>
    </cfRule>
    <cfRule type="expression" dxfId="724" priority="139" stopIfTrue="1">
      <formula>AND(TIPOORCAMENTO="Licitado",$C52&lt;&gt;"L",$C52&lt;&gt;-1)</formula>
    </cfRule>
  </conditionalFormatting>
  <conditionalFormatting sqref="P52:Q54 S52:T54 Y52:Y54 AG52:AH54">
    <cfRule type="expression" dxfId="723" priority="140" stopIfTrue="1">
      <formula>$C52=1</formula>
    </cfRule>
    <cfRule type="expression" dxfId="722" priority="141" stopIfTrue="1">
      <formula>OR($C52=0,$C52=2,$C52=3,$C52=4)</formula>
    </cfRule>
  </conditionalFormatting>
  <conditionalFormatting sqref="X52:X54">
    <cfRule type="expression" dxfId="721" priority="132" stopIfTrue="1">
      <formula>$C52=1</formula>
    </cfRule>
    <cfRule type="expression" dxfId="720" priority="133" stopIfTrue="1">
      <formula>OR($C52=0,$C52=2,$C52=3,$C52=4)</formula>
    </cfRule>
  </conditionalFormatting>
  <conditionalFormatting sqref="R52:R54">
    <cfRule type="expression" dxfId="719" priority="130" stopIfTrue="1">
      <formula>$C52=1</formula>
    </cfRule>
    <cfRule type="expression" dxfId="718" priority="131" stopIfTrue="1">
      <formula>OR($C52=0,$C52=2,$C52=3,$C52=4)</formula>
    </cfRule>
  </conditionalFormatting>
  <conditionalFormatting sqref="R52:R54">
    <cfRule type="beginsWith" dxfId="717" priority="129" operator="beginsWith" text="(">
      <formula>LEFT(R52,LEN("("))="("</formula>
    </cfRule>
  </conditionalFormatting>
  <conditionalFormatting sqref="R58:R59">
    <cfRule type="beginsWith" dxfId="716" priority="116" operator="beginsWith" text="(">
      <formula>LEFT(R58,LEN("("))="("</formula>
    </cfRule>
  </conditionalFormatting>
  <conditionalFormatting sqref="M64:M67 M69">
    <cfRule type="cellIs" dxfId="715" priority="108" stopIfTrue="1" operator="notEqual">
      <formula>$N64</formula>
    </cfRule>
  </conditionalFormatting>
  <conditionalFormatting sqref="N64:O67 W64:W67 W69 N69:O69">
    <cfRule type="expression" dxfId="714" priority="109" stopIfTrue="1">
      <formula>$C64=1</formula>
    </cfRule>
    <cfRule type="expression" dxfId="713" priority="110" stopIfTrue="1">
      <formula>OR($C64=0,$C64=2,$C64=3,$C64=4)</formula>
    </cfRule>
  </conditionalFormatting>
  <conditionalFormatting sqref="U64:V67 U69:V69">
    <cfRule type="expression" dxfId="712" priority="111" stopIfTrue="1">
      <formula>$C64=1</formula>
    </cfRule>
    <cfRule type="expression" dxfId="711" priority="112" stopIfTrue="1">
      <formula>OR($C64=0,$C64=2,$C64=3,$C64=4)</formula>
    </cfRule>
    <cfRule type="expression" dxfId="710" priority="113" stopIfTrue="1">
      <formula>AND(TIPOORCAMENTO="Licitado",$C64&lt;&gt;"L",$C64&lt;&gt;-1)</formula>
    </cfRule>
  </conditionalFormatting>
  <conditionalFormatting sqref="P64:Q67 S64:T67 Y64:Y67 AG64:AH67 AG69:AH69 Y69 S69:T69 P69:Q69">
    <cfRule type="expression" dxfId="709" priority="114" stopIfTrue="1">
      <formula>$C64=1</formula>
    </cfRule>
    <cfRule type="expression" dxfId="708" priority="115" stopIfTrue="1">
      <formula>OR($C64=0,$C64=2,$C64=3,$C64=4)</formula>
    </cfRule>
  </conditionalFormatting>
  <conditionalFormatting sqref="X64:X67 X69">
    <cfRule type="expression" dxfId="707" priority="106" stopIfTrue="1">
      <formula>$C64=1</formula>
    </cfRule>
    <cfRule type="expression" dxfId="706" priority="107" stopIfTrue="1">
      <formula>OR($C64=0,$C64=2,$C64=3,$C64=4)</formula>
    </cfRule>
  </conditionalFormatting>
  <conditionalFormatting sqref="R64:R67 R69">
    <cfRule type="expression" dxfId="705" priority="104" stopIfTrue="1">
      <formula>$C64=1</formula>
    </cfRule>
    <cfRule type="expression" dxfId="704" priority="105" stopIfTrue="1">
      <formula>OR($C64=0,$C64=2,$C64=3,$C64=4)</formula>
    </cfRule>
  </conditionalFormatting>
  <conditionalFormatting sqref="R64:R67 R69">
    <cfRule type="beginsWith" dxfId="703" priority="103" operator="beginsWith" text="(">
      <formula>LEFT(R64,LEN("("))="("</formula>
    </cfRule>
  </conditionalFormatting>
  <conditionalFormatting sqref="M70">
    <cfRule type="cellIs" dxfId="702" priority="82" stopIfTrue="1" operator="notEqual">
      <formula>$N70</formula>
    </cfRule>
  </conditionalFormatting>
  <conditionalFormatting sqref="N70:O70 W70">
    <cfRule type="expression" dxfId="701" priority="83" stopIfTrue="1">
      <formula>$C70=1</formula>
    </cfRule>
    <cfRule type="expression" dxfId="700" priority="84" stopIfTrue="1">
      <formula>OR($C70=0,$C70=2,$C70=3,$C70=4)</formula>
    </cfRule>
  </conditionalFormatting>
  <conditionalFormatting sqref="U70:V70">
    <cfRule type="expression" dxfId="699" priority="85" stopIfTrue="1">
      <formula>$C70=1</formula>
    </cfRule>
    <cfRule type="expression" dxfId="698" priority="86" stopIfTrue="1">
      <formula>OR($C70=0,$C70=2,$C70=3,$C70=4)</formula>
    </cfRule>
    <cfRule type="expression" dxfId="697" priority="87" stopIfTrue="1">
      <formula>AND(TIPOORCAMENTO="Licitado",$C70&lt;&gt;"L",$C70&lt;&gt;-1)</formula>
    </cfRule>
  </conditionalFormatting>
  <conditionalFormatting sqref="P70:Q70 S70:T70 Y70 AG70:AH70">
    <cfRule type="expression" dxfId="696" priority="88" stopIfTrue="1">
      <formula>$C70=1</formula>
    </cfRule>
    <cfRule type="expression" dxfId="695" priority="89" stopIfTrue="1">
      <formula>OR($C70=0,$C70=2,$C70=3,$C70=4)</formula>
    </cfRule>
  </conditionalFormatting>
  <conditionalFormatting sqref="X70">
    <cfRule type="expression" dxfId="694" priority="80" stopIfTrue="1">
      <formula>$C70=1</formula>
    </cfRule>
    <cfRule type="expression" dxfId="693" priority="81" stopIfTrue="1">
      <formula>OR($C70=0,$C70=2,$C70=3,$C70=4)</formula>
    </cfRule>
  </conditionalFormatting>
  <conditionalFormatting sqref="R70">
    <cfRule type="expression" dxfId="692" priority="78" stopIfTrue="1">
      <formula>$C70=1</formula>
    </cfRule>
    <cfRule type="expression" dxfId="691" priority="79" stopIfTrue="1">
      <formula>OR($C70=0,$C70=2,$C70=3,$C70=4)</formula>
    </cfRule>
  </conditionalFormatting>
  <conditionalFormatting sqref="R70">
    <cfRule type="beginsWith" dxfId="690" priority="77" operator="beginsWith" text="(">
      <formula>LEFT(R70,LEN("("))="("</formula>
    </cfRule>
  </conditionalFormatting>
  <conditionalFormatting sqref="R91:R93">
    <cfRule type="beginsWith" dxfId="689" priority="67" operator="beginsWith" text="(">
      <formula>LEFT(R91,LEN("("))="("</formula>
    </cfRule>
  </conditionalFormatting>
  <conditionalFormatting sqref="M84:M88">
    <cfRule type="cellIs" dxfId="688" priority="54" stopIfTrue="1" operator="notEqual">
      <formula>$N84</formula>
    </cfRule>
  </conditionalFormatting>
  <conditionalFormatting sqref="N84:O88 W84:W88">
    <cfRule type="expression" dxfId="687" priority="55" stopIfTrue="1">
      <formula>$C84=1</formula>
    </cfRule>
    <cfRule type="expression" dxfId="686" priority="56" stopIfTrue="1">
      <formula>OR($C84=0,$C84=2,$C84=3,$C84=4)</formula>
    </cfRule>
  </conditionalFormatting>
  <conditionalFormatting sqref="U84:V88">
    <cfRule type="expression" dxfId="685" priority="57" stopIfTrue="1">
      <formula>$C84=1</formula>
    </cfRule>
    <cfRule type="expression" dxfId="684" priority="58" stopIfTrue="1">
      <formula>OR($C84=0,$C84=2,$C84=3,$C84=4)</formula>
    </cfRule>
    <cfRule type="expression" dxfId="683" priority="59" stopIfTrue="1">
      <formula>AND(TIPOORCAMENTO="Licitado",$C84&lt;&gt;"L",$C84&lt;&gt;-1)</formula>
    </cfRule>
  </conditionalFormatting>
  <conditionalFormatting sqref="P84:Q88 S84:T88 Y84:Y88 AG84:AH88">
    <cfRule type="expression" dxfId="682" priority="60" stopIfTrue="1">
      <formula>$C84=1</formula>
    </cfRule>
    <cfRule type="expression" dxfId="681" priority="61" stopIfTrue="1">
      <formula>OR($C84=0,$C84=2,$C84=3,$C84=4)</formula>
    </cfRule>
  </conditionalFormatting>
  <conditionalFormatting sqref="X84:X88">
    <cfRule type="expression" dxfId="680" priority="52" stopIfTrue="1">
      <formula>$C84=1</formula>
    </cfRule>
    <cfRule type="expression" dxfId="679" priority="53" stopIfTrue="1">
      <formula>OR($C84=0,$C84=2,$C84=3,$C84=4)</formula>
    </cfRule>
  </conditionalFormatting>
  <conditionalFormatting sqref="R84:R88">
    <cfRule type="expression" dxfId="678" priority="50" stopIfTrue="1">
      <formula>$C84=1</formula>
    </cfRule>
    <cfRule type="expression" dxfId="677" priority="51" stopIfTrue="1">
      <formula>OR($C84=0,$C84=2,$C84=3,$C84=4)</formula>
    </cfRule>
  </conditionalFormatting>
  <conditionalFormatting sqref="R84:R88">
    <cfRule type="beginsWith" dxfId="676" priority="49" operator="beginsWith" text="(">
      <formula>LEFT(R84,LEN("("))="("</formula>
    </cfRule>
  </conditionalFormatting>
  <conditionalFormatting sqref="M68">
    <cfRule type="cellIs" dxfId="675" priority="6" stopIfTrue="1" operator="notEqual">
      <formula>$N68</formula>
    </cfRule>
  </conditionalFormatting>
  <conditionalFormatting sqref="N68:O68 W68">
    <cfRule type="expression" dxfId="674" priority="7" stopIfTrue="1">
      <formula>$C68=1</formula>
    </cfRule>
    <cfRule type="expression" dxfId="673" priority="8" stopIfTrue="1">
      <formula>OR($C68=0,$C68=2,$C68=3,$C68=4)</formula>
    </cfRule>
  </conditionalFormatting>
  <conditionalFormatting sqref="U68:V68">
    <cfRule type="expression" dxfId="672" priority="9" stopIfTrue="1">
      <formula>$C68=1</formula>
    </cfRule>
    <cfRule type="expression" dxfId="671" priority="10" stopIfTrue="1">
      <formula>OR($C68=0,$C68=2,$C68=3,$C68=4)</formula>
    </cfRule>
    <cfRule type="expression" dxfId="670" priority="11" stopIfTrue="1">
      <formula>AND(TIPOORCAMENTO="Licitado",$C68&lt;&gt;"L",$C68&lt;&gt;-1)</formula>
    </cfRule>
  </conditionalFormatting>
  <conditionalFormatting sqref="P68:Q68 S68:T68 Y68 AG68:AH68">
    <cfRule type="expression" dxfId="669" priority="12" stopIfTrue="1">
      <formula>$C68=1</formula>
    </cfRule>
    <cfRule type="expression" dxfId="668" priority="13" stopIfTrue="1">
      <formula>OR($C68=0,$C68=2,$C68=3,$C68=4)</formula>
    </cfRule>
  </conditionalFormatting>
  <conditionalFormatting sqref="AJ68">
    <cfRule type="expression" dxfId="667" priority="14" stopIfTrue="1">
      <formula>OR(ACOMPANHAMENTO&lt;&gt;"BM",TIPOORCAMENTO="Licitado")</formula>
    </cfRule>
    <cfRule type="expression" dxfId="666" priority="15" stopIfTrue="1">
      <formula>$C68=1</formula>
    </cfRule>
    <cfRule type="expression" dxfId="665" priority="16" stopIfTrue="1">
      <formula>OR(AND(ISNUMBER($C68),$C68=0),$C68=2,$C68=3,$C68=4)</formula>
    </cfRule>
  </conditionalFormatting>
  <conditionalFormatting sqref="AL68">
    <cfRule type="expression" dxfId="664" priority="17" stopIfTrue="1">
      <formula>TIPOORCAMENTO="PROPOSTO"</formula>
    </cfRule>
    <cfRule type="expression" dxfId="663" priority="18" stopIfTrue="1">
      <formula>$C68=1</formula>
    </cfRule>
    <cfRule type="expression" dxfId="662" priority="19" stopIfTrue="1">
      <formula>OR(AND(ISNUMBER($C68),$C68=0),$C68=2,$C68=3,$C68=4)</formula>
    </cfRule>
  </conditionalFormatting>
  <conditionalFormatting sqref="AM68:AN68">
    <cfRule type="expression" dxfId="661" priority="20" stopIfTrue="1">
      <formula>TIPOORCAMENTO="PROPOSTO"</formula>
    </cfRule>
    <cfRule type="expression" dxfId="660" priority="21" stopIfTrue="1">
      <formula>$C68=1</formula>
    </cfRule>
    <cfRule type="expression" dxfId="659" priority="22" stopIfTrue="1">
      <formula>OR(AND(ISNUMBER($C68),$C68=0),$C68=2,$C68=3,$C68=4)</formula>
    </cfRule>
  </conditionalFormatting>
  <conditionalFormatting sqref="X68">
    <cfRule type="expression" dxfId="658" priority="4" stopIfTrue="1">
      <formula>$C68=1</formula>
    </cfRule>
    <cfRule type="expression" dxfId="657" priority="5" stopIfTrue="1">
      <formula>OR($C68=0,$C68=2,$C68=3,$C68=4)</formula>
    </cfRule>
  </conditionalFormatting>
  <conditionalFormatting sqref="R68">
    <cfRule type="expression" dxfId="656" priority="2" stopIfTrue="1">
      <formula>$C68=1</formula>
    </cfRule>
    <cfRule type="expression" dxfId="655" priority="3" stopIfTrue="1">
      <formula>OR($C68=0,$C68=2,$C68=3,$C68=4)</formula>
    </cfRule>
  </conditionalFormatting>
  <conditionalFormatting sqref="R68">
    <cfRule type="beginsWith" dxfId="654" priority="1" operator="beginsWith" text="(">
      <formula>LEFT(R68,LEN("("))="("</formula>
    </cfRule>
  </conditionalFormatting>
  <dataValidations count="8">
    <dataValidation type="decimal" operator="greaterThan" allowBlank="1" showErrorMessage="1" error="Apenas números decimais maiores que zero." sqref="U14 AL14 AJ14 AJ16:AJ239 AL16:AL239 U16:U239"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39"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39" xr:uid="{00000000-0002-0000-0400-000006000000}"/>
    <dataValidation type="list" errorStyle="information" allowBlank="1" showInputMessage="1" prompt="Selecione uma sigla de unidade na lista suspensa." sqref="S14 S16:S239"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39"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39"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39"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39"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IF(AUTOEVENTO="Manual",ROUND(SUMPRODUCT((CÁLCULO!$M$15:$M$240=EVENTOS!$C1)*(OFFSET(CÁLCULO!$AA$15:$AA$240,0,E$13))),2),0)</f>
        <v>0</v>
      </c>
      <c r="F1" s="183">
        <f ca="1">IF(AUTOEVENTO="Manual",ROUND(SUMPRODUCT((CÁLCULO!$M$15:$M$240=EVENTOS!$C1)*(OFFSET(CÁLCULO!$AA$15,0,1):OFFSET(CÁLCULO!$AL$240,0,-1))),2),0)</f>
        <v>0</v>
      </c>
      <c r="G1" s="621" t="str">
        <f ca="1">IF(AND(D1=0,F1&gt;0),"NOME",
 IF(AND(D1&lt;&gt;0,$F$14&gt;0,F1=0),"VALOR",
 IF(AND(Import.TipoArredondamento="TransfereGOV",$A1="F",LEN(D1)&gt;100),"Nome &gt;100","")))</f>
        <v/>
      </c>
      <c r="H1" s="620" cm="1">
        <f t="array" aca="1" ref="H1" ca="1">IF(AUTOEVENTO="Manual",ROUND(SUMPRODUCT((CÁLCULO!$M$15:$M$240=EVENTOS!$C1)*(OFFSET(CÁLCULO!$AA$15:$AA$240,0,H$13))),2),0)</f>
        <v>0</v>
      </c>
      <c r="I1" s="620" cm="1">
        <f t="array" aca="1" ref="I1" ca="1">IF(AUTOEVENTO="Manual",ROUND(SUMPRODUCT((CÁLCULO!$M$15:$M$240=EVENTOS!$C1)*(OFFSET(CÁLCULO!$AA$15:$AA$240,0,I$13))),2),0)</f>
        <v>0</v>
      </c>
      <c r="J1" s="620" cm="1">
        <f t="array" aca="1" ref="J1" ca="1">IF(AUTOEVENTO="Manual",ROUND(SUMPRODUCT((CÁLCULO!$M$15:$M$240=EVENTOS!$C1)*(OFFSET(CÁLCULO!$AA$15:$AA$240,0,J$13))),2),0)</f>
        <v>0</v>
      </c>
      <c r="K1" s="620" cm="1">
        <f t="array" aca="1" ref="K1" ca="1">IF(AUTOEVENTO="Manual",ROUND(SUMPRODUCT((CÁLCULO!$M$15:$M$240=EVENTOS!$C1)*(OFFSET(CÁLCULO!$AA$15:$AA$240,0,K$13))),2),0)</f>
        <v>0</v>
      </c>
      <c r="L1" s="620" cm="1">
        <f t="array" aca="1" ref="L1" ca="1">IF(AUTOEVENTO="Manual",ROUND(SUMPRODUCT((CÁLCULO!$M$15:$M$240=EVENTOS!$C1)*(OFFSET(CÁLCULO!$AA$15:$AA$240,0,L$13))),2),0)</f>
        <v>0</v>
      </c>
      <c r="M1" s="620" cm="1">
        <f t="array" aca="1" ref="M1" ca="1">IF(AUTOEVENTO="Manual",ROUND(SUMPRODUCT((CÁLCULO!$M$15:$M$240=EVENTOS!$C1)*(OFFSET(CÁLCULO!$AA$15:$AA$240,0,M$13))),2),0)</f>
        <v>0</v>
      </c>
      <c r="N1" s="620" cm="1">
        <f t="array" aca="1" ref="N1" ca="1">IF(AUTOEVENTO="Manual",ROUND(SUMPRODUCT((CÁLCULO!$M$15:$M$240=EVENTOS!$C1)*(OFFSET(CÁLCULO!$AA$15:$AA$240,0,N$13))),2),0)</f>
        <v>0</v>
      </c>
      <c r="O1" s="620" cm="1">
        <f t="array" aca="1" ref="O1" ca="1">IF(AUTOEVENTO="Manual",ROUND(SUMPRODUCT((CÁLCULO!$M$15:$M$240=EVENTOS!$C1)*(OFFSET(CÁLCULO!$AA$15:$AA$240,0,O$13))),2),0)</f>
        <v>0</v>
      </c>
      <c r="P1" s="620" cm="1">
        <f t="array" aca="1" ref="P1" ca="1">IF(AUTOEVENTO="Manual",ROUND(SUMPRODUCT((CÁLCULO!$M$15:$M$240=EVENTOS!$C1)*(OFFSET(CÁLCULO!$AA$15:$AA$240,0,P$13))),2),0)</f>
        <v>0</v>
      </c>
      <c r="Q1" s="620" cm="1">
        <f t="array" aca="1" ref="Q1" ca="1">IF(AUTOEVENTO="Manual",ROUND(SUMPRODUCT((CÁLCULO!$M$15:$M$240=EVENTOS!$C1)*(OFFSET(CÁLCULO!$AA$15:$AA$240,0,Q$13))),2),0)</f>
        <v>0</v>
      </c>
      <c r="R1" s="620" cm="1">
        <f t="array" aca="1" ref="R1" ca="1">IF(AUTOEVENTO="Manual",ROUND(SUMPRODUCT((CÁLCULO!$M$15:$M$240=EVENTOS!$C1)*(OFFSET(CÁLCULO!$AA$15:$AA$240,0,R$13))),2),0)</f>
        <v>0</v>
      </c>
      <c r="S1" s="620" cm="1">
        <f t="array" aca="1" ref="S1" ca="1">IF(AUTOEVENTO="Manual",ROUND(SUMPRODUCT((CÁLCULO!$M$15:$M$240=EVENTOS!$C1)*(OFFSET(CÁLCULO!$AA$15:$AA$240,0,S$13))),2),0)</f>
        <v>0</v>
      </c>
      <c r="T1" s="620" cm="1">
        <f t="array" aca="1" ref="T1" ca="1">IF(AUTOEVENTO="Manual",ROUND(SUMPRODUCT((CÁLCULO!$M$15:$M$240=EVENTOS!$C1)*(OFFSET(CÁLCULO!$AA$15:$AA$240,0,T$13))),2),0)</f>
        <v>0</v>
      </c>
      <c r="U1" s="620" cm="1">
        <f t="array" aca="1" ref="U1" ca="1">IF(AUTOEVENTO="Manual",ROUND(SUMPRODUCT((CÁLCULO!$M$15:$M$240=EVENTOS!$C1)*(OFFSET(CÁLCULO!$AA$15:$AA$240,0,U$13))),2),0)</f>
        <v>0</v>
      </c>
      <c r="V1" s="620" cm="1">
        <f t="array" aca="1" ref="V1" ca="1">IF(AUTOEVENTO="Manual",ROUND(SUMPRODUCT((CÁLCULO!$M$15:$M$240=EVENTOS!$C1)*(OFFSET(CÁLCULO!$AA$15:$AA$240,0,V$13))),2),0)</f>
        <v>0</v>
      </c>
      <c r="W1" s="620" cm="1">
        <f t="array" aca="1" ref="W1" ca="1">IF(AUTOEVENTO="Manual",ROUND(SUMPRODUCT((CÁLCULO!$M$15:$M$240=EVENTOS!$C1)*(OFFSET(CÁLCULO!$AA$15:$AA$240,0,W$13))),2),0)</f>
        <v>0</v>
      </c>
      <c r="X1" s="620" cm="1">
        <f t="array" aca="1" ref="X1" ca="1">IF(AUTOEVENTO="Manual",ROUND(SUMPRODUCT((CÁLCULO!$M$15:$M$240=EVENTOS!$C1)*(OFFSET(CÁLCULO!$AA$15:$AA$240,0,X$13))),2),0)</f>
        <v>0</v>
      </c>
      <c r="Y1" s="620" cm="1">
        <f t="array" aca="1" ref="Y1" ca="1">IF(AUTOEVENTO="Manual",ROUND(SUMPRODUCT((CÁLCULO!$M$15:$M$240=EVENTOS!$C1)*(OFFSET(CÁLCULO!$AA$15:$AA$240,0,Y$13))),2),0)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MUNICIPIO DE SARANDI/RS</v>
      </c>
      <c r="D5" s="503"/>
      <c r="E5" s="503"/>
      <c r="F5" s="740" t="str">
        <f>Import.Apelido</f>
        <v>A CASA É SUA</v>
      </c>
      <c r="G5" s="741"/>
      <c r="H5" s="741"/>
      <c r="I5" s="741"/>
      <c r="J5" s="741"/>
      <c r="K5" s="741"/>
      <c r="L5" s="741"/>
      <c r="M5" s="742"/>
      <c r="N5" s="56">
        <f>Import.CR</f>
        <v>0</v>
      </c>
      <c r="O5" s="56">
        <f>Import.SICONV</f>
        <v>0</v>
      </c>
      <c r="P5" s="740" t="str">
        <f>Import.Apelido</f>
        <v>A CASA É SUA</v>
      </c>
      <c r="Q5" s="741"/>
      <c r="R5" s="741"/>
      <c r="S5" s="741"/>
      <c r="T5" s="741"/>
      <c r="U5" s="741"/>
      <c r="V5" s="741"/>
      <c r="W5" s="742"/>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686" t="s">
        <v>937</v>
      </c>
      <c r="D8" s="688"/>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43">
        <f ca="1">OFFSET(CÁLCULO!$P$12,0,EVENTOS!E$13)</f>
        <v>0</v>
      </c>
      <c r="F10" t="s">
        <v>752</v>
      </c>
      <c r="G10" s="744"/>
      <c r="H10" s="743">
        <f ca="1">OFFSET(CÁLCULO!$P$12,0,EVENTOS!H$13)</f>
        <v>0</v>
      </c>
      <c r="I10" s="743" t="str">
        <f ca="1">OFFSET(CÁLCULO!$P$12,0,EVENTOS!I$13)</f>
        <v>.</v>
      </c>
      <c r="J10" s="743" t="str">
        <f ca="1">OFFSET(CÁLCULO!$P$12,0,EVENTOS!J$13)</f>
        <v>.</v>
      </c>
      <c r="K10" s="744" t="str">
        <f ca="1">OFFSET(CÁLCULO!$P$12,0,EVENTOS!K$13)</f>
        <v>.</v>
      </c>
      <c r="L10" s="744" t="str">
        <f ca="1">OFFSET(CÁLCULO!$P$12,0,EVENTOS!L$13)</f>
        <v>.</v>
      </c>
      <c r="M10" s="744" t="str">
        <f ca="1">OFFSET(CÁLCULO!$P$12,0,EVENTOS!M$13)</f>
        <v>.</v>
      </c>
      <c r="N10" s="744" t="str">
        <f ca="1">OFFSET(CÁLCULO!$P$12,0,EVENTOS!N$13)</f>
        <v>.</v>
      </c>
      <c r="O10" s="744" t="str">
        <f ca="1">OFFSET(CÁLCULO!$P$12,0,EVENTOS!O$13)</f>
        <v>.</v>
      </c>
      <c r="P10" s="744" t="str">
        <f ca="1">OFFSET(CÁLCULO!$P$12,0,EVENTOS!P$13)</f>
        <v>.</v>
      </c>
      <c r="Q10" s="744" t="str">
        <f ca="1">OFFSET(CÁLCULO!$P$12,0,EVENTOS!Q$13)</f>
        <v>.</v>
      </c>
      <c r="R10" s="744" t="str">
        <f ca="1">OFFSET(CÁLCULO!$P$12,0,EVENTOS!R$13)</f>
        <v>.</v>
      </c>
      <c r="S10" s="744" t="str">
        <f ca="1">OFFSET(CÁLCULO!$P$12,0,EVENTOS!S$13)</f>
        <v>.</v>
      </c>
      <c r="T10" s="744" t="str">
        <f ca="1">OFFSET(CÁLCULO!$P$12,0,EVENTOS!T$13)</f>
        <v>.</v>
      </c>
      <c r="U10" s="744" t="str">
        <f ca="1">OFFSET(CÁLCULO!$P$12,0,EVENTOS!U$13)</f>
        <v>.</v>
      </c>
      <c r="V10" s="744" t="str">
        <f ca="1">OFFSET(CÁLCULO!$P$12,0,EVENTOS!V$13)</f>
        <v>.</v>
      </c>
      <c r="W10" s="744" t="str">
        <f ca="1">OFFSET(CÁLCULO!$P$12,0,EVENTOS!W$13)</f>
        <v>.</v>
      </c>
      <c r="X10" s="744" t="str">
        <f ca="1">OFFSET(CÁLCULO!$P$12,0,EVENTOS!X$13)</f>
        <v>.</v>
      </c>
      <c r="Y10" s="744" t="str">
        <f ca="1">OFFSET(CÁLCULO!$P$12,0,EVENTOS!Y$13)</f>
        <v>.</v>
      </c>
    </row>
    <row r="11" spans="1:26" ht="35.1" customHeight="1" x14ac:dyDescent="0.2">
      <c r="A11" s="507" t="s">
        <v>655</v>
      </c>
      <c r="C11" s="747"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47"/>
      <c r="E11" s="743"/>
      <c r="F11" s="497"/>
      <c r="G11" s="745"/>
      <c r="H11" s="743"/>
      <c r="I11" s="743"/>
      <c r="J11" s="743"/>
      <c r="K11" s="745"/>
      <c r="L11" s="745"/>
      <c r="M11" s="745"/>
      <c r="N11" s="745"/>
      <c r="O11" s="745"/>
      <c r="P11" s="745"/>
      <c r="Q11" s="745"/>
      <c r="R11" s="745"/>
      <c r="S11" s="745"/>
      <c r="T11" s="745"/>
      <c r="U11" s="745"/>
      <c r="V11" s="745"/>
      <c r="W11" s="745"/>
      <c r="X11" s="745"/>
      <c r="Y11" s="745"/>
    </row>
    <row r="12" spans="1:26" ht="12" customHeight="1" x14ac:dyDescent="0.2">
      <c r="A12" s="508" t="s">
        <v>660</v>
      </c>
      <c r="E12" s="743"/>
      <c r="G12" s="746"/>
      <c r="H12" s="743"/>
      <c r="I12" s="743"/>
      <c r="J12" s="743"/>
      <c r="K12" s="746"/>
      <c r="L12" s="746"/>
      <c r="M12" s="746"/>
      <c r="N12" s="746"/>
      <c r="O12" s="746"/>
      <c r="P12" s="746"/>
      <c r="Q12" s="746"/>
      <c r="R12" s="746"/>
      <c r="S12" s="746"/>
      <c r="T12" s="746"/>
      <c r="U12" s="746"/>
      <c r="V12" s="746"/>
      <c r="W12" s="746"/>
      <c r="X12" s="746"/>
      <c r="Y12" s="746"/>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IF($C$15=0,0,ROUND(SUMPRODUCT((CÁLCULO!$M$15:$M$240=EVENTOS!$C15)*(ORÇAMENTO!$X$15:'ORÇAMENTO'!$X$240)),2))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IF(AUTOEVENTO="Manual",ROUND(SUMPRODUCT((CÁLCULO!$M$15:$M$240=EVENTOS!$C16)*(OFFSET(CÁLCULO!$AA$15:$AA$240,0,E$13))),2),0)</f>
        <v>0</v>
      </c>
      <c r="F16" s="183">
        <f ca="1">IF(AUTOEVENTO="Manual",ROUND(SUMPRODUCT((CÁLCULO!$M$15:$M$240=EVENTOS!$C16)*(OFFSET(CÁLCULO!$AA$15,0,1):OFFSET(CÁLCULO!$AL$240,0,-1))),2),0)</f>
        <v>0</v>
      </c>
      <c r="G16" s="621" t="str">
        <f t="shared" ref="G16:G47" ca="1" si="5">IF(AND(D16=0,F16&gt;0),"NOME",
 IF(AND(D16&lt;&gt;0,$F$14&gt;0,F16=0),"VALOR",
 IF(AND(Import.TipoArredondamento="TransfereGOV",$A16="F",LEN(D16)&gt;100),"Nome &gt;100","")))</f>
        <v/>
      </c>
      <c r="H16" s="620" cm="1">
        <f t="array" aca="1" ref="H16" ca="1">IF(AUTOEVENTO="Manual",ROUND(SUMPRODUCT((CÁLCULO!$M$15:$M$240=EVENTOS!$C16)*(OFFSET(CÁLCULO!$AA$15:$AA$240,0,H$13))),2),0)</f>
        <v>0</v>
      </c>
      <c r="I16" s="620" cm="1">
        <f t="array" aca="1" ref="I16" ca="1">IF(AUTOEVENTO="Manual",ROUND(SUMPRODUCT((CÁLCULO!$M$15:$M$240=EVENTOS!$C16)*(OFFSET(CÁLCULO!$AA$15:$AA$240,0,I$13))),2),0)</f>
        <v>0</v>
      </c>
      <c r="J16" s="620" cm="1">
        <f t="array" aca="1" ref="J16" ca="1">IF(AUTOEVENTO="Manual",ROUND(SUMPRODUCT((CÁLCULO!$M$15:$M$240=EVENTOS!$C16)*(OFFSET(CÁLCULO!$AA$15:$AA$240,0,J$13))),2),0)</f>
        <v>0</v>
      </c>
      <c r="K16" s="620" cm="1">
        <f t="array" aca="1" ref="K16" ca="1">IF(AUTOEVENTO="Manual",ROUND(SUMPRODUCT((CÁLCULO!$M$15:$M$240=EVENTOS!$C16)*(OFFSET(CÁLCULO!$AA$15:$AA$240,0,K$13))),2),0)</f>
        <v>0</v>
      </c>
      <c r="L16" s="620" cm="1">
        <f t="array" aca="1" ref="L16" ca="1">IF(AUTOEVENTO="Manual",ROUND(SUMPRODUCT((CÁLCULO!$M$15:$M$240=EVENTOS!$C16)*(OFFSET(CÁLCULO!$AA$15:$AA$240,0,L$13))),2),0)</f>
        <v>0</v>
      </c>
      <c r="M16" s="620" cm="1">
        <f t="array" aca="1" ref="M16" ca="1">IF(AUTOEVENTO="Manual",ROUND(SUMPRODUCT((CÁLCULO!$M$15:$M$240=EVENTOS!$C16)*(OFFSET(CÁLCULO!$AA$15:$AA$240,0,M$13))),2),0)</f>
        <v>0</v>
      </c>
      <c r="N16" s="620" cm="1">
        <f t="array" aca="1" ref="N16" ca="1">IF(AUTOEVENTO="Manual",ROUND(SUMPRODUCT((CÁLCULO!$M$15:$M$240=EVENTOS!$C16)*(OFFSET(CÁLCULO!$AA$15:$AA$240,0,N$13))),2),0)</f>
        <v>0</v>
      </c>
      <c r="O16" s="620" cm="1">
        <f t="array" aca="1" ref="O16" ca="1">IF(AUTOEVENTO="Manual",ROUND(SUMPRODUCT((CÁLCULO!$M$15:$M$240=EVENTOS!$C16)*(OFFSET(CÁLCULO!$AA$15:$AA$240,0,O$13))),2),0)</f>
        <v>0</v>
      </c>
      <c r="P16" s="620" cm="1">
        <f t="array" aca="1" ref="P16" ca="1">IF(AUTOEVENTO="Manual",ROUND(SUMPRODUCT((CÁLCULO!$M$15:$M$240=EVENTOS!$C16)*(OFFSET(CÁLCULO!$AA$15:$AA$240,0,P$13))),2),0)</f>
        <v>0</v>
      </c>
      <c r="Q16" s="620" cm="1">
        <f t="array" aca="1" ref="Q16" ca="1">IF(AUTOEVENTO="Manual",ROUND(SUMPRODUCT((CÁLCULO!$M$15:$M$240=EVENTOS!$C16)*(OFFSET(CÁLCULO!$AA$15:$AA$240,0,Q$13))),2),0)</f>
        <v>0</v>
      </c>
      <c r="R16" s="620" cm="1">
        <f t="array" aca="1" ref="R16" ca="1">IF(AUTOEVENTO="Manual",ROUND(SUMPRODUCT((CÁLCULO!$M$15:$M$240=EVENTOS!$C16)*(OFFSET(CÁLCULO!$AA$15:$AA$240,0,R$13))),2),0)</f>
        <v>0</v>
      </c>
      <c r="S16" s="620" cm="1">
        <f t="array" aca="1" ref="S16" ca="1">IF(AUTOEVENTO="Manual",ROUND(SUMPRODUCT((CÁLCULO!$M$15:$M$240=EVENTOS!$C16)*(OFFSET(CÁLCULO!$AA$15:$AA$240,0,S$13))),2),0)</f>
        <v>0</v>
      </c>
      <c r="T16" s="620" cm="1">
        <f t="array" aca="1" ref="T16" ca="1">IF(AUTOEVENTO="Manual",ROUND(SUMPRODUCT((CÁLCULO!$M$15:$M$240=EVENTOS!$C16)*(OFFSET(CÁLCULO!$AA$15:$AA$240,0,T$13))),2),0)</f>
        <v>0</v>
      </c>
      <c r="U16" s="620" cm="1">
        <f t="array" aca="1" ref="U16" ca="1">IF(AUTOEVENTO="Manual",ROUND(SUMPRODUCT((CÁLCULO!$M$15:$M$240=EVENTOS!$C16)*(OFFSET(CÁLCULO!$AA$15:$AA$240,0,U$13))),2),0)</f>
        <v>0</v>
      </c>
      <c r="V16" s="620" cm="1">
        <f t="array" aca="1" ref="V16" ca="1">IF(AUTOEVENTO="Manual",ROUND(SUMPRODUCT((CÁLCULO!$M$15:$M$240=EVENTOS!$C16)*(OFFSET(CÁLCULO!$AA$15:$AA$240,0,V$13))),2),0)</f>
        <v>0</v>
      </c>
      <c r="W16" s="620" cm="1">
        <f t="array" aca="1" ref="W16" ca="1">IF(AUTOEVENTO="Manual",ROUND(SUMPRODUCT((CÁLCULO!$M$15:$M$240=EVENTOS!$C16)*(OFFSET(CÁLCULO!$AA$15:$AA$240,0,W$13))),2),0)</f>
        <v>0</v>
      </c>
      <c r="X16" s="620" cm="1">
        <f t="array" aca="1" ref="X16" ca="1">IF(AUTOEVENTO="Manual",ROUND(SUMPRODUCT((CÁLCULO!$M$15:$M$240=EVENTOS!$C16)*(OFFSET(CÁLCULO!$AA$15:$AA$240,0,X$13))),2),0)</f>
        <v>0</v>
      </c>
      <c r="Y16" s="620" cm="1">
        <f t="array" aca="1" ref="Y16" ca="1">IF(AUTOEVENTO="Manual",ROUND(SUMPRODUCT((CÁLCULO!$M$15:$M$240=EVENTOS!$C16)*(OFFSET(CÁLCULO!$AA$15:$AA$240,0,Y$13))),2),0)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IF(AUTOEVENTO="Manual",ROUND(SUMPRODUCT((CÁLCULO!$M$15:$M$240=EVENTOS!$C17)*(OFFSET(CÁLCULO!$AA$15:$AA$240,0,E$13))),2),0)</f>
        <v>0</v>
      </c>
      <c r="F17" s="183">
        <f ca="1">IF(AUTOEVENTO="Manual",ROUND(SUMPRODUCT((CÁLCULO!$M$15:$M$240=EVENTOS!$C17)*(OFFSET(CÁLCULO!$AA$15,0,1):OFFSET(CÁLCULO!$AL$240,0,-1))),2),0)</f>
        <v>0</v>
      </c>
      <c r="G17" s="621" t="str">
        <f t="shared" ca="1" si="5"/>
        <v/>
      </c>
      <c r="H17" s="620" cm="1">
        <f t="array" aca="1" ref="H17" ca="1">IF(AUTOEVENTO="Manual",ROUND(SUMPRODUCT((CÁLCULO!$M$15:$M$240=EVENTOS!$C17)*(OFFSET(CÁLCULO!$AA$15:$AA$240,0,H$13))),2),0)</f>
        <v>0</v>
      </c>
      <c r="I17" s="620" cm="1">
        <f t="array" aca="1" ref="I17" ca="1">IF(AUTOEVENTO="Manual",ROUND(SUMPRODUCT((CÁLCULO!$M$15:$M$240=EVENTOS!$C17)*(OFFSET(CÁLCULO!$AA$15:$AA$240,0,I$13))),2),0)</f>
        <v>0</v>
      </c>
      <c r="J17" s="620" cm="1">
        <f t="array" aca="1" ref="J17" ca="1">IF(AUTOEVENTO="Manual",ROUND(SUMPRODUCT((CÁLCULO!$M$15:$M$240=EVENTOS!$C17)*(OFFSET(CÁLCULO!$AA$15:$AA$240,0,J$13))),2),0)</f>
        <v>0</v>
      </c>
      <c r="K17" s="620" cm="1">
        <f t="array" aca="1" ref="K17" ca="1">IF(AUTOEVENTO="Manual",ROUND(SUMPRODUCT((CÁLCULO!$M$15:$M$240=EVENTOS!$C17)*(OFFSET(CÁLCULO!$AA$15:$AA$240,0,K$13))),2),0)</f>
        <v>0</v>
      </c>
      <c r="L17" s="620" cm="1">
        <f t="array" aca="1" ref="L17" ca="1">IF(AUTOEVENTO="Manual",ROUND(SUMPRODUCT((CÁLCULO!$M$15:$M$240=EVENTOS!$C17)*(OFFSET(CÁLCULO!$AA$15:$AA$240,0,L$13))),2),0)</f>
        <v>0</v>
      </c>
      <c r="M17" s="620" cm="1">
        <f t="array" aca="1" ref="M17" ca="1">IF(AUTOEVENTO="Manual",ROUND(SUMPRODUCT((CÁLCULO!$M$15:$M$240=EVENTOS!$C17)*(OFFSET(CÁLCULO!$AA$15:$AA$240,0,M$13))),2),0)</f>
        <v>0</v>
      </c>
      <c r="N17" s="620" cm="1">
        <f t="array" aca="1" ref="N17" ca="1">IF(AUTOEVENTO="Manual",ROUND(SUMPRODUCT((CÁLCULO!$M$15:$M$240=EVENTOS!$C17)*(OFFSET(CÁLCULO!$AA$15:$AA$240,0,N$13))),2),0)</f>
        <v>0</v>
      </c>
      <c r="O17" s="620" cm="1">
        <f t="array" aca="1" ref="O17" ca="1">IF(AUTOEVENTO="Manual",ROUND(SUMPRODUCT((CÁLCULO!$M$15:$M$240=EVENTOS!$C17)*(OFFSET(CÁLCULO!$AA$15:$AA$240,0,O$13))),2),0)</f>
        <v>0</v>
      </c>
      <c r="P17" s="620" cm="1">
        <f t="array" aca="1" ref="P17" ca="1">IF(AUTOEVENTO="Manual",ROUND(SUMPRODUCT((CÁLCULO!$M$15:$M$240=EVENTOS!$C17)*(OFFSET(CÁLCULO!$AA$15:$AA$240,0,P$13))),2),0)</f>
        <v>0</v>
      </c>
      <c r="Q17" s="620" cm="1">
        <f t="array" aca="1" ref="Q17" ca="1">IF(AUTOEVENTO="Manual",ROUND(SUMPRODUCT((CÁLCULO!$M$15:$M$240=EVENTOS!$C17)*(OFFSET(CÁLCULO!$AA$15:$AA$240,0,Q$13))),2),0)</f>
        <v>0</v>
      </c>
      <c r="R17" s="620" cm="1">
        <f t="array" aca="1" ref="R17" ca="1">IF(AUTOEVENTO="Manual",ROUND(SUMPRODUCT((CÁLCULO!$M$15:$M$240=EVENTOS!$C17)*(OFFSET(CÁLCULO!$AA$15:$AA$240,0,R$13))),2),0)</f>
        <v>0</v>
      </c>
      <c r="S17" s="620" cm="1">
        <f t="array" aca="1" ref="S17" ca="1">IF(AUTOEVENTO="Manual",ROUND(SUMPRODUCT((CÁLCULO!$M$15:$M$240=EVENTOS!$C17)*(OFFSET(CÁLCULO!$AA$15:$AA$240,0,S$13))),2),0)</f>
        <v>0</v>
      </c>
      <c r="T17" s="620" cm="1">
        <f t="array" aca="1" ref="T17" ca="1">IF(AUTOEVENTO="Manual",ROUND(SUMPRODUCT((CÁLCULO!$M$15:$M$240=EVENTOS!$C17)*(OFFSET(CÁLCULO!$AA$15:$AA$240,0,T$13))),2),0)</f>
        <v>0</v>
      </c>
      <c r="U17" s="620" cm="1">
        <f t="array" aca="1" ref="U17" ca="1">IF(AUTOEVENTO="Manual",ROUND(SUMPRODUCT((CÁLCULO!$M$15:$M$240=EVENTOS!$C17)*(OFFSET(CÁLCULO!$AA$15:$AA$240,0,U$13))),2),0)</f>
        <v>0</v>
      </c>
      <c r="V17" s="620" cm="1">
        <f t="array" aca="1" ref="V17" ca="1">IF(AUTOEVENTO="Manual",ROUND(SUMPRODUCT((CÁLCULO!$M$15:$M$240=EVENTOS!$C17)*(OFFSET(CÁLCULO!$AA$15:$AA$240,0,V$13))),2),0)</f>
        <v>0</v>
      </c>
      <c r="W17" s="620" cm="1">
        <f t="array" aca="1" ref="W17" ca="1">IF(AUTOEVENTO="Manual",ROUND(SUMPRODUCT((CÁLCULO!$M$15:$M$240=EVENTOS!$C17)*(OFFSET(CÁLCULO!$AA$15:$AA$240,0,W$13))),2),0)</f>
        <v>0</v>
      </c>
      <c r="X17" s="620" cm="1">
        <f t="array" aca="1" ref="X17" ca="1">IF(AUTOEVENTO="Manual",ROUND(SUMPRODUCT((CÁLCULO!$M$15:$M$240=EVENTOS!$C17)*(OFFSET(CÁLCULO!$AA$15:$AA$240,0,X$13))),2),0)</f>
        <v>0</v>
      </c>
      <c r="Y17" s="620" cm="1">
        <f t="array" aca="1" ref="Y17" ca="1">IF(AUTOEVENTO="Manual",ROUND(SUMPRODUCT((CÁLCULO!$M$15:$M$240=EVENTOS!$C17)*(OFFSET(CÁLCULO!$AA$15:$AA$240,0,Y$13))),2),0)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IF(AUTOEVENTO="Manual",ROUND(SUMPRODUCT((CÁLCULO!$M$15:$M$240=EVENTOS!$C18)*(OFFSET(CÁLCULO!$AA$15:$AA$240,0,E$13))),2),0)</f>
        <v>0</v>
      </c>
      <c r="F18" s="183">
        <f ca="1">IF(AUTOEVENTO="Manual",ROUND(SUMPRODUCT((CÁLCULO!$M$15:$M$240=EVENTOS!$C18)*(OFFSET(CÁLCULO!$AA$15,0,1):OFFSET(CÁLCULO!$AL$240,0,-1))),2),0)</f>
        <v>0</v>
      </c>
      <c r="G18" s="621" t="str">
        <f t="shared" ca="1" si="5"/>
        <v/>
      </c>
      <c r="H18" s="620" cm="1">
        <f t="array" aca="1" ref="H18" ca="1">IF(AUTOEVENTO="Manual",ROUND(SUMPRODUCT((CÁLCULO!$M$15:$M$240=EVENTOS!$C18)*(OFFSET(CÁLCULO!$AA$15:$AA$240,0,H$13))),2),0)</f>
        <v>0</v>
      </c>
      <c r="I18" s="620" cm="1">
        <f t="array" aca="1" ref="I18" ca="1">IF(AUTOEVENTO="Manual",ROUND(SUMPRODUCT((CÁLCULO!$M$15:$M$240=EVENTOS!$C18)*(OFFSET(CÁLCULO!$AA$15:$AA$240,0,I$13))),2),0)</f>
        <v>0</v>
      </c>
      <c r="J18" s="620" cm="1">
        <f t="array" aca="1" ref="J18" ca="1">IF(AUTOEVENTO="Manual",ROUND(SUMPRODUCT((CÁLCULO!$M$15:$M$240=EVENTOS!$C18)*(OFFSET(CÁLCULO!$AA$15:$AA$240,0,J$13))),2),0)</f>
        <v>0</v>
      </c>
      <c r="K18" s="620" cm="1">
        <f t="array" aca="1" ref="K18" ca="1">IF(AUTOEVENTO="Manual",ROUND(SUMPRODUCT((CÁLCULO!$M$15:$M$240=EVENTOS!$C18)*(OFFSET(CÁLCULO!$AA$15:$AA$240,0,K$13))),2),0)</f>
        <v>0</v>
      </c>
      <c r="L18" s="620" cm="1">
        <f t="array" aca="1" ref="L18" ca="1">IF(AUTOEVENTO="Manual",ROUND(SUMPRODUCT((CÁLCULO!$M$15:$M$240=EVENTOS!$C18)*(OFFSET(CÁLCULO!$AA$15:$AA$240,0,L$13))),2),0)</f>
        <v>0</v>
      </c>
      <c r="M18" s="620" cm="1">
        <f t="array" aca="1" ref="M18" ca="1">IF(AUTOEVENTO="Manual",ROUND(SUMPRODUCT((CÁLCULO!$M$15:$M$240=EVENTOS!$C18)*(OFFSET(CÁLCULO!$AA$15:$AA$240,0,M$13))),2),0)</f>
        <v>0</v>
      </c>
      <c r="N18" s="620" cm="1">
        <f t="array" aca="1" ref="N18" ca="1">IF(AUTOEVENTO="Manual",ROUND(SUMPRODUCT((CÁLCULO!$M$15:$M$240=EVENTOS!$C18)*(OFFSET(CÁLCULO!$AA$15:$AA$240,0,N$13))),2),0)</f>
        <v>0</v>
      </c>
      <c r="O18" s="620" cm="1">
        <f t="array" aca="1" ref="O18" ca="1">IF(AUTOEVENTO="Manual",ROUND(SUMPRODUCT((CÁLCULO!$M$15:$M$240=EVENTOS!$C18)*(OFFSET(CÁLCULO!$AA$15:$AA$240,0,O$13))),2),0)</f>
        <v>0</v>
      </c>
      <c r="P18" s="620" cm="1">
        <f t="array" aca="1" ref="P18" ca="1">IF(AUTOEVENTO="Manual",ROUND(SUMPRODUCT((CÁLCULO!$M$15:$M$240=EVENTOS!$C18)*(OFFSET(CÁLCULO!$AA$15:$AA$240,0,P$13))),2),0)</f>
        <v>0</v>
      </c>
      <c r="Q18" s="620" cm="1">
        <f t="array" aca="1" ref="Q18" ca="1">IF(AUTOEVENTO="Manual",ROUND(SUMPRODUCT((CÁLCULO!$M$15:$M$240=EVENTOS!$C18)*(OFFSET(CÁLCULO!$AA$15:$AA$240,0,Q$13))),2),0)</f>
        <v>0</v>
      </c>
      <c r="R18" s="620" cm="1">
        <f t="array" aca="1" ref="R18" ca="1">IF(AUTOEVENTO="Manual",ROUND(SUMPRODUCT((CÁLCULO!$M$15:$M$240=EVENTOS!$C18)*(OFFSET(CÁLCULO!$AA$15:$AA$240,0,R$13))),2),0)</f>
        <v>0</v>
      </c>
      <c r="S18" s="620" cm="1">
        <f t="array" aca="1" ref="S18" ca="1">IF(AUTOEVENTO="Manual",ROUND(SUMPRODUCT((CÁLCULO!$M$15:$M$240=EVENTOS!$C18)*(OFFSET(CÁLCULO!$AA$15:$AA$240,0,S$13))),2),0)</f>
        <v>0</v>
      </c>
      <c r="T18" s="620" cm="1">
        <f t="array" aca="1" ref="T18" ca="1">IF(AUTOEVENTO="Manual",ROUND(SUMPRODUCT((CÁLCULO!$M$15:$M$240=EVENTOS!$C18)*(OFFSET(CÁLCULO!$AA$15:$AA$240,0,T$13))),2),0)</f>
        <v>0</v>
      </c>
      <c r="U18" s="620" cm="1">
        <f t="array" aca="1" ref="U18" ca="1">IF(AUTOEVENTO="Manual",ROUND(SUMPRODUCT((CÁLCULO!$M$15:$M$240=EVENTOS!$C18)*(OFFSET(CÁLCULO!$AA$15:$AA$240,0,U$13))),2),0)</f>
        <v>0</v>
      </c>
      <c r="V18" s="620" cm="1">
        <f t="array" aca="1" ref="V18" ca="1">IF(AUTOEVENTO="Manual",ROUND(SUMPRODUCT((CÁLCULO!$M$15:$M$240=EVENTOS!$C18)*(OFFSET(CÁLCULO!$AA$15:$AA$240,0,V$13))),2),0)</f>
        <v>0</v>
      </c>
      <c r="W18" s="620" cm="1">
        <f t="array" aca="1" ref="W18" ca="1">IF(AUTOEVENTO="Manual",ROUND(SUMPRODUCT((CÁLCULO!$M$15:$M$240=EVENTOS!$C18)*(OFFSET(CÁLCULO!$AA$15:$AA$240,0,W$13))),2),0)</f>
        <v>0</v>
      </c>
      <c r="X18" s="620" cm="1">
        <f t="array" aca="1" ref="X18" ca="1">IF(AUTOEVENTO="Manual",ROUND(SUMPRODUCT((CÁLCULO!$M$15:$M$240=EVENTOS!$C18)*(OFFSET(CÁLCULO!$AA$15:$AA$240,0,X$13))),2),0)</f>
        <v>0</v>
      </c>
      <c r="Y18" s="620" cm="1">
        <f t="array" aca="1" ref="Y18" ca="1">IF(AUTOEVENTO="Manual",ROUND(SUMPRODUCT((CÁLCULO!$M$15:$M$240=EVENTOS!$C18)*(OFFSET(CÁLCULO!$AA$15:$AA$240,0,Y$13))),2),0)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IF(AUTOEVENTO="Manual",ROUND(SUMPRODUCT((CÁLCULO!$M$15:$M$240=EVENTOS!$C19)*(OFFSET(CÁLCULO!$AA$15:$AA$240,0,E$13))),2),0)</f>
        <v>0</v>
      </c>
      <c r="F19" s="183">
        <f ca="1">IF(AUTOEVENTO="Manual",ROUND(SUMPRODUCT((CÁLCULO!$M$15:$M$240=EVENTOS!$C19)*(OFFSET(CÁLCULO!$AA$15,0,1):OFFSET(CÁLCULO!$AL$240,0,-1))),2),0)</f>
        <v>0</v>
      </c>
      <c r="G19" s="621" t="str">
        <f t="shared" ca="1" si="5"/>
        <v/>
      </c>
      <c r="H19" s="620" cm="1">
        <f t="array" aca="1" ref="H19" ca="1">IF(AUTOEVENTO="Manual",ROUND(SUMPRODUCT((CÁLCULO!$M$15:$M$240=EVENTOS!$C19)*(OFFSET(CÁLCULO!$AA$15:$AA$240,0,H$13))),2),0)</f>
        <v>0</v>
      </c>
      <c r="I19" s="620" cm="1">
        <f t="array" aca="1" ref="I19" ca="1">IF(AUTOEVENTO="Manual",ROUND(SUMPRODUCT((CÁLCULO!$M$15:$M$240=EVENTOS!$C19)*(OFFSET(CÁLCULO!$AA$15:$AA$240,0,I$13))),2),0)</f>
        <v>0</v>
      </c>
      <c r="J19" s="620" cm="1">
        <f t="array" aca="1" ref="J19" ca="1">IF(AUTOEVENTO="Manual",ROUND(SUMPRODUCT((CÁLCULO!$M$15:$M$240=EVENTOS!$C19)*(OFFSET(CÁLCULO!$AA$15:$AA$240,0,J$13))),2),0)</f>
        <v>0</v>
      </c>
      <c r="K19" s="620" cm="1">
        <f t="array" aca="1" ref="K19" ca="1">IF(AUTOEVENTO="Manual",ROUND(SUMPRODUCT((CÁLCULO!$M$15:$M$240=EVENTOS!$C19)*(OFFSET(CÁLCULO!$AA$15:$AA$240,0,K$13))),2),0)</f>
        <v>0</v>
      </c>
      <c r="L19" s="620" cm="1">
        <f t="array" aca="1" ref="L19" ca="1">IF(AUTOEVENTO="Manual",ROUND(SUMPRODUCT((CÁLCULO!$M$15:$M$240=EVENTOS!$C19)*(OFFSET(CÁLCULO!$AA$15:$AA$240,0,L$13))),2),0)</f>
        <v>0</v>
      </c>
      <c r="M19" s="620" cm="1">
        <f t="array" aca="1" ref="M19" ca="1">IF(AUTOEVENTO="Manual",ROUND(SUMPRODUCT((CÁLCULO!$M$15:$M$240=EVENTOS!$C19)*(OFFSET(CÁLCULO!$AA$15:$AA$240,0,M$13))),2),0)</f>
        <v>0</v>
      </c>
      <c r="N19" s="620" cm="1">
        <f t="array" aca="1" ref="N19" ca="1">IF(AUTOEVENTO="Manual",ROUND(SUMPRODUCT((CÁLCULO!$M$15:$M$240=EVENTOS!$C19)*(OFFSET(CÁLCULO!$AA$15:$AA$240,0,N$13))),2),0)</f>
        <v>0</v>
      </c>
      <c r="O19" s="620" cm="1">
        <f t="array" aca="1" ref="O19" ca="1">IF(AUTOEVENTO="Manual",ROUND(SUMPRODUCT((CÁLCULO!$M$15:$M$240=EVENTOS!$C19)*(OFFSET(CÁLCULO!$AA$15:$AA$240,0,O$13))),2),0)</f>
        <v>0</v>
      </c>
      <c r="P19" s="620" cm="1">
        <f t="array" aca="1" ref="P19" ca="1">IF(AUTOEVENTO="Manual",ROUND(SUMPRODUCT((CÁLCULO!$M$15:$M$240=EVENTOS!$C19)*(OFFSET(CÁLCULO!$AA$15:$AA$240,0,P$13))),2),0)</f>
        <v>0</v>
      </c>
      <c r="Q19" s="620" cm="1">
        <f t="array" aca="1" ref="Q19" ca="1">IF(AUTOEVENTO="Manual",ROUND(SUMPRODUCT((CÁLCULO!$M$15:$M$240=EVENTOS!$C19)*(OFFSET(CÁLCULO!$AA$15:$AA$240,0,Q$13))),2),0)</f>
        <v>0</v>
      </c>
      <c r="R19" s="620" cm="1">
        <f t="array" aca="1" ref="R19" ca="1">IF(AUTOEVENTO="Manual",ROUND(SUMPRODUCT((CÁLCULO!$M$15:$M$240=EVENTOS!$C19)*(OFFSET(CÁLCULO!$AA$15:$AA$240,0,R$13))),2),0)</f>
        <v>0</v>
      </c>
      <c r="S19" s="620" cm="1">
        <f t="array" aca="1" ref="S19" ca="1">IF(AUTOEVENTO="Manual",ROUND(SUMPRODUCT((CÁLCULO!$M$15:$M$240=EVENTOS!$C19)*(OFFSET(CÁLCULO!$AA$15:$AA$240,0,S$13))),2),0)</f>
        <v>0</v>
      </c>
      <c r="T19" s="620" cm="1">
        <f t="array" aca="1" ref="T19" ca="1">IF(AUTOEVENTO="Manual",ROUND(SUMPRODUCT((CÁLCULO!$M$15:$M$240=EVENTOS!$C19)*(OFFSET(CÁLCULO!$AA$15:$AA$240,0,T$13))),2),0)</f>
        <v>0</v>
      </c>
      <c r="U19" s="620" cm="1">
        <f t="array" aca="1" ref="U19" ca="1">IF(AUTOEVENTO="Manual",ROUND(SUMPRODUCT((CÁLCULO!$M$15:$M$240=EVENTOS!$C19)*(OFFSET(CÁLCULO!$AA$15:$AA$240,0,U$13))),2),0)</f>
        <v>0</v>
      </c>
      <c r="V19" s="620" cm="1">
        <f t="array" aca="1" ref="V19" ca="1">IF(AUTOEVENTO="Manual",ROUND(SUMPRODUCT((CÁLCULO!$M$15:$M$240=EVENTOS!$C19)*(OFFSET(CÁLCULO!$AA$15:$AA$240,0,V$13))),2),0)</f>
        <v>0</v>
      </c>
      <c r="W19" s="620" cm="1">
        <f t="array" aca="1" ref="W19" ca="1">IF(AUTOEVENTO="Manual",ROUND(SUMPRODUCT((CÁLCULO!$M$15:$M$240=EVENTOS!$C19)*(OFFSET(CÁLCULO!$AA$15:$AA$240,0,W$13))),2),0)</f>
        <v>0</v>
      </c>
      <c r="X19" s="620" cm="1">
        <f t="array" aca="1" ref="X19" ca="1">IF(AUTOEVENTO="Manual",ROUND(SUMPRODUCT((CÁLCULO!$M$15:$M$240=EVENTOS!$C19)*(OFFSET(CÁLCULO!$AA$15:$AA$240,0,X$13))),2),0)</f>
        <v>0</v>
      </c>
      <c r="Y19" s="620" cm="1">
        <f t="array" aca="1" ref="Y19" ca="1">IF(AUTOEVENTO="Manual",ROUND(SUMPRODUCT((CÁLCULO!$M$15:$M$240=EVENTOS!$C19)*(OFFSET(CÁLCULO!$AA$15:$AA$240,0,Y$13))),2),0)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IF(AUTOEVENTO="Manual",ROUND(SUMPRODUCT((CÁLCULO!$M$15:$M$240=EVENTOS!$C20)*(OFFSET(CÁLCULO!$AA$15:$AA$240,0,E$13))),2),0)</f>
        <v>0</v>
      </c>
      <c r="F20" s="183">
        <f ca="1">IF(AUTOEVENTO="Manual",ROUND(SUMPRODUCT((CÁLCULO!$M$15:$M$240=EVENTOS!$C20)*(OFFSET(CÁLCULO!$AA$15,0,1):OFFSET(CÁLCULO!$AL$240,0,-1))),2),0)</f>
        <v>0</v>
      </c>
      <c r="G20" s="621" t="str">
        <f t="shared" ca="1" si="5"/>
        <v/>
      </c>
      <c r="H20" s="620" cm="1">
        <f t="array" aca="1" ref="H20" ca="1">IF(AUTOEVENTO="Manual",ROUND(SUMPRODUCT((CÁLCULO!$M$15:$M$240=EVENTOS!$C20)*(OFFSET(CÁLCULO!$AA$15:$AA$240,0,H$13))),2),0)</f>
        <v>0</v>
      </c>
      <c r="I20" s="620" cm="1">
        <f t="array" aca="1" ref="I20" ca="1">IF(AUTOEVENTO="Manual",ROUND(SUMPRODUCT((CÁLCULO!$M$15:$M$240=EVENTOS!$C20)*(OFFSET(CÁLCULO!$AA$15:$AA$240,0,I$13))),2),0)</f>
        <v>0</v>
      </c>
      <c r="J20" s="620" cm="1">
        <f t="array" aca="1" ref="J20" ca="1">IF(AUTOEVENTO="Manual",ROUND(SUMPRODUCT((CÁLCULO!$M$15:$M$240=EVENTOS!$C20)*(OFFSET(CÁLCULO!$AA$15:$AA$240,0,J$13))),2),0)</f>
        <v>0</v>
      </c>
      <c r="K20" s="620" cm="1">
        <f t="array" aca="1" ref="K20" ca="1">IF(AUTOEVENTO="Manual",ROUND(SUMPRODUCT((CÁLCULO!$M$15:$M$240=EVENTOS!$C20)*(OFFSET(CÁLCULO!$AA$15:$AA$240,0,K$13))),2),0)</f>
        <v>0</v>
      </c>
      <c r="L20" s="620" cm="1">
        <f t="array" aca="1" ref="L20" ca="1">IF(AUTOEVENTO="Manual",ROUND(SUMPRODUCT((CÁLCULO!$M$15:$M$240=EVENTOS!$C20)*(OFFSET(CÁLCULO!$AA$15:$AA$240,0,L$13))),2),0)</f>
        <v>0</v>
      </c>
      <c r="M20" s="620" cm="1">
        <f t="array" aca="1" ref="M20" ca="1">IF(AUTOEVENTO="Manual",ROUND(SUMPRODUCT((CÁLCULO!$M$15:$M$240=EVENTOS!$C20)*(OFFSET(CÁLCULO!$AA$15:$AA$240,0,M$13))),2),0)</f>
        <v>0</v>
      </c>
      <c r="N20" s="620" cm="1">
        <f t="array" aca="1" ref="N20" ca="1">IF(AUTOEVENTO="Manual",ROUND(SUMPRODUCT((CÁLCULO!$M$15:$M$240=EVENTOS!$C20)*(OFFSET(CÁLCULO!$AA$15:$AA$240,0,N$13))),2),0)</f>
        <v>0</v>
      </c>
      <c r="O20" s="620" cm="1">
        <f t="array" aca="1" ref="O20" ca="1">IF(AUTOEVENTO="Manual",ROUND(SUMPRODUCT((CÁLCULO!$M$15:$M$240=EVENTOS!$C20)*(OFFSET(CÁLCULO!$AA$15:$AA$240,0,O$13))),2),0)</f>
        <v>0</v>
      </c>
      <c r="P20" s="620" cm="1">
        <f t="array" aca="1" ref="P20" ca="1">IF(AUTOEVENTO="Manual",ROUND(SUMPRODUCT((CÁLCULO!$M$15:$M$240=EVENTOS!$C20)*(OFFSET(CÁLCULO!$AA$15:$AA$240,0,P$13))),2),0)</f>
        <v>0</v>
      </c>
      <c r="Q20" s="620" cm="1">
        <f t="array" aca="1" ref="Q20" ca="1">IF(AUTOEVENTO="Manual",ROUND(SUMPRODUCT((CÁLCULO!$M$15:$M$240=EVENTOS!$C20)*(OFFSET(CÁLCULO!$AA$15:$AA$240,0,Q$13))),2),0)</f>
        <v>0</v>
      </c>
      <c r="R20" s="620" cm="1">
        <f t="array" aca="1" ref="R20" ca="1">IF(AUTOEVENTO="Manual",ROUND(SUMPRODUCT((CÁLCULO!$M$15:$M$240=EVENTOS!$C20)*(OFFSET(CÁLCULO!$AA$15:$AA$240,0,R$13))),2),0)</f>
        <v>0</v>
      </c>
      <c r="S20" s="620" cm="1">
        <f t="array" aca="1" ref="S20" ca="1">IF(AUTOEVENTO="Manual",ROUND(SUMPRODUCT((CÁLCULO!$M$15:$M$240=EVENTOS!$C20)*(OFFSET(CÁLCULO!$AA$15:$AA$240,0,S$13))),2),0)</f>
        <v>0</v>
      </c>
      <c r="T20" s="620" cm="1">
        <f t="array" aca="1" ref="T20" ca="1">IF(AUTOEVENTO="Manual",ROUND(SUMPRODUCT((CÁLCULO!$M$15:$M$240=EVENTOS!$C20)*(OFFSET(CÁLCULO!$AA$15:$AA$240,0,T$13))),2),0)</f>
        <v>0</v>
      </c>
      <c r="U20" s="620" cm="1">
        <f t="array" aca="1" ref="U20" ca="1">IF(AUTOEVENTO="Manual",ROUND(SUMPRODUCT((CÁLCULO!$M$15:$M$240=EVENTOS!$C20)*(OFFSET(CÁLCULO!$AA$15:$AA$240,0,U$13))),2),0)</f>
        <v>0</v>
      </c>
      <c r="V20" s="620" cm="1">
        <f t="array" aca="1" ref="V20" ca="1">IF(AUTOEVENTO="Manual",ROUND(SUMPRODUCT((CÁLCULO!$M$15:$M$240=EVENTOS!$C20)*(OFFSET(CÁLCULO!$AA$15:$AA$240,0,V$13))),2),0)</f>
        <v>0</v>
      </c>
      <c r="W20" s="620" cm="1">
        <f t="array" aca="1" ref="W20" ca="1">IF(AUTOEVENTO="Manual",ROUND(SUMPRODUCT((CÁLCULO!$M$15:$M$240=EVENTOS!$C20)*(OFFSET(CÁLCULO!$AA$15:$AA$240,0,W$13))),2),0)</f>
        <v>0</v>
      </c>
      <c r="X20" s="620" cm="1">
        <f t="array" aca="1" ref="X20" ca="1">IF(AUTOEVENTO="Manual",ROUND(SUMPRODUCT((CÁLCULO!$M$15:$M$240=EVENTOS!$C20)*(OFFSET(CÁLCULO!$AA$15:$AA$240,0,X$13))),2),0)</f>
        <v>0</v>
      </c>
      <c r="Y20" s="620" cm="1">
        <f t="array" aca="1" ref="Y20" ca="1">IF(AUTOEVENTO="Manual",ROUND(SUMPRODUCT((CÁLCULO!$M$15:$M$240=EVENTOS!$C20)*(OFFSET(CÁLCULO!$AA$15:$AA$240,0,Y$13))),2),0)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IF(AUTOEVENTO="Manual",ROUND(SUMPRODUCT((CÁLCULO!$M$15:$M$240=EVENTOS!$C21)*(OFFSET(CÁLCULO!$AA$15:$AA$240,0,E$13))),2),0)</f>
        <v>0</v>
      </c>
      <c r="F21" s="183">
        <f ca="1">IF(AUTOEVENTO="Manual",ROUND(SUMPRODUCT((CÁLCULO!$M$15:$M$240=EVENTOS!$C21)*(OFFSET(CÁLCULO!$AA$15,0,1):OFFSET(CÁLCULO!$AL$240,0,-1))),2),0)</f>
        <v>0</v>
      </c>
      <c r="G21" s="621" t="str">
        <f t="shared" ca="1" si="5"/>
        <v/>
      </c>
      <c r="H21" s="620" cm="1">
        <f t="array" aca="1" ref="H21" ca="1">IF(AUTOEVENTO="Manual",ROUND(SUMPRODUCT((CÁLCULO!$M$15:$M$240=EVENTOS!$C21)*(OFFSET(CÁLCULO!$AA$15:$AA$240,0,H$13))),2),0)</f>
        <v>0</v>
      </c>
      <c r="I21" s="620" cm="1">
        <f t="array" aca="1" ref="I21" ca="1">IF(AUTOEVENTO="Manual",ROUND(SUMPRODUCT((CÁLCULO!$M$15:$M$240=EVENTOS!$C21)*(OFFSET(CÁLCULO!$AA$15:$AA$240,0,I$13))),2),0)</f>
        <v>0</v>
      </c>
      <c r="J21" s="620" cm="1">
        <f t="array" aca="1" ref="J21" ca="1">IF(AUTOEVENTO="Manual",ROUND(SUMPRODUCT((CÁLCULO!$M$15:$M$240=EVENTOS!$C21)*(OFFSET(CÁLCULO!$AA$15:$AA$240,0,J$13))),2),0)</f>
        <v>0</v>
      </c>
      <c r="K21" s="620" cm="1">
        <f t="array" aca="1" ref="K21" ca="1">IF(AUTOEVENTO="Manual",ROUND(SUMPRODUCT((CÁLCULO!$M$15:$M$240=EVENTOS!$C21)*(OFFSET(CÁLCULO!$AA$15:$AA$240,0,K$13))),2),0)</f>
        <v>0</v>
      </c>
      <c r="L21" s="620" cm="1">
        <f t="array" aca="1" ref="L21" ca="1">IF(AUTOEVENTO="Manual",ROUND(SUMPRODUCT((CÁLCULO!$M$15:$M$240=EVENTOS!$C21)*(OFFSET(CÁLCULO!$AA$15:$AA$240,0,L$13))),2),0)</f>
        <v>0</v>
      </c>
      <c r="M21" s="620" cm="1">
        <f t="array" aca="1" ref="M21" ca="1">IF(AUTOEVENTO="Manual",ROUND(SUMPRODUCT((CÁLCULO!$M$15:$M$240=EVENTOS!$C21)*(OFFSET(CÁLCULO!$AA$15:$AA$240,0,M$13))),2),0)</f>
        <v>0</v>
      </c>
      <c r="N21" s="620" cm="1">
        <f t="array" aca="1" ref="N21" ca="1">IF(AUTOEVENTO="Manual",ROUND(SUMPRODUCT((CÁLCULO!$M$15:$M$240=EVENTOS!$C21)*(OFFSET(CÁLCULO!$AA$15:$AA$240,0,N$13))),2),0)</f>
        <v>0</v>
      </c>
      <c r="O21" s="620" cm="1">
        <f t="array" aca="1" ref="O21" ca="1">IF(AUTOEVENTO="Manual",ROUND(SUMPRODUCT((CÁLCULO!$M$15:$M$240=EVENTOS!$C21)*(OFFSET(CÁLCULO!$AA$15:$AA$240,0,O$13))),2),0)</f>
        <v>0</v>
      </c>
      <c r="P21" s="620" cm="1">
        <f t="array" aca="1" ref="P21" ca="1">IF(AUTOEVENTO="Manual",ROUND(SUMPRODUCT((CÁLCULO!$M$15:$M$240=EVENTOS!$C21)*(OFFSET(CÁLCULO!$AA$15:$AA$240,0,P$13))),2),0)</f>
        <v>0</v>
      </c>
      <c r="Q21" s="620" cm="1">
        <f t="array" aca="1" ref="Q21" ca="1">IF(AUTOEVENTO="Manual",ROUND(SUMPRODUCT((CÁLCULO!$M$15:$M$240=EVENTOS!$C21)*(OFFSET(CÁLCULO!$AA$15:$AA$240,0,Q$13))),2),0)</f>
        <v>0</v>
      </c>
      <c r="R21" s="620" cm="1">
        <f t="array" aca="1" ref="R21" ca="1">IF(AUTOEVENTO="Manual",ROUND(SUMPRODUCT((CÁLCULO!$M$15:$M$240=EVENTOS!$C21)*(OFFSET(CÁLCULO!$AA$15:$AA$240,0,R$13))),2),0)</f>
        <v>0</v>
      </c>
      <c r="S21" s="620" cm="1">
        <f t="array" aca="1" ref="S21" ca="1">IF(AUTOEVENTO="Manual",ROUND(SUMPRODUCT((CÁLCULO!$M$15:$M$240=EVENTOS!$C21)*(OFFSET(CÁLCULO!$AA$15:$AA$240,0,S$13))),2),0)</f>
        <v>0</v>
      </c>
      <c r="T21" s="620" cm="1">
        <f t="array" aca="1" ref="T21" ca="1">IF(AUTOEVENTO="Manual",ROUND(SUMPRODUCT((CÁLCULO!$M$15:$M$240=EVENTOS!$C21)*(OFFSET(CÁLCULO!$AA$15:$AA$240,0,T$13))),2),0)</f>
        <v>0</v>
      </c>
      <c r="U21" s="620" cm="1">
        <f t="array" aca="1" ref="U21" ca="1">IF(AUTOEVENTO="Manual",ROUND(SUMPRODUCT((CÁLCULO!$M$15:$M$240=EVENTOS!$C21)*(OFFSET(CÁLCULO!$AA$15:$AA$240,0,U$13))),2),0)</f>
        <v>0</v>
      </c>
      <c r="V21" s="620" cm="1">
        <f t="array" aca="1" ref="V21" ca="1">IF(AUTOEVENTO="Manual",ROUND(SUMPRODUCT((CÁLCULO!$M$15:$M$240=EVENTOS!$C21)*(OFFSET(CÁLCULO!$AA$15:$AA$240,0,V$13))),2),0)</f>
        <v>0</v>
      </c>
      <c r="W21" s="620" cm="1">
        <f t="array" aca="1" ref="W21" ca="1">IF(AUTOEVENTO="Manual",ROUND(SUMPRODUCT((CÁLCULO!$M$15:$M$240=EVENTOS!$C21)*(OFFSET(CÁLCULO!$AA$15:$AA$240,0,W$13))),2),0)</f>
        <v>0</v>
      </c>
      <c r="X21" s="620" cm="1">
        <f t="array" aca="1" ref="X21" ca="1">IF(AUTOEVENTO="Manual",ROUND(SUMPRODUCT((CÁLCULO!$M$15:$M$240=EVENTOS!$C21)*(OFFSET(CÁLCULO!$AA$15:$AA$240,0,X$13))),2),0)</f>
        <v>0</v>
      </c>
      <c r="Y21" s="620" cm="1">
        <f t="array" aca="1" ref="Y21" ca="1">IF(AUTOEVENTO="Manual",ROUND(SUMPRODUCT((CÁLCULO!$M$15:$M$240=EVENTOS!$C21)*(OFFSET(CÁLCULO!$AA$15:$AA$240,0,Y$13))),2),0)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IF(AUTOEVENTO="Manual",ROUND(SUMPRODUCT((CÁLCULO!$M$15:$M$240=EVENTOS!$C22)*(OFFSET(CÁLCULO!$AA$15:$AA$240,0,E$13))),2),0)</f>
        <v>0</v>
      </c>
      <c r="F22" s="183">
        <f ca="1">IF(AUTOEVENTO="Manual",ROUND(SUMPRODUCT((CÁLCULO!$M$15:$M$240=EVENTOS!$C22)*(OFFSET(CÁLCULO!$AA$15,0,1):OFFSET(CÁLCULO!$AL$240,0,-1))),2),0)</f>
        <v>0</v>
      </c>
      <c r="G22" s="621" t="str">
        <f t="shared" ca="1" si="5"/>
        <v/>
      </c>
      <c r="H22" s="620" cm="1">
        <f t="array" aca="1" ref="H22" ca="1">IF(AUTOEVENTO="Manual",ROUND(SUMPRODUCT((CÁLCULO!$M$15:$M$240=EVENTOS!$C22)*(OFFSET(CÁLCULO!$AA$15:$AA$240,0,H$13))),2),0)</f>
        <v>0</v>
      </c>
      <c r="I22" s="620" cm="1">
        <f t="array" aca="1" ref="I22" ca="1">IF(AUTOEVENTO="Manual",ROUND(SUMPRODUCT((CÁLCULO!$M$15:$M$240=EVENTOS!$C22)*(OFFSET(CÁLCULO!$AA$15:$AA$240,0,I$13))),2),0)</f>
        <v>0</v>
      </c>
      <c r="J22" s="620" cm="1">
        <f t="array" aca="1" ref="J22" ca="1">IF(AUTOEVENTO="Manual",ROUND(SUMPRODUCT((CÁLCULO!$M$15:$M$240=EVENTOS!$C22)*(OFFSET(CÁLCULO!$AA$15:$AA$240,0,J$13))),2),0)</f>
        <v>0</v>
      </c>
      <c r="K22" s="620" cm="1">
        <f t="array" aca="1" ref="K22" ca="1">IF(AUTOEVENTO="Manual",ROUND(SUMPRODUCT((CÁLCULO!$M$15:$M$240=EVENTOS!$C22)*(OFFSET(CÁLCULO!$AA$15:$AA$240,0,K$13))),2),0)</f>
        <v>0</v>
      </c>
      <c r="L22" s="620" cm="1">
        <f t="array" aca="1" ref="L22" ca="1">IF(AUTOEVENTO="Manual",ROUND(SUMPRODUCT((CÁLCULO!$M$15:$M$240=EVENTOS!$C22)*(OFFSET(CÁLCULO!$AA$15:$AA$240,0,L$13))),2),0)</f>
        <v>0</v>
      </c>
      <c r="M22" s="620" cm="1">
        <f t="array" aca="1" ref="M22" ca="1">IF(AUTOEVENTO="Manual",ROUND(SUMPRODUCT((CÁLCULO!$M$15:$M$240=EVENTOS!$C22)*(OFFSET(CÁLCULO!$AA$15:$AA$240,0,M$13))),2),0)</f>
        <v>0</v>
      </c>
      <c r="N22" s="620" cm="1">
        <f t="array" aca="1" ref="N22" ca="1">IF(AUTOEVENTO="Manual",ROUND(SUMPRODUCT((CÁLCULO!$M$15:$M$240=EVENTOS!$C22)*(OFFSET(CÁLCULO!$AA$15:$AA$240,0,N$13))),2),0)</f>
        <v>0</v>
      </c>
      <c r="O22" s="620" cm="1">
        <f t="array" aca="1" ref="O22" ca="1">IF(AUTOEVENTO="Manual",ROUND(SUMPRODUCT((CÁLCULO!$M$15:$M$240=EVENTOS!$C22)*(OFFSET(CÁLCULO!$AA$15:$AA$240,0,O$13))),2),0)</f>
        <v>0</v>
      </c>
      <c r="P22" s="620" cm="1">
        <f t="array" aca="1" ref="P22" ca="1">IF(AUTOEVENTO="Manual",ROUND(SUMPRODUCT((CÁLCULO!$M$15:$M$240=EVENTOS!$C22)*(OFFSET(CÁLCULO!$AA$15:$AA$240,0,P$13))),2),0)</f>
        <v>0</v>
      </c>
      <c r="Q22" s="620" cm="1">
        <f t="array" aca="1" ref="Q22" ca="1">IF(AUTOEVENTO="Manual",ROUND(SUMPRODUCT((CÁLCULO!$M$15:$M$240=EVENTOS!$C22)*(OFFSET(CÁLCULO!$AA$15:$AA$240,0,Q$13))),2),0)</f>
        <v>0</v>
      </c>
      <c r="R22" s="620" cm="1">
        <f t="array" aca="1" ref="R22" ca="1">IF(AUTOEVENTO="Manual",ROUND(SUMPRODUCT((CÁLCULO!$M$15:$M$240=EVENTOS!$C22)*(OFFSET(CÁLCULO!$AA$15:$AA$240,0,R$13))),2),0)</f>
        <v>0</v>
      </c>
      <c r="S22" s="620" cm="1">
        <f t="array" aca="1" ref="S22" ca="1">IF(AUTOEVENTO="Manual",ROUND(SUMPRODUCT((CÁLCULO!$M$15:$M$240=EVENTOS!$C22)*(OFFSET(CÁLCULO!$AA$15:$AA$240,0,S$13))),2),0)</f>
        <v>0</v>
      </c>
      <c r="T22" s="620" cm="1">
        <f t="array" aca="1" ref="T22" ca="1">IF(AUTOEVENTO="Manual",ROUND(SUMPRODUCT((CÁLCULO!$M$15:$M$240=EVENTOS!$C22)*(OFFSET(CÁLCULO!$AA$15:$AA$240,0,T$13))),2),0)</f>
        <v>0</v>
      </c>
      <c r="U22" s="620" cm="1">
        <f t="array" aca="1" ref="U22" ca="1">IF(AUTOEVENTO="Manual",ROUND(SUMPRODUCT((CÁLCULO!$M$15:$M$240=EVENTOS!$C22)*(OFFSET(CÁLCULO!$AA$15:$AA$240,0,U$13))),2),0)</f>
        <v>0</v>
      </c>
      <c r="V22" s="620" cm="1">
        <f t="array" aca="1" ref="V22" ca="1">IF(AUTOEVENTO="Manual",ROUND(SUMPRODUCT((CÁLCULO!$M$15:$M$240=EVENTOS!$C22)*(OFFSET(CÁLCULO!$AA$15:$AA$240,0,V$13))),2),0)</f>
        <v>0</v>
      </c>
      <c r="W22" s="620" cm="1">
        <f t="array" aca="1" ref="W22" ca="1">IF(AUTOEVENTO="Manual",ROUND(SUMPRODUCT((CÁLCULO!$M$15:$M$240=EVENTOS!$C22)*(OFFSET(CÁLCULO!$AA$15:$AA$240,0,W$13))),2),0)</f>
        <v>0</v>
      </c>
      <c r="X22" s="620" cm="1">
        <f t="array" aca="1" ref="X22" ca="1">IF(AUTOEVENTO="Manual",ROUND(SUMPRODUCT((CÁLCULO!$M$15:$M$240=EVENTOS!$C22)*(OFFSET(CÁLCULO!$AA$15:$AA$240,0,X$13))),2),0)</f>
        <v>0</v>
      </c>
      <c r="Y22" s="620" cm="1">
        <f t="array" aca="1" ref="Y22" ca="1">IF(AUTOEVENTO="Manual",ROUND(SUMPRODUCT((CÁLCULO!$M$15:$M$240=EVENTOS!$C22)*(OFFSET(CÁLCULO!$AA$15:$AA$240,0,Y$13))),2),0)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IF(AUTOEVENTO="Manual",ROUND(SUMPRODUCT((CÁLCULO!$M$15:$M$240=EVENTOS!$C23)*(OFFSET(CÁLCULO!$AA$15:$AA$240,0,E$13))),2),0)</f>
        <v>0</v>
      </c>
      <c r="F23" s="183">
        <f ca="1">IF(AUTOEVENTO="Manual",ROUND(SUMPRODUCT((CÁLCULO!$M$15:$M$240=EVENTOS!$C23)*(OFFSET(CÁLCULO!$AA$15,0,1):OFFSET(CÁLCULO!$AL$240,0,-1))),2),0)</f>
        <v>0</v>
      </c>
      <c r="G23" s="621" t="str">
        <f t="shared" ca="1" si="5"/>
        <v/>
      </c>
      <c r="H23" s="620" cm="1">
        <f t="array" aca="1" ref="H23" ca="1">IF(AUTOEVENTO="Manual",ROUND(SUMPRODUCT((CÁLCULO!$M$15:$M$240=EVENTOS!$C23)*(OFFSET(CÁLCULO!$AA$15:$AA$240,0,H$13))),2),0)</f>
        <v>0</v>
      </c>
      <c r="I23" s="620" cm="1">
        <f t="array" aca="1" ref="I23" ca="1">IF(AUTOEVENTO="Manual",ROUND(SUMPRODUCT((CÁLCULO!$M$15:$M$240=EVENTOS!$C23)*(OFFSET(CÁLCULO!$AA$15:$AA$240,0,I$13))),2),0)</f>
        <v>0</v>
      </c>
      <c r="J23" s="620" cm="1">
        <f t="array" aca="1" ref="J23" ca="1">IF(AUTOEVENTO="Manual",ROUND(SUMPRODUCT((CÁLCULO!$M$15:$M$240=EVENTOS!$C23)*(OFFSET(CÁLCULO!$AA$15:$AA$240,0,J$13))),2),0)</f>
        <v>0</v>
      </c>
      <c r="K23" s="620" cm="1">
        <f t="array" aca="1" ref="K23" ca="1">IF(AUTOEVENTO="Manual",ROUND(SUMPRODUCT((CÁLCULO!$M$15:$M$240=EVENTOS!$C23)*(OFFSET(CÁLCULO!$AA$15:$AA$240,0,K$13))),2),0)</f>
        <v>0</v>
      </c>
      <c r="L23" s="620" cm="1">
        <f t="array" aca="1" ref="L23" ca="1">IF(AUTOEVENTO="Manual",ROUND(SUMPRODUCT((CÁLCULO!$M$15:$M$240=EVENTOS!$C23)*(OFFSET(CÁLCULO!$AA$15:$AA$240,0,L$13))),2),0)</f>
        <v>0</v>
      </c>
      <c r="M23" s="620" cm="1">
        <f t="array" aca="1" ref="M23" ca="1">IF(AUTOEVENTO="Manual",ROUND(SUMPRODUCT((CÁLCULO!$M$15:$M$240=EVENTOS!$C23)*(OFFSET(CÁLCULO!$AA$15:$AA$240,0,M$13))),2),0)</f>
        <v>0</v>
      </c>
      <c r="N23" s="620" cm="1">
        <f t="array" aca="1" ref="N23" ca="1">IF(AUTOEVENTO="Manual",ROUND(SUMPRODUCT((CÁLCULO!$M$15:$M$240=EVENTOS!$C23)*(OFFSET(CÁLCULO!$AA$15:$AA$240,0,N$13))),2),0)</f>
        <v>0</v>
      </c>
      <c r="O23" s="620" cm="1">
        <f t="array" aca="1" ref="O23" ca="1">IF(AUTOEVENTO="Manual",ROUND(SUMPRODUCT((CÁLCULO!$M$15:$M$240=EVENTOS!$C23)*(OFFSET(CÁLCULO!$AA$15:$AA$240,0,O$13))),2),0)</f>
        <v>0</v>
      </c>
      <c r="P23" s="620" cm="1">
        <f t="array" aca="1" ref="P23" ca="1">IF(AUTOEVENTO="Manual",ROUND(SUMPRODUCT((CÁLCULO!$M$15:$M$240=EVENTOS!$C23)*(OFFSET(CÁLCULO!$AA$15:$AA$240,0,P$13))),2),0)</f>
        <v>0</v>
      </c>
      <c r="Q23" s="620" cm="1">
        <f t="array" aca="1" ref="Q23" ca="1">IF(AUTOEVENTO="Manual",ROUND(SUMPRODUCT((CÁLCULO!$M$15:$M$240=EVENTOS!$C23)*(OFFSET(CÁLCULO!$AA$15:$AA$240,0,Q$13))),2),0)</f>
        <v>0</v>
      </c>
      <c r="R23" s="620" cm="1">
        <f t="array" aca="1" ref="R23" ca="1">IF(AUTOEVENTO="Manual",ROUND(SUMPRODUCT((CÁLCULO!$M$15:$M$240=EVENTOS!$C23)*(OFFSET(CÁLCULO!$AA$15:$AA$240,0,R$13))),2),0)</f>
        <v>0</v>
      </c>
      <c r="S23" s="620" cm="1">
        <f t="array" aca="1" ref="S23" ca="1">IF(AUTOEVENTO="Manual",ROUND(SUMPRODUCT((CÁLCULO!$M$15:$M$240=EVENTOS!$C23)*(OFFSET(CÁLCULO!$AA$15:$AA$240,0,S$13))),2),0)</f>
        <v>0</v>
      </c>
      <c r="T23" s="620" cm="1">
        <f t="array" aca="1" ref="T23" ca="1">IF(AUTOEVENTO="Manual",ROUND(SUMPRODUCT((CÁLCULO!$M$15:$M$240=EVENTOS!$C23)*(OFFSET(CÁLCULO!$AA$15:$AA$240,0,T$13))),2),0)</f>
        <v>0</v>
      </c>
      <c r="U23" s="620" cm="1">
        <f t="array" aca="1" ref="U23" ca="1">IF(AUTOEVENTO="Manual",ROUND(SUMPRODUCT((CÁLCULO!$M$15:$M$240=EVENTOS!$C23)*(OFFSET(CÁLCULO!$AA$15:$AA$240,0,U$13))),2),0)</f>
        <v>0</v>
      </c>
      <c r="V23" s="620" cm="1">
        <f t="array" aca="1" ref="V23" ca="1">IF(AUTOEVENTO="Manual",ROUND(SUMPRODUCT((CÁLCULO!$M$15:$M$240=EVENTOS!$C23)*(OFFSET(CÁLCULO!$AA$15:$AA$240,0,V$13))),2),0)</f>
        <v>0</v>
      </c>
      <c r="W23" s="620" cm="1">
        <f t="array" aca="1" ref="W23" ca="1">IF(AUTOEVENTO="Manual",ROUND(SUMPRODUCT((CÁLCULO!$M$15:$M$240=EVENTOS!$C23)*(OFFSET(CÁLCULO!$AA$15:$AA$240,0,W$13))),2),0)</f>
        <v>0</v>
      </c>
      <c r="X23" s="620" cm="1">
        <f t="array" aca="1" ref="X23" ca="1">IF(AUTOEVENTO="Manual",ROUND(SUMPRODUCT((CÁLCULO!$M$15:$M$240=EVENTOS!$C23)*(OFFSET(CÁLCULO!$AA$15:$AA$240,0,X$13))),2),0)</f>
        <v>0</v>
      </c>
      <c r="Y23" s="620" cm="1">
        <f t="array" aca="1" ref="Y23" ca="1">IF(AUTOEVENTO="Manual",ROUND(SUMPRODUCT((CÁLCULO!$M$15:$M$240=EVENTOS!$C23)*(OFFSET(CÁLCULO!$AA$15:$AA$240,0,Y$13))),2),0)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IF(AUTOEVENTO="Manual",ROUND(SUMPRODUCT((CÁLCULO!$M$15:$M$240=EVENTOS!$C24)*(OFFSET(CÁLCULO!$AA$15:$AA$240,0,E$13))),2),0)</f>
        <v>0</v>
      </c>
      <c r="F24" s="183">
        <f ca="1">IF(AUTOEVENTO="Manual",ROUND(SUMPRODUCT((CÁLCULO!$M$15:$M$240=EVENTOS!$C24)*(OFFSET(CÁLCULO!$AA$15,0,1):OFFSET(CÁLCULO!$AL$240,0,-1))),2),0)</f>
        <v>0</v>
      </c>
      <c r="G24" s="621" t="str">
        <f t="shared" ca="1" si="5"/>
        <v/>
      </c>
      <c r="H24" s="620" cm="1">
        <f t="array" aca="1" ref="H24" ca="1">IF(AUTOEVENTO="Manual",ROUND(SUMPRODUCT((CÁLCULO!$M$15:$M$240=EVENTOS!$C24)*(OFFSET(CÁLCULO!$AA$15:$AA$240,0,H$13))),2),0)</f>
        <v>0</v>
      </c>
      <c r="I24" s="620" cm="1">
        <f t="array" aca="1" ref="I24" ca="1">IF(AUTOEVENTO="Manual",ROUND(SUMPRODUCT((CÁLCULO!$M$15:$M$240=EVENTOS!$C24)*(OFFSET(CÁLCULO!$AA$15:$AA$240,0,I$13))),2),0)</f>
        <v>0</v>
      </c>
      <c r="J24" s="620" cm="1">
        <f t="array" aca="1" ref="J24" ca="1">IF(AUTOEVENTO="Manual",ROUND(SUMPRODUCT((CÁLCULO!$M$15:$M$240=EVENTOS!$C24)*(OFFSET(CÁLCULO!$AA$15:$AA$240,0,J$13))),2),0)</f>
        <v>0</v>
      </c>
      <c r="K24" s="620" cm="1">
        <f t="array" aca="1" ref="K24" ca="1">IF(AUTOEVENTO="Manual",ROUND(SUMPRODUCT((CÁLCULO!$M$15:$M$240=EVENTOS!$C24)*(OFFSET(CÁLCULO!$AA$15:$AA$240,0,K$13))),2),0)</f>
        <v>0</v>
      </c>
      <c r="L24" s="620" cm="1">
        <f t="array" aca="1" ref="L24" ca="1">IF(AUTOEVENTO="Manual",ROUND(SUMPRODUCT((CÁLCULO!$M$15:$M$240=EVENTOS!$C24)*(OFFSET(CÁLCULO!$AA$15:$AA$240,0,L$13))),2),0)</f>
        <v>0</v>
      </c>
      <c r="M24" s="620" cm="1">
        <f t="array" aca="1" ref="M24" ca="1">IF(AUTOEVENTO="Manual",ROUND(SUMPRODUCT((CÁLCULO!$M$15:$M$240=EVENTOS!$C24)*(OFFSET(CÁLCULO!$AA$15:$AA$240,0,M$13))),2),0)</f>
        <v>0</v>
      </c>
      <c r="N24" s="620" cm="1">
        <f t="array" aca="1" ref="N24" ca="1">IF(AUTOEVENTO="Manual",ROUND(SUMPRODUCT((CÁLCULO!$M$15:$M$240=EVENTOS!$C24)*(OFFSET(CÁLCULO!$AA$15:$AA$240,0,N$13))),2),0)</f>
        <v>0</v>
      </c>
      <c r="O24" s="620" cm="1">
        <f t="array" aca="1" ref="O24" ca="1">IF(AUTOEVENTO="Manual",ROUND(SUMPRODUCT((CÁLCULO!$M$15:$M$240=EVENTOS!$C24)*(OFFSET(CÁLCULO!$AA$15:$AA$240,0,O$13))),2),0)</f>
        <v>0</v>
      </c>
      <c r="P24" s="620" cm="1">
        <f t="array" aca="1" ref="P24" ca="1">IF(AUTOEVENTO="Manual",ROUND(SUMPRODUCT((CÁLCULO!$M$15:$M$240=EVENTOS!$C24)*(OFFSET(CÁLCULO!$AA$15:$AA$240,0,P$13))),2),0)</f>
        <v>0</v>
      </c>
      <c r="Q24" s="620" cm="1">
        <f t="array" aca="1" ref="Q24" ca="1">IF(AUTOEVENTO="Manual",ROUND(SUMPRODUCT((CÁLCULO!$M$15:$M$240=EVENTOS!$C24)*(OFFSET(CÁLCULO!$AA$15:$AA$240,0,Q$13))),2),0)</f>
        <v>0</v>
      </c>
      <c r="R24" s="620" cm="1">
        <f t="array" aca="1" ref="R24" ca="1">IF(AUTOEVENTO="Manual",ROUND(SUMPRODUCT((CÁLCULO!$M$15:$M$240=EVENTOS!$C24)*(OFFSET(CÁLCULO!$AA$15:$AA$240,0,R$13))),2),0)</f>
        <v>0</v>
      </c>
      <c r="S24" s="620" cm="1">
        <f t="array" aca="1" ref="S24" ca="1">IF(AUTOEVENTO="Manual",ROUND(SUMPRODUCT((CÁLCULO!$M$15:$M$240=EVENTOS!$C24)*(OFFSET(CÁLCULO!$AA$15:$AA$240,0,S$13))),2),0)</f>
        <v>0</v>
      </c>
      <c r="T24" s="620" cm="1">
        <f t="array" aca="1" ref="T24" ca="1">IF(AUTOEVENTO="Manual",ROUND(SUMPRODUCT((CÁLCULO!$M$15:$M$240=EVENTOS!$C24)*(OFFSET(CÁLCULO!$AA$15:$AA$240,0,T$13))),2),0)</f>
        <v>0</v>
      </c>
      <c r="U24" s="620" cm="1">
        <f t="array" aca="1" ref="U24" ca="1">IF(AUTOEVENTO="Manual",ROUND(SUMPRODUCT((CÁLCULO!$M$15:$M$240=EVENTOS!$C24)*(OFFSET(CÁLCULO!$AA$15:$AA$240,0,U$13))),2),0)</f>
        <v>0</v>
      </c>
      <c r="V24" s="620" cm="1">
        <f t="array" aca="1" ref="V24" ca="1">IF(AUTOEVENTO="Manual",ROUND(SUMPRODUCT((CÁLCULO!$M$15:$M$240=EVENTOS!$C24)*(OFFSET(CÁLCULO!$AA$15:$AA$240,0,V$13))),2),0)</f>
        <v>0</v>
      </c>
      <c r="W24" s="620" cm="1">
        <f t="array" aca="1" ref="W24" ca="1">IF(AUTOEVENTO="Manual",ROUND(SUMPRODUCT((CÁLCULO!$M$15:$M$240=EVENTOS!$C24)*(OFFSET(CÁLCULO!$AA$15:$AA$240,0,W$13))),2),0)</f>
        <v>0</v>
      </c>
      <c r="X24" s="620" cm="1">
        <f t="array" aca="1" ref="X24" ca="1">IF(AUTOEVENTO="Manual",ROUND(SUMPRODUCT((CÁLCULO!$M$15:$M$240=EVENTOS!$C24)*(OFFSET(CÁLCULO!$AA$15:$AA$240,0,X$13))),2),0)</f>
        <v>0</v>
      </c>
      <c r="Y24" s="620" cm="1">
        <f t="array" aca="1" ref="Y24" ca="1">IF(AUTOEVENTO="Manual",ROUND(SUMPRODUCT((CÁLCULO!$M$15:$M$240=EVENTOS!$C24)*(OFFSET(CÁLCULO!$AA$15:$AA$240,0,Y$13))),2),0)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IF(AUTOEVENTO="Manual",ROUND(SUMPRODUCT((CÁLCULO!$M$15:$M$240=EVENTOS!$C25)*(OFFSET(CÁLCULO!$AA$15:$AA$240,0,E$13))),2),0)</f>
        <v>0</v>
      </c>
      <c r="F25" s="183">
        <f ca="1">IF(AUTOEVENTO="Manual",ROUND(SUMPRODUCT((CÁLCULO!$M$15:$M$240=EVENTOS!$C25)*(OFFSET(CÁLCULO!$AA$15,0,1):OFFSET(CÁLCULO!$AL$240,0,-1))),2),0)</f>
        <v>0</v>
      </c>
      <c r="G25" s="621" t="str">
        <f t="shared" ca="1" si="5"/>
        <v/>
      </c>
      <c r="H25" s="620" cm="1">
        <f t="array" aca="1" ref="H25" ca="1">IF(AUTOEVENTO="Manual",ROUND(SUMPRODUCT((CÁLCULO!$M$15:$M$240=EVENTOS!$C25)*(OFFSET(CÁLCULO!$AA$15:$AA$240,0,H$13))),2),0)</f>
        <v>0</v>
      </c>
      <c r="I25" s="620" cm="1">
        <f t="array" aca="1" ref="I25" ca="1">IF(AUTOEVENTO="Manual",ROUND(SUMPRODUCT((CÁLCULO!$M$15:$M$240=EVENTOS!$C25)*(OFFSET(CÁLCULO!$AA$15:$AA$240,0,I$13))),2),0)</f>
        <v>0</v>
      </c>
      <c r="J25" s="620" cm="1">
        <f t="array" aca="1" ref="J25" ca="1">IF(AUTOEVENTO="Manual",ROUND(SUMPRODUCT((CÁLCULO!$M$15:$M$240=EVENTOS!$C25)*(OFFSET(CÁLCULO!$AA$15:$AA$240,0,J$13))),2),0)</f>
        <v>0</v>
      </c>
      <c r="K25" s="620" cm="1">
        <f t="array" aca="1" ref="K25" ca="1">IF(AUTOEVENTO="Manual",ROUND(SUMPRODUCT((CÁLCULO!$M$15:$M$240=EVENTOS!$C25)*(OFFSET(CÁLCULO!$AA$15:$AA$240,0,K$13))),2),0)</f>
        <v>0</v>
      </c>
      <c r="L25" s="620" cm="1">
        <f t="array" aca="1" ref="L25" ca="1">IF(AUTOEVENTO="Manual",ROUND(SUMPRODUCT((CÁLCULO!$M$15:$M$240=EVENTOS!$C25)*(OFFSET(CÁLCULO!$AA$15:$AA$240,0,L$13))),2),0)</f>
        <v>0</v>
      </c>
      <c r="M25" s="620" cm="1">
        <f t="array" aca="1" ref="M25" ca="1">IF(AUTOEVENTO="Manual",ROUND(SUMPRODUCT((CÁLCULO!$M$15:$M$240=EVENTOS!$C25)*(OFFSET(CÁLCULO!$AA$15:$AA$240,0,M$13))),2),0)</f>
        <v>0</v>
      </c>
      <c r="N25" s="620" cm="1">
        <f t="array" aca="1" ref="N25" ca="1">IF(AUTOEVENTO="Manual",ROUND(SUMPRODUCT((CÁLCULO!$M$15:$M$240=EVENTOS!$C25)*(OFFSET(CÁLCULO!$AA$15:$AA$240,0,N$13))),2),0)</f>
        <v>0</v>
      </c>
      <c r="O25" s="620" cm="1">
        <f t="array" aca="1" ref="O25" ca="1">IF(AUTOEVENTO="Manual",ROUND(SUMPRODUCT((CÁLCULO!$M$15:$M$240=EVENTOS!$C25)*(OFFSET(CÁLCULO!$AA$15:$AA$240,0,O$13))),2),0)</f>
        <v>0</v>
      </c>
      <c r="P25" s="620" cm="1">
        <f t="array" aca="1" ref="P25" ca="1">IF(AUTOEVENTO="Manual",ROUND(SUMPRODUCT((CÁLCULO!$M$15:$M$240=EVENTOS!$C25)*(OFFSET(CÁLCULO!$AA$15:$AA$240,0,P$13))),2),0)</f>
        <v>0</v>
      </c>
      <c r="Q25" s="620" cm="1">
        <f t="array" aca="1" ref="Q25" ca="1">IF(AUTOEVENTO="Manual",ROUND(SUMPRODUCT((CÁLCULO!$M$15:$M$240=EVENTOS!$C25)*(OFFSET(CÁLCULO!$AA$15:$AA$240,0,Q$13))),2),0)</f>
        <v>0</v>
      </c>
      <c r="R25" s="620" cm="1">
        <f t="array" aca="1" ref="R25" ca="1">IF(AUTOEVENTO="Manual",ROUND(SUMPRODUCT((CÁLCULO!$M$15:$M$240=EVENTOS!$C25)*(OFFSET(CÁLCULO!$AA$15:$AA$240,0,R$13))),2),0)</f>
        <v>0</v>
      </c>
      <c r="S25" s="620" cm="1">
        <f t="array" aca="1" ref="S25" ca="1">IF(AUTOEVENTO="Manual",ROUND(SUMPRODUCT((CÁLCULO!$M$15:$M$240=EVENTOS!$C25)*(OFFSET(CÁLCULO!$AA$15:$AA$240,0,S$13))),2),0)</f>
        <v>0</v>
      </c>
      <c r="T25" s="620" cm="1">
        <f t="array" aca="1" ref="T25" ca="1">IF(AUTOEVENTO="Manual",ROUND(SUMPRODUCT((CÁLCULO!$M$15:$M$240=EVENTOS!$C25)*(OFFSET(CÁLCULO!$AA$15:$AA$240,0,T$13))),2),0)</f>
        <v>0</v>
      </c>
      <c r="U25" s="620" cm="1">
        <f t="array" aca="1" ref="U25" ca="1">IF(AUTOEVENTO="Manual",ROUND(SUMPRODUCT((CÁLCULO!$M$15:$M$240=EVENTOS!$C25)*(OFFSET(CÁLCULO!$AA$15:$AA$240,0,U$13))),2),0)</f>
        <v>0</v>
      </c>
      <c r="V25" s="620" cm="1">
        <f t="array" aca="1" ref="V25" ca="1">IF(AUTOEVENTO="Manual",ROUND(SUMPRODUCT((CÁLCULO!$M$15:$M$240=EVENTOS!$C25)*(OFFSET(CÁLCULO!$AA$15:$AA$240,0,V$13))),2),0)</f>
        <v>0</v>
      </c>
      <c r="W25" s="620" cm="1">
        <f t="array" aca="1" ref="W25" ca="1">IF(AUTOEVENTO="Manual",ROUND(SUMPRODUCT((CÁLCULO!$M$15:$M$240=EVENTOS!$C25)*(OFFSET(CÁLCULO!$AA$15:$AA$240,0,W$13))),2),0)</f>
        <v>0</v>
      </c>
      <c r="X25" s="620" cm="1">
        <f t="array" aca="1" ref="X25" ca="1">IF(AUTOEVENTO="Manual",ROUND(SUMPRODUCT((CÁLCULO!$M$15:$M$240=EVENTOS!$C25)*(OFFSET(CÁLCULO!$AA$15:$AA$240,0,X$13))),2),0)</f>
        <v>0</v>
      </c>
      <c r="Y25" s="620" cm="1">
        <f t="array" aca="1" ref="Y25" ca="1">IF(AUTOEVENTO="Manual",ROUND(SUMPRODUCT((CÁLCULO!$M$15:$M$240=EVENTOS!$C25)*(OFFSET(CÁLCULO!$AA$15:$AA$240,0,Y$13))),2),0)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IF(AUTOEVENTO="Manual",ROUND(SUMPRODUCT((CÁLCULO!$M$15:$M$240=EVENTOS!$C26)*(OFFSET(CÁLCULO!$AA$15:$AA$240,0,E$13))),2),0)</f>
        <v>0</v>
      </c>
      <c r="F26" s="183">
        <f ca="1">IF(AUTOEVENTO="Manual",ROUND(SUMPRODUCT((CÁLCULO!$M$15:$M$240=EVENTOS!$C26)*(OFFSET(CÁLCULO!$AA$15,0,1):OFFSET(CÁLCULO!$AL$240,0,-1))),2),0)</f>
        <v>0</v>
      </c>
      <c r="G26" s="621" t="str">
        <f t="shared" ca="1" si="5"/>
        <v/>
      </c>
      <c r="H26" s="620" cm="1">
        <f t="array" aca="1" ref="H26" ca="1">IF(AUTOEVENTO="Manual",ROUND(SUMPRODUCT((CÁLCULO!$M$15:$M$240=EVENTOS!$C26)*(OFFSET(CÁLCULO!$AA$15:$AA$240,0,H$13))),2),0)</f>
        <v>0</v>
      </c>
      <c r="I26" s="620" cm="1">
        <f t="array" aca="1" ref="I26" ca="1">IF(AUTOEVENTO="Manual",ROUND(SUMPRODUCT((CÁLCULO!$M$15:$M$240=EVENTOS!$C26)*(OFFSET(CÁLCULO!$AA$15:$AA$240,0,I$13))),2),0)</f>
        <v>0</v>
      </c>
      <c r="J26" s="620" cm="1">
        <f t="array" aca="1" ref="J26" ca="1">IF(AUTOEVENTO="Manual",ROUND(SUMPRODUCT((CÁLCULO!$M$15:$M$240=EVENTOS!$C26)*(OFFSET(CÁLCULO!$AA$15:$AA$240,0,J$13))),2),0)</f>
        <v>0</v>
      </c>
      <c r="K26" s="620" cm="1">
        <f t="array" aca="1" ref="K26" ca="1">IF(AUTOEVENTO="Manual",ROUND(SUMPRODUCT((CÁLCULO!$M$15:$M$240=EVENTOS!$C26)*(OFFSET(CÁLCULO!$AA$15:$AA$240,0,K$13))),2),0)</f>
        <v>0</v>
      </c>
      <c r="L26" s="620" cm="1">
        <f t="array" aca="1" ref="L26" ca="1">IF(AUTOEVENTO="Manual",ROUND(SUMPRODUCT((CÁLCULO!$M$15:$M$240=EVENTOS!$C26)*(OFFSET(CÁLCULO!$AA$15:$AA$240,0,L$13))),2),0)</f>
        <v>0</v>
      </c>
      <c r="M26" s="620" cm="1">
        <f t="array" aca="1" ref="M26" ca="1">IF(AUTOEVENTO="Manual",ROUND(SUMPRODUCT((CÁLCULO!$M$15:$M$240=EVENTOS!$C26)*(OFFSET(CÁLCULO!$AA$15:$AA$240,0,M$13))),2),0)</f>
        <v>0</v>
      </c>
      <c r="N26" s="620" cm="1">
        <f t="array" aca="1" ref="N26" ca="1">IF(AUTOEVENTO="Manual",ROUND(SUMPRODUCT((CÁLCULO!$M$15:$M$240=EVENTOS!$C26)*(OFFSET(CÁLCULO!$AA$15:$AA$240,0,N$13))),2),0)</f>
        <v>0</v>
      </c>
      <c r="O26" s="620" cm="1">
        <f t="array" aca="1" ref="O26" ca="1">IF(AUTOEVENTO="Manual",ROUND(SUMPRODUCT((CÁLCULO!$M$15:$M$240=EVENTOS!$C26)*(OFFSET(CÁLCULO!$AA$15:$AA$240,0,O$13))),2),0)</f>
        <v>0</v>
      </c>
      <c r="P26" s="620" cm="1">
        <f t="array" aca="1" ref="P26" ca="1">IF(AUTOEVENTO="Manual",ROUND(SUMPRODUCT((CÁLCULO!$M$15:$M$240=EVENTOS!$C26)*(OFFSET(CÁLCULO!$AA$15:$AA$240,0,P$13))),2),0)</f>
        <v>0</v>
      </c>
      <c r="Q26" s="620" cm="1">
        <f t="array" aca="1" ref="Q26" ca="1">IF(AUTOEVENTO="Manual",ROUND(SUMPRODUCT((CÁLCULO!$M$15:$M$240=EVENTOS!$C26)*(OFFSET(CÁLCULO!$AA$15:$AA$240,0,Q$13))),2),0)</f>
        <v>0</v>
      </c>
      <c r="R26" s="620" cm="1">
        <f t="array" aca="1" ref="R26" ca="1">IF(AUTOEVENTO="Manual",ROUND(SUMPRODUCT((CÁLCULO!$M$15:$M$240=EVENTOS!$C26)*(OFFSET(CÁLCULO!$AA$15:$AA$240,0,R$13))),2),0)</f>
        <v>0</v>
      </c>
      <c r="S26" s="620" cm="1">
        <f t="array" aca="1" ref="S26" ca="1">IF(AUTOEVENTO="Manual",ROUND(SUMPRODUCT((CÁLCULO!$M$15:$M$240=EVENTOS!$C26)*(OFFSET(CÁLCULO!$AA$15:$AA$240,0,S$13))),2),0)</f>
        <v>0</v>
      </c>
      <c r="T26" s="620" cm="1">
        <f t="array" aca="1" ref="T26" ca="1">IF(AUTOEVENTO="Manual",ROUND(SUMPRODUCT((CÁLCULO!$M$15:$M$240=EVENTOS!$C26)*(OFFSET(CÁLCULO!$AA$15:$AA$240,0,T$13))),2),0)</f>
        <v>0</v>
      </c>
      <c r="U26" s="620" cm="1">
        <f t="array" aca="1" ref="U26" ca="1">IF(AUTOEVENTO="Manual",ROUND(SUMPRODUCT((CÁLCULO!$M$15:$M$240=EVENTOS!$C26)*(OFFSET(CÁLCULO!$AA$15:$AA$240,0,U$13))),2),0)</f>
        <v>0</v>
      </c>
      <c r="V26" s="620" cm="1">
        <f t="array" aca="1" ref="V26" ca="1">IF(AUTOEVENTO="Manual",ROUND(SUMPRODUCT((CÁLCULO!$M$15:$M$240=EVENTOS!$C26)*(OFFSET(CÁLCULO!$AA$15:$AA$240,0,V$13))),2),0)</f>
        <v>0</v>
      </c>
      <c r="W26" s="620" cm="1">
        <f t="array" aca="1" ref="W26" ca="1">IF(AUTOEVENTO="Manual",ROUND(SUMPRODUCT((CÁLCULO!$M$15:$M$240=EVENTOS!$C26)*(OFFSET(CÁLCULO!$AA$15:$AA$240,0,W$13))),2),0)</f>
        <v>0</v>
      </c>
      <c r="X26" s="620" cm="1">
        <f t="array" aca="1" ref="X26" ca="1">IF(AUTOEVENTO="Manual",ROUND(SUMPRODUCT((CÁLCULO!$M$15:$M$240=EVENTOS!$C26)*(OFFSET(CÁLCULO!$AA$15:$AA$240,0,X$13))),2),0)</f>
        <v>0</v>
      </c>
      <c r="Y26" s="620" cm="1">
        <f t="array" aca="1" ref="Y26" ca="1">IF(AUTOEVENTO="Manual",ROUND(SUMPRODUCT((CÁLCULO!$M$15:$M$240=EVENTOS!$C26)*(OFFSET(CÁLCULO!$AA$15:$AA$240,0,Y$13))),2),0)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IF(AUTOEVENTO="Manual",ROUND(SUMPRODUCT((CÁLCULO!$M$15:$M$240=EVENTOS!$C27)*(OFFSET(CÁLCULO!$AA$15:$AA$240,0,E$13))),2),0)</f>
        <v>0</v>
      </c>
      <c r="F27" s="183">
        <f ca="1">IF(AUTOEVENTO="Manual",ROUND(SUMPRODUCT((CÁLCULO!$M$15:$M$240=EVENTOS!$C27)*(OFFSET(CÁLCULO!$AA$15,0,1):OFFSET(CÁLCULO!$AL$240,0,-1))),2),0)</f>
        <v>0</v>
      </c>
      <c r="G27" s="621" t="str">
        <f t="shared" ca="1" si="5"/>
        <v/>
      </c>
      <c r="H27" s="620" cm="1">
        <f t="array" aca="1" ref="H27" ca="1">IF(AUTOEVENTO="Manual",ROUND(SUMPRODUCT((CÁLCULO!$M$15:$M$240=EVENTOS!$C27)*(OFFSET(CÁLCULO!$AA$15:$AA$240,0,H$13))),2),0)</f>
        <v>0</v>
      </c>
      <c r="I27" s="620" cm="1">
        <f t="array" aca="1" ref="I27" ca="1">IF(AUTOEVENTO="Manual",ROUND(SUMPRODUCT((CÁLCULO!$M$15:$M$240=EVENTOS!$C27)*(OFFSET(CÁLCULO!$AA$15:$AA$240,0,I$13))),2),0)</f>
        <v>0</v>
      </c>
      <c r="J27" s="620" cm="1">
        <f t="array" aca="1" ref="J27" ca="1">IF(AUTOEVENTO="Manual",ROUND(SUMPRODUCT((CÁLCULO!$M$15:$M$240=EVENTOS!$C27)*(OFFSET(CÁLCULO!$AA$15:$AA$240,0,J$13))),2),0)</f>
        <v>0</v>
      </c>
      <c r="K27" s="620" cm="1">
        <f t="array" aca="1" ref="K27" ca="1">IF(AUTOEVENTO="Manual",ROUND(SUMPRODUCT((CÁLCULO!$M$15:$M$240=EVENTOS!$C27)*(OFFSET(CÁLCULO!$AA$15:$AA$240,0,K$13))),2),0)</f>
        <v>0</v>
      </c>
      <c r="L27" s="620" cm="1">
        <f t="array" aca="1" ref="L27" ca="1">IF(AUTOEVENTO="Manual",ROUND(SUMPRODUCT((CÁLCULO!$M$15:$M$240=EVENTOS!$C27)*(OFFSET(CÁLCULO!$AA$15:$AA$240,0,L$13))),2),0)</f>
        <v>0</v>
      </c>
      <c r="M27" s="620" cm="1">
        <f t="array" aca="1" ref="M27" ca="1">IF(AUTOEVENTO="Manual",ROUND(SUMPRODUCT((CÁLCULO!$M$15:$M$240=EVENTOS!$C27)*(OFFSET(CÁLCULO!$AA$15:$AA$240,0,M$13))),2),0)</f>
        <v>0</v>
      </c>
      <c r="N27" s="620" cm="1">
        <f t="array" aca="1" ref="N27" ca="1">IF(AUTOEVENTO="Manual",ROUND(SUMPRODUCT((CÁLCULO!$M$15:$M$240=EVENTOS!$C27)*(OFFSET(CÁLCULO!$AA$15:$AA$240,0,N$13))),2),0)</f>
        <v>0</v>
      </c>
      <c r="O27" s="620" cm="1">
        <f t="array" aca="1" ref="O27" ca="1">IF(AUTOEVENTO="Manual",ROUND(SUMPRODUCT((CÁLCULO!$M$15:$M$240=EVENTOS!$C27)*(OFFSET(CÁLCULO!$AA$15:$AA$240,0,O$13))),2),0)</f>
        <v>0</v>
      </c>
      <c r="P27" s="620" cm="1">
        <f t="array" aca="1" ref="P27" ca="1">IF(AUTOEVENTO="Manual",ROUND(SUMPRODUCT((CÁLCULO!$M$15:$M$240=EVENTOS!$C27)*(OFFSET(CÁLCULO!$AA$15:$AA$240,0,P$13))),2),0)</f>
        <v>0</v>
      </c>
      <c r="Q27" s="620" cm="1">
        <f t="array" aca="1" ref="Q27" ca="1">IF(AUTOEVENTO="Manual",ROUND(SUMPRODUCT((CÁLCULO!$M$15:$M$240=EVENTOS!$C27)*(OFFSET(CÁLCULO!$AA$15:$AA$240,0,Q$13))),2),0)</f>
        <v>0</v>
      </c>
      <c r="R27" s="620" cm="1">
        <f t="array" aca="1" ref="R27" ca="1">IF(AUTOEVENTO="Manual",ROUND(SUMPRODUCT((CÁLCULO!$M$15:$M$240=EVENTOS!$C27)*(OFFSET(CÁLCULO!$AA$15:$AA$240,0,R$13))),2),0)</f>
        <v>0</v>
      </c>
      <c r="S27" s="620" cm="1">
        <f t="array" aca="1" ref="S27" ca="1">IF(AUTOEVENTO="Manual",ROUND(SUMPRODUCT((CÁLCULO!$M$15:$M$240=EVENTOS!$C27)*(OFFSET(CÁLCULO!$AA$15:$AA$240,0,S$13))),2),0)</f>
        <v>0</v>
      </c>
      <c r="T27" s="620" cm="1">
        <f t="array" aca="1" ref="T27" ca="1">IF(AUTOEVENTO="Manual",ROUND(SUMPRODUCT((CÁLCULO!$M$15:$M$240=EVENTOS!$C27)*(OFFSET(CÁLCULO!$AA$15:$AA$240,0,T$13))),2),0)</f>
        <v>0</v>
      </c>
      <c r="U27" s="620" cm="1">
        <f t="array" aca="1" ref="U27" ca="1">IF(AUTOEVENTO="Manual",ROUND(SUMPRODUCT((CÁLCULO!$M$15:$M$240=EVENTOS!$C27)*(OFFSET(CÁLCULO!$AA$15:$AA$240,0,U$13))),2),0)</f>
        <v>0</v>
      </c>
      <c r="V27" s="620" cm="1">
        <f t="array" aca="1" ref="V27" ca="1">IF(AUTOEVENTO="Manual",ROUND(SUMPRODUCT((CÁLCULO!$M$15:$M$240=EVENTOS!$C27)*(OFFSET(CÁLCULO!$AA$15:$AA$240,0,V$13))),2),0)</f>
        <v>0</v>
      </c>
      <c r="W27" s="620" cm="1">
        <f t="array" aca="1" ref="W27" ca="1">IF(AUTOEVENTO="Manual",ROUND(SUMPRODUCT((CÁLCULO!$M$15:$M$240=EVENTOS!$C27)*(OFFSET(CÁLCULO!$AA$15:$AA$240,0,W$13))),2),0)</f>
        <v>0</v>
      </c>
      <c r="X27" s="620" cm="1">
        <f t="array" aca="1" ref="X27" ca="1">IF(AUTOEVENTO="Manual",ROUND(SUMPRODUCT((CÁLCULO!$M$15:$M$240=EVENTOS!$C27)*(OFFSET(CÁLCULO!$AA$15:$AA$240,0,X$13))),2),0)</f>
        <v>0</v>
      </c>
      <c r="Y27" s="620" cm="1">
        <f t="array" aca="1" ref="Y27" ca="1">IF(AUTOEVENTO="Manual",ROUND(SUMPRODUCT((CÁLCULO!$M$15:$M$240=EVENTOS!$C27)*(OFFSET(CÁLCULO!$AA$15:$AA$240,0,Y$13))),2),0)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IF(AUTOEVENTO="Manual",ROUND(SUMPRODUCT((CÁLCULO!$M$15:$M$240=EVENTOS!$C28)*(OFFSET(CÁLCULO!$AA$15:$AA$240,0,E$13))),2),0)</f>
        <v>0</v>
      </c>
      <c r="F28" s="183">
        <f ca="1">IF(AUTOEVENTO="Manual",ROUND(SUMPRODUCT((CÁLCULO!$M$15:$M$240=EVENTOS!$C28)*(OFFSET(CÁLCULO!$AA$15,0,1):OFFSET(CÁLCULO!$AL$240,0,-1))),2),0)</f>
        <v>0</v>
      </c>
      <c r="G28" s="621" t="str">
        <f t="shared" ca="1" si="5"/>
        <v/>
      </c>
      <c r="H28" s="620" cm="1">
        <f t="array" aca="1" ref="H28" ca="1">IF(AUTOEVENTO="Manual",ROUND(SUMPRODUCT((CÁLCULO!$M$15:$M$240=EVENTOS!$C28)*(OFFSET(CÁLCULO!$AA$15:$AA$240,0,H$13))),2),0)</f>
        <v>0</v>
      </c>
      <c r="I28" s="620" cm="1">
        <f t="array" aca="1" ref="I28" ca="1">IF(AUTOEVENTO="Manual",ROUND(SUMPRODUCT((CÁLCULO!$M$15:$M$240=EVENTOS!$C28)*(OFFSET(CÁLCULO!$AA$15:$AA$240,0,I$13))),2),0)</f>
        <v>0</v>
      </c>
      <c r="J28" s="620" cm="1">
        <f t="array" aca="1" ref="J28" ca="1">IF(AUTOEVENTO="Manual",ROUND(SUMPRODUCT((CÁLCULO!$M$15:$M$240=EVENTOS!$C28)*(OFFSET(CÁLCULO!$AA$15:$AA$240,0,J$13))),2),0)</f>
        <v>0</v>
      </c>
      <c r="K28" s="620" cm="1">
        <f t="array" aca="1" ref="K28" ca="1">IF(AUTOEVENTO="Manual",ROUND(SUMPRODUCT((CÁLCULO!$M$15:$M$240=EVENTOS!$C28)*(OFFSET(CÁLCULO!$AA$15:$AA$240,0,K$13))),2),0)</f>
        <v>0</v>
      </c>
      <c r="L28" s="620" cm="1">
        <f t="array" aca="1" ref="L28" ca="1">IF(AUTOEVENTO="Manual",ROUND(SUMPRODUCT((CÁLCULO!$M$15:$M$240=EVENTOS!$C28)*(OFFSET(CÁLCULO!$AA$15:$AA$240,0,L$13))),2),0)</f>
        <v>0</v>
      </c>
      <c r="M28" s="620" cm="1">
        <f t="array" aca="1" ref="M28" ca="1">IF(AUTOEVENTO="Manual",ROUND(SUMPRODUCT((CÁLCULO!$M$15:$M$240=EVENTOS!$C28)*(OFFSET(CÁLCULO!$AA$15:$AA$240,0,M$13))),2),0)</f>
        <v>0</v>
      </c>
      <c r="N28" s="620" cm="1">
        <f t="array" aca="1" ref="N28" ca="1">IF(AUTOEVENTO="Manual",ROUND(SUMPRODUCT((CÁLCULO!$M$15:$M$240=EVENTOS!$C28)*(OFFSET(CÁLCULO!$AA$15:$AA$240,0,N$13))),2),0)</f>
        <v>0</v>
      </c>
      <c r="O28" s="620" cm="1">
        <f t="array" aca="1" ref="O28" ca="1">IF(AUTOEVENTO="Manual",ROUND(SUMPRODUCT((CÁLCULO!$M$15:$M$240=EVENTOS!$C28)*(OFFSET(CÁLCULO!$AA$15:$AA$240,0,O$13))),2),0)</f>
        <v>0</v>
      </c>
      <c r="P28" s="620" cm="1">
        <f t="array" aca="1" ref="P28" ca="1">IF(AUTOEVENTO="Manual",ROUND(SUMPRODUCT((CÁLCULO!$M$15:$M$240=EVENTOS!$C28)*(OFFSET(CÁLCULO!$AA$15:$AA$240,0,P$13))),2),0)</f>
        <v>0</v>
      </c>
      <c r="Q28" s="620" cm="1">
        <f t="array" aca="1" ref="Q28" ca="1">IF(AUTOEVENTO="Manual",ROUND(SUMPRODUCT((CÁLCULO!$M$15:$M$240=EVENTOS!$C28)*(OFFSET(CÁLCULO!$AA$15:$AA$240,0,Q$13))),2),0)</f>
        <v>0</v>
      </c>
      <c r="R28" s="620" cm="1">
        <f t="array" aca="1" ref="R28" ca="1">IF(AUTOEVENTO="Manual",ROUND(SUMPRODUCT((CÁLCULO!$M$15:$M$240=EVENTOS!$C28)*(OFFSET(CÁLCULO!$AA$15:$AA$240,0,R$13))),2),0)</f>
        <v>0</v>
      </c>
      <c r="S28" s="620" cm="1">
        <f t="array" aca="1" ref="S28" ca="1">IF(AUTOEVENTO="Manual",ROUND(SUMPRODUCT((CÁLCULO!$M$15:$M$240=EVENTOS!$C28)*(OFFSET(CÁLCULO!$AA$15:$AA$240,0,S$13))),2),0)</f>
        <v>0</v>
      </c>
      <c r="T28" s="620" cm="1">
        <f t="array" aca="1" ref="T28" ca="1">IF(AUTOEVENTO="Manual",ROUND(SUMPRODUCT((CÁLCULO!$M$15:$M$240=EVENTOS!$C28)*(OFFSET(CÁLCULO!$AA$15:$AA$240,0,T$13))),2),0)</f>
        <v>0</v>
      </c>
      <c r="U28" s="620" cm="1">
        <f t="array" aca="1" ref="U28" ca="1">IF(AUTOEVENTO="Manual",ROUND(SUMPRODUCT((CÁLCULO!$M$15:$M$240=EVENTOS!$C28)*(OFFSET(CÁLCULO!$AA$15:$AA$240,0,U$13))),2),0)</f>
        <v>0</v>
      </c>
      <c r="V28" s="620" cm="1">
        <f t="array" aca="1" ref="V28" ca="1">IF(AUTOEVENTO="Manual",ROUND(SUMPRODUCT((CÁLCULO!$M$15:$M$240=EVENTOS!$C28)*(OFFSET(CÁLCULO!$AA$15:$AA$240,0,V$13))),2),0)</f>
        <v>0</v>
      </c>
      <c r="W28" s="620" cm="1">
        <f t="array" aca="1" ref="W28" ca="1">IF(AUTOEVENTO="Manual",ROUND(SUMPRODUCT((CÁLCULO!$M$15:$M$240=EVENTOS!$C28)*(OFFSET(CÁLCULO!$AA$15:$AA$240,0,W$13))),2),0)</f>
        <v>0</v>
      </c>
      <c r="X28" s="620" cm="1">
        <f t="array" aca="1" ref="X28" ca="1">IF(AUTOEVENTO="Manual",ROUND(SUMPRODUCT((CÁLCULO!$M$15:$M$240=EVENTOS!$C28)*(OFFSET(CÁLCULO!$AA$15:$AA$240,0,X$13))),2),0)</f>
        <v>0</v>
      </c>
      <c r="Y28" s="620" cm="1">
        <f t="array" aca="1" ref="Y28" ca="1">IF(AUTOEVENTO="Manual",ROUND(SUMPRODUCT((CÁLCULO!$M$15:$M$240=EVENTOS!$C28)*(OFFSET(CÁLCULO!$AA$15:$AA$240,0,Y$13))),2),0)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IF(AUTOEVENTO="Manual",ROUND(SUMPRODUCT((CÁLCULO!$M$15:$M$240=EVENTOS!$C29)*(OFFSET(CÁLCULO!$AA$15:$AA$240,0,E$13))),2),0)</f>
        <v>0</v>
      </c>
      <c r="F29" s="183">
        <f ca="1">IF(AUTOEVENTO="Manual",ROUND(SUMPRODUCT((CÁLCULO!$M$15:$M$240=EVENTOS!$C29)*(OFFSET(CÁLCULO!$AA$15,0,1):OFFSET(CÁLCULO!$AL$240,0,-1))),2),0)</f>
        <v>0</v>
      </c>
      <c r="G29" s="621" t="str">
        <f t="shared" ca="1" si="5"/>
        <v/>
      </c>
      <c r="H29" s="620" cm="1">
        <f t="array" aca="1" ref="H29" ca="1">IF(AUTOEVENTO="Manual",ROUND(SUMPRODUCT((CÁLCULO!$M$15:$M$240=EVENTOS!$C29)*(OFFSET(CÁLCULO!$AA$15:$AA$240,0,H$13))),2),0)</f>
        <v>0</v>
      </c>
      <c r="I29" s="620" cm="1">
        <f t="array" aca="1" ref="I29" ca="1">IF(AUTOEVENTO="Manual",ROUND(SUMPRODUCT((CÁLCULO!$M$15:$M$240=EVENTOS!$C29)*(OFFSET(CÁLCULO!$AA$15:$AA$240,0,I$13))),2),0)</f>
        <v>0</v>
      </c>
      <c r="J29" s="620" cm="1">
        <f t="array" aca="1" ref="J29" ca="1">IF(AUTOEVENTO="Manual",ROUND(SUMPRODUCT((CÁLCULO!$M$15:$M$240=EVENTOS!$C29)*(OFFSET(CÁLCULO!$AA$15:$AA$240,0,J$13))),2),0)</f>
        <v>0</v>
      </c>
      <c r="K29" s="620" cm="1">
        <f t="array" aca="1" ref="K29" ca="1">IF(AUTOEVENTO="Manual",ROUND(SUMPRODUCT((CÁLCULO!$M$15:$M$240=EVENTOS!$C29)*(OFFSET(CÁLCULO!$AA$15:$AA$240,0,K$13))),2),0)</f>
        <v>0</v>
      </c>
      <c r="L29" s="620" cm="1">
        <f t="array" aca="1" ref="L29" ca="1">IF(AUTOEVENTO="Manual",ROUND(SUMPRODUCT((CÁLCULO!$M$15:$M$240=EVENTOS!$C29)*(OFFSET(CÁLCULO!$AA$15:$AA$240,0,L$13))),2),0)</f>
        <v>0</v>
      </c>
      <c r="M29" s="620" cm="1">
        <f t="array" aca="1" ref="M29" ca="1">IF(AUTOEVENTO="Manual",ROUND(SUMPRODUCT((CÁLCULO!$M$15:$M$240=EVENTOS!$C29)*(OFFSET(CÁLCULO!$AA$15:$AA$240,0,M$13))),2),0)</f>
        <v>0</v>
      </c>
      <c r="N29" s="620" cm="1">
        <f t="array" aca="1" ref="N29" ca="1">IF(AUTOEVENTO="Manual",ROUND(SUMPRODUCT((CÁLCULO!$M$15:$M$240=EVENTOS!$C29)*(OFFSET(CÁLCULO!$AA$15:$AA$240,0,N$13))),2),0)</f>
        <v>0</v>
      </c>
      <c r="O29" s="620" cm="1">
        <f t="array" aca="1" ref="O29" ca="1">IF(AUTOEVENTO="Manual",ROUND(SUMPRODUCT((CÁLCULO!$M$15:$M$240=EVENTOS!$C29)*(OFFSET(CÁLCULO!$AA$15:$AA$240,0,O$13))),2),0)</f>
        <v>0</v>
      </c>
      <c r="P29" s="620" cm="1">
        <f t="array" aca="1" ref="P29" ca="1">IF(AUTOEVENTO="Manual",ROUND(SUMPRODUCT((CÁLCULO!$M$15:$M$240=EVENTOS!$C29)*(OFFSET(CÁLCULO!$AA$15:$AA$240,0,P$13))),2),0)</f>
        <v>0</v>
      </c>
      <c r="Q29" s="620" cm="1">
        <f t="array" aca="1" ref="Q29" ca="1">IF(AUTOEVENTO="Manual",ROUND(SUMPRODUCT((CÁLCULO!$M$15:$M$240=EVENTOS!$C29)*(OFFSET(CÁLCULO!$AA$15:$AA$240,0,Q$13))),2),0)</f>
        <v>0</v>
      </c>
      <c r="R29" s="620" cm="1">
        <f t="array" aca="1" ref="R29" ca="1">IF(AUTOEVENTO="Manual",ROUND(SUMPRODUCT((CÁLCULO!$M$15:$M$240=EVENTOS!$C29)*(OFFSET(CÁLCULO!$AA$15:$AA$240,0,R$13))),2),0)</f>
        <v>0</v>
      </c>
      <c r="S29" s="620" cm="1">
        <f t="array" aca="1" ref="S29" ca="1">IF(AUTOEVENTO="Manual",ROUND(SUMPRODUCT((CÁLCULO!$M$15:$M$240=EVENTOS!$C29)*(OFFSET(CÁLCULO!$AA$15:$AA$240,0,S$13))),2),0)</f>
        <v>0</v>
      </c>
      <c r="T29" s="620" cm="1">
        <f t="array" aca="1" ref="T29" ca="1">IF(AUTOEVENTO="Manual",ROUND(SUMPRODUCT((CÁLCULO!$M$15:$M$240=EVENTOS!$C29)*(OFFSET(CÁLCULO!$AA$15:$AA$240,0,T$13))),2),0)</f>
        <v>0</v>
      </c>
      <c r="U29" s="620" cm="1">
        <f t="array" aca="1" ref="U29" ca="1">IF(AUTOEVENTO="Manual",ROUND(SUMPRODUCT((CÁLCULO!$M$15:$M$240=EVENTOS!$C29)*(OFFSET(CÁLCULO!$AA$15:$AA$240,0,U$13))),2),0)</f>
        <v>0</v>
      </c>
      <c r="V29" s="620" cm="1">
        <f t="array" aca="1" ref="V29" ca="1">IF(AUTOEVENTO="Manual",ROUND(SUMPRODUCT((CÁLCULO!$M$15:$M$240=EVENTOS!$C29)*(OFFSET(CÁLCULO!$AA$15:$AA$240,0,V$13))),2),0)</f>
        <v>0</v>
      </c>
      <c r="W29" s="620" cm="1">
        <f t="array" aca="1" ref="W29" ca="1">IF(AUTOEVENTO="Manual",ROUND(SUMPRODUCT((CÁLCULO!$M$15:$M$240=EVENTOS!$C29)*(OFFSET(CÁLCULO!$AA$15:$AA$240,0,W$13))),2),0)</f>
        <v>0</v>
      </c>
      <c r="X29" s="620" cm="1">
        <f t="array" aca="1" ref="X29" ca="1">IF(AUTOEVENTO="Manual",ROUND(SUMPRODUCT((CÁLCULO!$M$15:$M$240=EVENTOS!$C29)*(OFFSET(CÁLCULO!$AA$15:$AA$240,0,X$13))),2),0)</f>
        <v>0</v>
      </c>
      <c r="Y29" s="620" cm="1">
        <f t="array" aca="1" ref="Y29" ca="1">IF(AUTOEVENTO="Manual",ROUND(SUMPRODUCT((CÁLCULO!$M$15:$M$240=EVENTOS!$C29)*(OFFSET(CÁLCULO!$AA$15:$AA$240,0,Y$13))),2),0)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IF(AUTOEVENTO="Manual",ROUND(SUMPRODUCT((CÁLCULO!$M$15:$M$240=EVENTOS!$C30)*(OFFSET(CÁLCULO!$AA$15:$AA$240,0,E$13))),2),0)</f>
        <v>0</v>
      </c>
      <c r="F30" s="183">
        <f ca="1">IF(AUTOEVENTO="Manual",ROUND(SUMPRODUCT((CÁLCULO!$M$15:$M$240=EVENTOS!$C30)*(OFFSET(CÁLCULO!$AA$15,0,1):OFFSET(CÁLCULO!$AL$240,0,-1))),2),0)</f>
        <v>0</v>
      </c>
      <c r="G30" s="621" t="str">
        <f t="shared" ca="1" si="5"/>
        <v/>
      </c>
      <c r="H30" s="620" cm="1">
        <f t="array" aca="1" ref="H30" ca="1">IF(AUTOEVENTO="Manual",ROUND(SUMPRODUCT((CÁLCULO!$M$15:$M$240=EVENTOS!$C30)*(OFFSET(CÁLCULO!$AA$15:$AA$240,0,H$13))),2),0)</f>
        <v>0</v>
      </c>
      <c r="I30" s="620" cm="1">
        <f t="array" aca="1" ref="I30" ca="1">IF(AUTOEVENTO="Manual",ROUND(SUMPRODUCT((CÁLCULO!$M$15:$M$240=EVENTOS!$C30)*(OFFSET(CÁLCULO!$AA$15:$AA$240,0,I$13))),2),0)</f>
        <v>0</v>
      </c>
      <c r="J30" s="620" cm="1">
        <f t="array" aca="1" ref="J30" ca="1">IF(AUTOEVENTO="Manual",ROUND(SUMPRODUCT((CÁLCULO!$M$15:$M$240=EVENTOS!$C30)*(OFFSET(CÁLCULO!$AA$15:$AA$240,0,J$13))),2),0)</f>
        <v>0</v>
      </c>
      <c r="K30" s="620" cm="1">
        <f t="array" aca="1" ref="K30" ca="1">IF(AUTOEVENTO="Manual",ROUND(SUMPRODUCT((CÁLCULO!$M$15:$M$240=EVENTOS!$C30)*(OFFSET(CÁLCULO!$AA$15:$AA$240,0,K$13))),2),0)</f>
        <v>0</v>
      </c>
      <c r="L30" s="620" cm="1">
        <f t="array" aca="1" ref="L30" ca="1">IF(AUTOEVENTO="Manual",ROUND(SUMPRODUCT((CÁLCULO!$M$15:$M$240=EVENTOS!$C30)*(OFFSET(CÁLCULO!$AA$15:$AA$240,0,L$13))),2),0)</f>
        <v>0</v>
      </c>
      <c r="M30" s="620" cm="1">
        <f t="array" aca="1" ref="M30" ca="1">IF(AUTOEVENTO="Manual",ROUND(SUMPRODUCT((CÁLCULO!$M$15:$M$240=EVENTOS!$C30)*(OFFSET(CÁLCULO!$AA$15:$AA$240,0,M$13))),2),0)</f>
        <v>0</v>
      </c>
      <c r="N30" s="620" cm="1">
        <f t="array" aca="1" ref="N30" ca="1">IF(AUTOEVENTO="Manual",ROUND(SUMPRODUCT((CÁLCULO!$M$15:$M$240=EVENTOS!$C30)*(OFFSET(CÁLCULO!$AA$15:$AA$240,0,N$13))),2),0)</f>
        <v>0</v>
      </c>
      <c r="O30" s="620" cm="1">
        <f t="array" aca="1" ref="O30" ca="1">IF(AUTOEVENTO="Manual",ROUND(SUMPRODUCT((CÁLCULO!$M$15:$M$240=EVENTOS!$C30)*(OFFSET(CÁLCULO!$AA$15:$AA$240,0,O$13))),2),0)</f>
        <v>0</v>
      </c>
      <c r="P30" s="620" cm="1">
        <f t="array" aca="1" ref="P30" ca="1">IF(AUTOEVENTO="Manual",ROUND(SUMPRODUCT((CÁLCULO!$M$15:$M$240=EVENTOS!$C30)*(OFFSET(CÁLCULO!$AA$15:$AA$240,0,P$13))),2),0)</f>
        <v>0</v>
      </c>
      <c r="Q30" s="620" cm="1">
        <f t="array" aca="1" ref="Q30" ca="1">IF(AUTOEVENTO="Manual",ROUND(SUMPRODUCT((CÁLCULO!$M$15:$M$240=EVENTOS!$C30)*(OFFSET(CÁLCULO!$AA$15:$AA$240,0,Q$13))),2),0)</f>
        <v>0</v>
      </c>
      <c r="R30" s="620" cm="1">
        <f t="array" aca="1" ref="R30" ca="1">IF(AUTOEVENTO="Manual",ROUND(SUMPRODUCT((CÁLCULO!$M$15:$M$240=EVENTOS!$C30)*(OFFSET(CÁLCULO!$AA$15:$AA$240,0,R$13))),2),0)</f>
        <v>0</v>
      </c>
      <c r="S30" s="620" cm="1">
        <f t="array" aca="1" ref="S30" ca="1">IF(AUTOEVENTO="Manual",ROUND(SUMPRODUCT((CÁLCULO!$M$15:$M$240=EVENTOS!$C30)*(OFFSET(CÁLCULO!$AA$15:$AA$240,0,S$13))),2),0)</f>
        <v>0</v>
      </c>
      <c r="T30" s="620" cm="1">
        <f t="array" aca="1" ref="T30" ca="1">IF(AUTOEVENTO="Manual",ROUND(SUMPRODUCT((CÁLCULO!$M$15:$M$240=EVENTOS!$C30)*(OFFSET(CÁLCULO!$AA$15:$AA$240,0,T$13))),2),0)</f>
        <v>0</v>
      </c>
      <c r="U30" s="620" cm="1">
        <f t="array" aca="1" ref="U30" ca="1">IF(AUTOEVENTO="Manual",ROUND(SUMPRODUCT((CÁLCULO!$M$15:$M$240=EVENTOS!$C30)*(OFFSET(CÁLCULO!$AA$15:$AA$240,0,U$13))),2),0)</f>
        <v>0</v>
      </c>
      <c r="V30" s="620" cm="1">
        <f t="array" aca="1" ref="V30" ca="1">IF(AUTOEVENTO="Manual",ROUND(SUMPRODUCT((CÁLCULO!$M$15:$M$240=EVENTOS!$C30)*(OFFSET(CÁLCULO!$AA$15:$AA$240,0,V$13))),2),0)</f>
        <v>0</v>
      </c>
      <c r="W30" s="620" cm="1">
        <f t="array" aca="1" ref="W30" ca="1">IF(AUTOEVENTO="Manual",ROUND(SUMPRODUCT((CÁLCULO!$M$15:$M$240=EVENTOS!$C30)*(OFFSET(CÁLCULO!$AA$15:$AA$240,0,W$13))),2),0)</f>
        <v>0</v>
      </c>
      <c r="X30" s="620" cm="1">
        <f t="array" aca="1" ref="X30" ca="1">IF(AUTOEVENTO="Manual",ROUND(SUMPRODUCT((CÁLCULO!$M$15:$M$240=EVENTOS!$C30)*(OFFSET(CÁLCULO!$AA$15:$AA$240,0,X$13))),2),0)</f>
        <v>0</v>
      </c>
      <c r="Y30" s="620" cm="1">
        <f t="array" aca="1" ref="Y30" ca="1">IF(AUTOEVENTO="Manual",ROUND(SUMPRODUCT((CÁLCULO!$M$15:$M$240=EVENTOS!$C30)*(OFFSET(CÁLCULO!$AA$15:$AA$240,0,Y$13))),2),0)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IF(AUTOEVENTO="Manual",ROUND(SUMPRODUCT((CÁLCULO!$M$15:$M$240=EVENTOS!$C31)*(OFFSET(CÁLCULO!$AA$15:$AA$240,0,E$13))),2),0)</f>
        <v>0</v>
      </c>
      <c r="F31" s="183">
        <f ca="1">IF(AUTOEVENTO="Manual",ROUND(SUMPRODUCT((CÁLCULO!$M$15:$M$240=EVENTOS!$C31)*(OFFSET(CÁLCULO!$AA$15,0,1):OFFSET(CÁLCULO!$AL$240,0,-1))),2),0)</f>
        <v>0</v>
      </c>
      <c r="G31" s="621" t="str">
        <f t="shared" ca="1" si="5"/>
        <v/>
      </c>
      <c r="H31" s="620" cm="1">
        <f t="array" aca="1" ref="H31" ca="1">IF(AUTOEVENTO="Manual",ROUND(SUMPRODUCT((CÁLCULO!$M$15:$M$240=EVENTOS!$C31)*(OFFSET(CÁLCULO!$AA$15:$AA$240,0,H$13))),2),0)</f>
        <v>0</v>
      </c>
      <c r="I31" s="620" cm="1">
        <f t="array" aca="1" ref="I31" ca="1">IF(AUTOEVENTO="Manual",ROUND(SUMPRODUCT((CÁLCULO!$M$15:$M$240=EVENTOS!$C31)*(OFFSET(CÁLCULO!$AA$15:$AA$240,0,I$13))),2),0)</f>
        <v>0</v>
      </c>
      <c r="J31" s="620" cm="1">
        <f t="array" aca="1" ref="J31" ca="1">IF(AUTOEVENTO="Manual",ROUND(SUMPRODUCT((CÁLCULO!$M$15:$M$240=EVENTOS!$C31)*(OFFSET(CÁLCULO!$AA$15:$AA$240,0,J$13))),2),0)</f>
        <v>0</v>
      </c>
      <c r="K31" s="620" cm="1">
        <f t="array" aca="1" ref="K31" ca="1">IF(AUTOEVENTO="Manual",ROUND(SUMPRODUCT((CÁLCULO!$M$15:$M$240=EVENTOS!$C31)*(OFFSET(CÁLCULO!$AA$15:$AA$240,0,K$13))),2),0)</f>
        <v>0</v>
      </c>
      <c r="L31" s="620" cm="1">
        <f t="array" aca="1" ref="L31" ca="1">IF(AUTOEVENTO="Manual",ROUND(SUMPRODUCT((CÁLCULO!$M$15:$M$240=EVENTOS!$C31)*(OFFSET(CÁLCULO!$AA$15:$AA$240,0,L$13))),2),0)</f>
        <v>0</v>
      </c>
      <c r="M31" s="620" cm="1">
        <f t="array" aca="1" ref="M31" ca="1">IF(AUTOEVENTO="Manual",ROUND(SUMPRODUCT((CÁLCULO!$M$15:$M$240=EVENTOS!$C31)*(OFFSET(CÁLCULO!$AA$15:$AA$240,0,M$13))),2),0)</f>
        <v>0</v>
      </c>
      <c r="N31" s="620" cm="1">
        <f t="array" aca="1" ref="N31" ca="1">IF(AUTOEVENTO="Manual",ROUND(SUMPRODUCT((CÁLCULO!$M$15:$M$240=EVENTOS!$C31)*(OFFSET(CÁLCULO!$AA$15:$AA$240,0,N$13))),2),0)</f>
        <v>0</v>
      </c>
      <c r="O31" s="620" cm="1">
        <f t="array" aca="1" ref="O31" ca="1">IF(AUTOEVENTO="Manual",ROUND(SUMPRODUCT((CÁLCULO!$M$15:$M$240=EVENTOS!$C31)*(OFFSET(CÁLCULO!$AA$15:$AA$240,0,O$13))),2),0)</f>
        <v>0</v>
      </c>
      <c r="P31" s="620" cm="1">
        <f t="array" aca="1" ref="P31" ca="1">IF(AUTOEVENTO="Manual",ROUND(SUMPRODUCT((CÁLCULO!$M$15:$M$240=EVENTOS!$C31)*(OFFSET(CÁLCULO!$AA$15:$AA$240,0,P$13))),2),0)</f>
        <v>0</v>
      </c>
      <c r="Q31" s="620" cm="1">
        <f t="array" aca="1" ref="Q31" ca="1">IF(AUTOEVENTO="Manual",ROUND(SUMPRODUCT((CÁLCULO!$M$15:$M$240=EVENTOS!$C31)*(OFFSET(CÁLCULO!$AA$15:$AA$240,0,Q$13))),2),0)</f>
        <v>0</v>
      </c>
      <c r="R31" s="620" cm="1">
        <f t="array" aca="1" ref="R31" ca="1">IF(AUTOEVENTO="Manual",ROUND(SUMPRODUCT((CÁLCULO!$M$15:$M$240=EVENTOS!$C31)*(OFFSET(CÁLCULO!$AA$15:$AA$240,0,R$13))),2),0)</f>
        <v>0</v>
      </c>
      <c r="S31" s="620" cm="1">
        <f t="array" aca="1" ref="S31" ca="1">IF(AUTOEVENTO="Manual",ROUND(SUMPRODUCT((CÁLCULO!$M$15:$M$240=EVENTOS!$C31)*(OFFSET(CÁLCULO!$AA$15:$AA$240,0,S$13))),2),0)</f>
        <v>0</v>
      </c>
      <c r="T31" s="620" cm="1">
        <f t="array" aca="1" ref="T31" ca="1">IF(AUTOEVENTO="Manual",ROUND(SUMPRODUCT((CÁLCULO!$M$15:$M$240=EVENTOS!$C31)*(OFFSET(CÁLCULO!$AA$15:$AA$240,0,T$13))),2),0)</f>
        <v>0</v>
      </c>
      <c r="U31" s="620" cm="1">
        <f t="array" aca="1" ref="U31" ca="1">IF(AUTOEVENTO="Manual",ROUND(SUMPRODUCT((CÁLCULO!$M$15:$M$240=EVENTOS!$C31)*(OFFSET(CÁLCULO!$AA$15:$AA$240,0,U$13))),2),0)</f>
        <v>0</v>
      </c>
      <c r="V31" s="620" cm="1">
        <f t="array" aca="1" ref="V31" ca="1">IF(AUTOEVENTO="Manual",ROUND(SUMPRODUCT((CÁLCULO!$M$15:$M$240=EVENTOS!$C31)*(OFFSET(CÁLCULO!$AA$15:$AA$240,0,V$13))),2),0)</f>
        <v>0</v>
      </c>
      <c r="W31" s="620" cm="1">
        <f t="array" aca="1" ref="W31" ca="1">IF(AUTOEVENTO="Manual",ROUND(SUMPRODUCT((CÁLCULO!$M$15:$M$240=EVENTOS!$C31)*(OFFSET(CÁLCULO!$AA$15:$AA$240,0,W$13))),2),0)</f>
        <v>0</v>
      </c>
      <c r="X31" s="620" cm="1">
        <f t="array" aca="1" ref="X31" ca="1">IF(AUTOEVENTO="Manual",ROUND(SUMPRODUCT((CÁLCULO!$M$15:$M$240=EVENTOS!$C31)*(OFFSET(CÁLCULO!$AA$15:$AA$240,0,X$13))),2),0)</f>
        <v>0</v>
      </c>
      <c r="Y31" s="620" cm="1">
        <f t="array" aca="1" ref="Y31" ca="1">IF(AUTOEVENTO="Manual",ROUND(SUMPRODUCT((CÁLCULO!$M$15:$M$240=EVENTOS!$C31)*(OFFSET(CÁLCULO!$AA$15:$AA$240,0,Y$13))),2),0)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IF(AUTOEVENTO="Manual",ROUND(SUMPRODUCT((CÁLCULO!$M$15:$M$240=EVENTOS!$C32)*(OFFSET(CÁLCULO!$AA$15:$AA$240,0,E$13))),2),0)</f>
        <v>0</v>
      </c>
      <c r="F32" s="183">
        <f ca="1">IF(AUTOEVENTO="Manual",ROUND(SUMPRODUCT((CÁLCULO!$M$15:$M$240=EVENTOS!$C32)*(OFFSET(CÁLCULO!$AA$15,0,1):OFFSET(CÁLCULO!$AL$240,0,-1))),2),0)</f>
        <v>0</v>
      </c>
      <c r="G32" s="621" t="str">
        <f t="shared" ca="1" si="5"/>
        <v/>
      </c>
      <c r="H32" s="620" cm="1">
        <f t="array" aca="1" ref="H32" ca="1">IF(AUTOEVENTO="Manual",ROUND(SUMPRODUCT((CÁLCULO!$M$15:$M$240=EVENTOS!$C32)*(OFFSET(CÁLCULO!$AA$15:$AA$240,0,H$13))),2),0)</f>
        <v>0</v>
      </c>
      <c r="I32" s="620" cm="1">
        <f t="array" aca="1" ref="I32" ca="1">IF(AUTOEVENTO="Manual",ROUND(SUMPRODUCT((CÁLCULO!$M$15:$M$240=EVENTOS!$C32)*(OFFSET(CÁLCULO!$AA$15:$AA$240,0,I$13))),2),0)</f>
        <v>0</v>
      </c>
      <c r="J32" s="620" cm="1">
        <f t="array" aca="1" ref="J32" ca="1">IF(AUTOEVENTO="Manual",ROUND(SUMPRODUCT((CÁLCULO!$M$15:$M$240=EVENTOS!$C32)*(OFFSET(CÁLCULO!$AA$15:$AA$240,0,J$13))),2),0)</f>
        <v>0</v>
      </c>
      <c r="K32" s="620" cm="1">
        <f t="array" aca="1" ref="K32" ca="1">IF(AUTOEVENTO="Manual",ROUND(SUMPRODUCT((CÁLCULO!$M$15:$M$240=EVENTOS!$C32)*(OFFSET(CÁLCULO!$AA$15:$AA$240,0,K$13))),2),0)</f>
        <v>0</v>
      </c>
      <c r="L32" s="620" cm="1">
        <f t="array" aca="1" ref="L32" ca="1">IF(AUTOEVENTO="Manual",ROUND(SUMPRODUCT((CÁLCULO!$M$15:$M$240=EVENTOS!$C32)*(OFFSET(CÁLCULO!$AA$15:$AA$240,0,L$13))),2),0)</f>
        <v>0</v>
      </c>
      <c r="M32" s="620" cm="1">
        <f t="array" aca="1" ref="M32" ca="1">IF(AUTOEVENTO="Manual",ROUND(SUMPRODUCT((CÁLCULO!$M$15:$M$240=EVENTOS!$C32)*(OFFSET(CÁLCULO!$AA$15:$AA$240,0,M$13))),2),0)</f>
        <v>0</v>
      </c>
      <c r="N32" s="620" cm="1">
        <f t="array" aca="1" ref="N32" ca="1">IF(AUTOEVENTO="Manual",ROUND(SUMPRODUCT((CÁLCULO!$M$15:$M$240=EVENTOS!$C32)*(OFFSET(CÁLCULO!$AA$15:$AA$240,0,N$13))),2),0)</f>
        <v>0</v>
      </c>
      <c r="O32" s="620" cm="1">
        <f t="array" aca="1" ref="O32" ca="1">IF(AUTOEVENTO="Manual",ROUND(SUMPRODUCT((CÁLCULO!$M$15:$M$240=EVENTOS!$C32)*(OFFSET(CÁLCULO!$AA$15:$AA$240,0,O$13))),2),0)</f>
        <v>0</v>
      </c>
      <c r="P32" s="620" cm="1">
        <f t="array" aca="1" ref="P32" ca="1">IF(AUTOEVENTO="Manual",ROUND(SUMPRODUCT((CÁLCULO!$M$15:$M$240=EVENTOS!$C32)*(OFFSET(CÁLCULO!$AA$15:$AA$240,0,P$13))),2),0)</f>
        <v>0</v>
      </c>
      <c r="Q32" s="620" cm="1">
        <f t="array" aca="1" ref="Q32" ca="1">IF(AUTOEVENTO="Manual",ROUND(SUMPRODUCT((CÁLCULO!$M$15:$M$240=EVENTOS!$C32)*(OFFSET(CÁLCULO!$AA$15:$AA$240,0,Q$13))),2),0)</f>
        <v>0</v>
      </c>
      <c r="R32" s="620" cm="1">
        <f t="array" aca="1" ref="R32" ca="1">IF(AUTOEVENTO="Manual",ROUND(SUMPRODUCT((CÁLCULO!$M$15:$M$240=EVENTOS!$C32)*(OFFSET(CÁLCULO!$AA$15:$AA$240,0,R$13))),2),0)</f>
        <v>0</v>
      </c>
      <c r="S32" s="620" cm="1">
        <f t="array" aca="1" ref="S32" ca="1">IF(AUTOEVENTO="Manual",ROUND(SUMPRODUCT((CÁLCULO!$M$15:$M$240=EVENTOS!$C32)*(OFFSET(CÁLCULO!$AA$15:$AA$240,0,S$13))),2),0)</f>
        <v>0</v>
      </c>
      <c r="T32" s="620" cm="1">
        <f t="array" aca="1" ref="T32" ca="1">IF(AUTOEVENTO="Manual",ROUND(SUMPRODUCT((CÁLCULO!$M$15:$M$240=EVENTOS!$C32)*(OFFSET(CÁLCULO!$AA$15:$AA$240,0,T$13))),2),0)</f>
        <v>0</v>
      </c>
      <c r="U32" s="620" cm="1">
        <f t="array" aca="1" ref="U32" ca="1">IF(AUTOEVENTO="Manual",ROUND(SUMPRODUCT((CÁLCULO!$M$15:$M$240=EVENTOS!$C32)*(OFFSET(CÁLCULO!$AA$15:$AA$240,0,U$13))),2),0)</f>
        <v>0</v>
      </c>
      <c r="V32" s="620" cm="1">
        <f t="array" aca="1" ref="V32" ca="1">IF(AUTOEVENTO="Manual",ROUND(SUMPRODUCT((CÁLCULO!$M$15:$M$240=EVENTOS!$C32)*(OFFSET(CÁLCULO!$AA$15:$AA$240,0,V$13))),2),0)</f>
        <v>0</v>
      </c>
      <c r="W32" s="620" cm="1">
        <f t="array" aca="1" ref="W32" ca="1">IF(AUTOEVENTO="Manual",ROUND(SUMPRODUCT((CÁLCULO!$M$15:$M$240=EVENTOS!$C32)*(OFFSET(CÁLCULO!$AA$15:$AA$240,0,W$13))),2),0)</f>
        <v>0</v>
      </c>
      <c r="X32" s="620" cm="1">
        <f t="array" aca="1" ref="X32" ca="1">IF(AUTOEVENTO="Manual",ROUND(SUMPRODUCT((CÁLCULO!$M$15:$M$240=EVENTOS!$C32)*(OFFSET(CÁLCULO!$AA$15:$AA$240,0,X$13))),2),0)</f>
        <v>0</v>
      </c>
      <c r="Y32" s="620" cm="1">
        <f t="array" aca="1" ref="Y32" ca="1">IF(AUTOEVENTO="Manual",ROUND(SUMPRODUCT((CÁLCULO!$M$15:$M$240=EVENTOS!$C32)*(OFFSET(CÁLCULO!$AA$15:$AA$240,0,Y$13))),2),0)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IF(AUTOEVENTO="Manual",ROUND(SUMPRODUCT((CÁLCULO!$M$15:$M$240=EVENTOS!$C33)*(OFFSET(CÁLCULO!$AA$15:$AA$240,0,E$13))),2),0)</f>
        <v>0</v>
      </c>
      <c r="F33" s="183">
        <f ca="1">IF(AUTOEVENTO="Manual",ROUND(SUMPRODUCT((CÁLCULO!$M$15:$M$240=EVENTOS!$C33)*(OFFSET(CÁLCULO!$AA$15,0,1):OFFSET(CÁLCULO!$AL$240,0,-1))),2),0)</f>
        <v>0</v>
      </c>
      <c r="G33" s="621" t="str">
        <f t="shared" ca="1" si="5"/>
        <v/>
      </c>
      <c r="H33" s="620" cm="1">
        <f t="array" aca="1" ref="H33" ca="1">IF(AUTOEVENTO="Manual",ROUND(SUMPRODUCT((CÁLCULO!$M$15:$M$240=EVENTOS!$C33)*(OFFSET(CÁLCULO!$AA$15:$AA$240,0,H$13))),2),0)</f>
        <v>0</v>
      </c>
      <c r="I33" s="620" cm="1">
        <f t="array" aca="1" ref="I33" ca="1">IF(AUTOEVENTO="Manual",ROUND(SUMPRODUCT((CÁLCULO!$M$15:$M$240=EVENTOS!$C33)*(OFFSET(CÁLCULO!$AA$15:$AA$240,0,I$13))),2),0)</f>
        <v>0</v>
      </c>
      <c r="J33" s="620" cm="1">
        <f t="array" aca="1" ref="J33" ca="1">IF(AUTOEVENTO="Manual",ROUND(SUMPRODUCT((CÁLCULO!$M$15:$M$240=EVENTOS!$C33)*(OFFSET(CÁLCULO!$AA$15:$AA$240,0,J$13))),2),0)</f>
        <v>0</v>
      </c>
      <c r="K33" s="620" cm="1">
        <f t="array" aca="1" ref="K33" ca="1">IF(AUTOEVENTO="Manual",ROUND(SUMPRODUCT((CÁLCULO!$M$15:$M$240=EVENTOS!$C33)*(OFFSET(CÁLCULO!$AA$15:$AA$240,0,K$13))),2),0)</f>
        <v>0</v>
      </c>
      <c r="L33" s="620" cm="1">
        <f t="array" aca="1" ref="L33" ca="1">IF(AUTOEVENTO="Manual",ROUND(SUMPRODUCT((CÁLCULO!$M$15:$M$240=EVENTOS!$C33)*(OFFSET(CÁLCULO!$AA$15:$AA$240,0,L$13))),2),0)</f>
        <v>0</v>
      </c>
      <c r="M33" s="620" cm="1">
        <f t="array" aca="1" ref="M33" ca="1">IF(AUTOEVENTO="Manual",ROUND(SUMPRODUCT((CÁLCULO!$M$15:$M$240=EVENTOS!$C33)*(OFFSET(CÁLCULO!$AA$15:$AA$240,0,M$13))),2),0)</f>
        <v>0</v>
      </c>
      <c r="N33" s="620" cm="1">
        <f t="array" aca="1" ref="N33" ca="1">IF(AUTOEVENTO="Manual",ROUND(SUMPRODUCT((CÁLCULO!$M$15:$M$240=EVENTOS!$C33)*(OFFSET(CÁLCULO!$AA$15:$AA$240,0,N$13))),2),0)</f>
        <v>0</v>
      </c>
      <c r="O33" s="620" cm="1">
        <f t="array" aca="1" ref="O33" ca="1">IF(AUTOEVENTO="Manual",ROUND(SUMPRODUCT((CÁLCULO!$M$15:$M$240=EVENTOS!$C33)*(OFFSET(CÁLCULO!$AA$15:$AA$240,0,O$13))),2),0)</f>
        <v>0</v>
      </c>
      <c r="P33" s="620" cm="1">
        <f t="array" aca="1" ref="P33" ca="1">IF(AUTOEVENTO="Manual",ROUND(SUMPRODUCT((CÁLCULO!$M$15:$M$240=EVENTOS!$C33)*(OFFSET(CÁLCULO!$AA$15:$AA$240,0,P$13))),2),0)</f>
        <v>0</v>
      </c>
      <c r="Q33" s="620" cm="1">
        <f t="array" aca="1" ref="Q33" ca="1">IF(AUTOEVENTO="Manual",ROUND(SUMPRODUCT((CÁLCULO!$M$15:$M$240=EVENTOS!$C33)*(OFFSET(CÁLCULO!$AA$15:$AA$240,0,Q$13))),2),0)</f>
        <v>0</v>
      </c>
      <c r="R33" s="620" cm="1">
        <f t="array" aca="1" ref="R33" ca="1">IF(AUTOEVENTO="Manual",ROUND(SUMPRODUCT((CÁLCULO!$M$15:$M$240=EVENTOS!$C33)*(OFFSET(CÁLCULO!$AA$15:$AA$240,0,R$13))),2),0)</f>
        <v>0</v>
      </c>
      <c r="S33" s="620" cm="1">
        <f t="array" aca="1" ref="S33" ca="1">IF(AUTOEVENTO="Manual",ROUND(SUMPRODUCT((CÁLCULO!$M$15:$M$240=EVENTOS!$C33)*(OFFSET(CÁLCULO!$AA$15:$AA$240,0,S$13))),2),0)</f>
        <v>0</v>
      </c>
      <c r="T33" s="620" cm="1">
        <f t="array" aca="1" ref="T33" ca="1">IF(AUTOEVENTO="Manual",ROUND(SUMPRODUCT((CÁLCULO!$M$15:$M$240=EVENTOS!$C33)*(OFFSET(CÁLCULO!$AA$15:$AA$240,0,T$13))),2),0)</f>
        <v>0</v>
      </c>
      <c r="U33" s="620" cm="1">
        <f t="array" aca="1" ref="U33" ca="1">IF(AUTOEVENTO="Manual",ROUND(SUMPRODUCT((CÁLCULO!$M$15:$M$240=EVENTOS!$C33)*(OFFSET(CÁLCULO!$AA$15:$AA$240,0,U$13))),2),0)</f>
        <v>0</v>
      </c>
      <c r="V33" s="620" cm="1">
        <f t="array" aca="1" ref="V33" ca="1">IF(AUTOEVENTO="Manual",ROUND(SUMPRODUCT((CÁLCULO!$M$15:$M$240=EVENTOS!$C33)*(OFFSET(CÁLCULO!$AA$15:$AA$240,0,V$13))),2),0)</f>
        <v>0</v>
      </c>
      <c r="W33" s="620" cm="1">
        <f t="array" aca="1" ref="W33" ca="1">IF(AUTOEVENTO="Manual",ROUND(SUMPRODUCT((CÁLCULO!$M$15:$M$240=EVENTOS!$C33)*(OFFSET(CÁLCULO!$AA$15:$AA$240,0,W$13))),2),0)</f>
        <v>0</v>
      </c>
      <c r="X33" s="620" cm="1">
        <f t="array" aca="1" ref="X33" ca="1">IF(AUTOEVENTO="Manual",ROUND(SUMPRODUCT((CÁLCULO!$M$15:$M$240=EVENTOS!$C33)*(OFFSET(CÁLCULO!$AA$15:$AA$240,0,X$13))),2),0)</f>
        <v>0</v>
      </c>
      <c r="Y33" s="620" cm="1">
        <f t="array" aca="1" ref="Y33" ca="1">IF(AUTOEVENTO="Manual",ROUND(SUMPRODUCT((CÁLCULO!$M$15:$M$240=EVENTOS!$C33)*(OFFSET(CÁLCULO!$AA$15:$AA$240,0,Y$13))),2),0)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IF(AUTOEVENTO="Manual",ROUND(SUMPRODUCT((CÁLCULO!$M$15:$M$240=EVENTOS!$C34)*(OFFSET(CÁLCULO!$AA$15:$AA$240,0,E$13))),2),0)</f>
        <v>0</v>
      </c>
      <c r="F34" s="183">
        <f ca="1">IF(AUTOEVENTO="Manual",ROUND(SUMPRODUCT((CÁLCULO!$M$15:$M$240=EVENTOS!$C34)*(OFFSET(CÁLCULO!$AA$15,0,1):OFFSET(CÁLCULO!$AL$240,0,-1))),2),0)</f>
        <v>0</v>
      </c>
      <c r="G34" s="621" t="str">
        <f t="shared" ca="1" si="5"/>
        <v/>
      </c>
      <c r="H34" s="620" cm="1">
        <f t="array" aca="1" ref="H34" ca="1">IF(AUTOEVENTO="Manual",ROUND(SUMPRODUCT((CÁLCULO!$M$15:$M$240=EVENTOS!$C34)*(OFFSET(CÁLCULO!$AA$15:$AA$240,0,H$13))),2),0)</f>
        <v>0</v>
      </c>
      <c r="I34" s="620" cm="1">
        <f t="array" aca="1" ref="I34" ca="1">IF(AUTOEVENTO="Manual",ROUND(SUMPRODUCT((CÁLCULO!$M$15:$M$240=EVENTOS!$C34)*(OFFSET(CÁLCULO!$AA$15:$AA$240,0,I$13))),2),0)</f>
        <v>0</v>
      </c>
      <c r="J34" s="620" cm="1">
        <f t="array" aca="1" ref="J34" ca="1">IF(AUTOEVENTO="Manual",ROUND(SUMPRODUCT((CÁLCULO!$M$15:$M$240=EVENTOS!$C34)*(OFFSET(CÁLCULO!$AA$15:$AA$240,0,J$13))),2),0)</f>
        <v>0</v>
      </c>
      <c r="K34" s="620" cm="1">
        <f t="array" aca="1" ref="K34" ca="1">IF(AUTOEVENTO="Manual",ROUND(SUMPRODUCT((CÁLCULO!$M$15:$M$240=EVENTOS!$C34)*(OFFSET(CÁLCULO!$AA$15:$AA$240,0,K$13))),2),0)</f>
        <v>0</v>
      </c>
      <c r="L34" s="620" cm="1">
        <f t="array" aca="1" ref="L34" ca="1">IF(AUTOEVENTO="Manual",ROUND(SUMPRODUCT((CÁLCULO!$M$15:$M$240=EVENTOS!$C34)*(OFFSET(CÁLCULO!$AA$15:$AA$240,0,L$13))),2),0)</f>
        <v>0</v>
      </c>
      <c r="M34" s="620" cm="1">
        <f t="array" aca="1" ref="M34" ca="1">IF(AUTOEVENTO="Manual",ROUND(SUMPRODUCT((CÁLCULO!$M$15:$M$240=EVENTOS!$C34)*(OFFSET(CÁLCULO!$AA$15:$AA$240,0,M$13))),2),0)</f>
        <v>0</v>
      </c>
      <c r="N34" s="620" cm="1">
        <f t="array" aca="1" ref="N34" ca="1">IF(AUTOEVENTO="Manual",ROUND(SUMPRODUCT((CÁLCULO!$M$15:$M$240=EVENTOS!$C34)*(OFFSET(CÁLCULO!$AA$15:$AA$240,0,N$13))),2),0)</f>
        <v>0</v>
      </c>
      <c r="O34" s="620" cm="1">
        <f t="array" aca="1" ref="O34" ca="1">IF(AUTOEVENTO="Manual",ROUND(SUMPRODUCT((CÁLCULO!$M$15:$M$240=EVENTOS!$C34)*(OFFSET(CÁLCULO!$AA$15:$AA$240,0,O$13))),2),0)</f>
        <v>0</v>
      </c>
      <c r="P34" s="620" cm="1">
        <f t="array" aca="1" ref="P34" ca="1">IF(AUTOEVENTO="Manual",ROUND(SUMPRODUCT((CÁLCULO!$M$15:$M$240=EVENTOS!$C34)*(OFFSET(CÁLCULO!$AA$15:$AA$240,0,P$13))),2),0)</f>
        <v>0</v>
      </c>
      <c r="Q34" s="620" cm="1">
        <f t="array" aca="1" ref="Q34" ca="1">IF(AUTOEVENTO="Manual",ROUND(SUMPRODUCT((CÁLCULO!$M$15:$M$240=EVENTOS!$C34)*(OFFSET(CÁLCULO!$AA$15:$AA$240,0,Q$13))),2),0)</f>
        <v>0</v>
      </c>
      <c r="R34" s="620" cm="1">
        <f t="array" aca="1" ref="R34" ca="1">IF(AUTOEVENTO="Manual",ROUND(SUMPRODUCT((CÁLCULO!$M$15:$M$240=EVENTOS!$C34)*(OFFSET(CÁLCULO!$AA$15:$AA$240,0,R$13))),2),0)</f>
        <v>0</v>
      </c>
      <c r="S34" s="620" cm="1">
        <f t="array" aca="1" ref="S34" ca="1">IF(AUTOEVENTO="Manual",ROUND(SUMPRODUCT((CÁLCULO!$M$15:$M$240=EVENTOS!$C34)*(OFFSET(CÁLCULO!$AA$15:$AA$240,0,S$13))),2),0)</f>
        <v>0</v>
      </c>
      <c r="T34" s="620" cm="1">
        <f t="array" aca="1" ref="T34" ca="1">IF(AUTOEVENTO="Manual",ROUND(SUMPRODUCT((CÁLCULO!$M$15:$M$240=EVENTOS!$C34)*(OFFSET(CÁLCULO!$AA$15:$AA$240,0,T$13))),2),0)</f>
        <v>0</v>
      </c>
      <c r="U34" s="620" cm="1">
        <f t="array" aca="1" ref="U34" ca="1">IF(AUTOEVENTO="Manual",ROUND(SUMPRODUCT((CÁLCULO!$M$15:$M$240=EVENTOS!$C34)*(OFFSET(CÁLCULO!$AA$15:$AA$240,0,U$13))),2),0)</f>
        <v>0</v>
      </c>
      <c r="V34" s="620" cm="1">
        <f t="array" aca="1" ref="V34" ca="1">IF(AUTOEVENTO="Manual",ROUND(SUMPRODUCT((CÁLCULO!$M$15:$M$240=EVENTOS!$C34)*(OFFSET(CÁLCULO!$AA$15:$AA$240,0,V$13))),2),0)</f>
        <v>0</v>
      </c>
      <c r="W34" s="620" cm="1">
        <f t="array" aca="1" ref="W34" ca="1">IF(AUTOEVENTO="Manual",ROUND(SUMPRODUCT((CÁLCULO!$M$15:$M$240=EVENTOS!$C34)*(OFFSET(CÁLCULO!$AA$15:$AA$240,0,W$13))),2),0)</f>
        <v>0</v>
      </c>
      <c r="X34" s="620" cm="1">
        <f t="array" aca="1" ref="X34" ca="1">IF(AUTOEVENTO="Manual",ROUND(SUMPRODUCT((CÁLCULO!$M$15:$M$240=EVENTOS!$C34)*(OFFSET(CÁLCULO!$AA$15:$AA$240,0,X$13))),2),0)</f>
        <v>0</v>
      </c>
      <c r="Y34" s="620" cm="1">
        <f t="array" aca="1" ref="Y34" ca="1">IF(AUTOEVENTO="Manual",ROUND(SUMPRODUCT((CÁLCULO!$M$15:$M$240=EVENTOS!$C34)*(OFFSET(CÁLCULO!$AA$15:$AA$240,0,Y$13))),2),0)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IF(AUTOEVENTO="Manual",ROUND(SUMPRODUCT((CÁLCULO!$M$15:$M$240=EVENTOS!$C35)*(OFFSET(CÁLCULO!$AA$15:$AA$240,0,E$13))),2),0)</f>
        <v>0</v>
      </c>
      <c r="F35" s="183">
        <f ca="1">IF(AUTOEVENTO="Manual",ROUND(SUMPRODUCT((CÁLCULO!$M$15:$M$240=EVENTOS!$C35)*(OFFSET(CÁLCULO!$AA$15,0,1):OFFSET(CÁLCULO!$AL$240,0,-1))),2),0)</f>
        <v>0</v>
      </c>
      <c r="G35" s="621" t="str">
        <f t="shared" ca="1" si="5"/>
        <v/>
      </c>
      <c r="H35" s="620" cm="1">
        <f t="array" aca="1" ref="H35" ca="1">IF(AUTOEVENTO="Manual",ROUND(SUMPRODUCT((CÁLCULO!$M$15:$M$240=EVENTOS!$C35)*(OFFSET(CÁLCULO!$AA$15:$AA$240,0,H$13))),2),0)</f>
        <v>0</v>
      </c>
      <c r="I35" s="620" cm="1">
        <f t="array" aca="1" ref="I35" ca="1">IF(AUTOEVENTO="Manual",ROUND(SUMPRODUCT((CÁLCULO!$M$15:$M$240=EVENTOS!$C35)*(OFFSET(CÁLCULO!$AA$15:$AA$240,0,I$13))),2),0)</f>
        <v>0</v>
      </c>
      <c r="J35" s="620" cm="1">
        <f t="array" aca="1" ref="J35" ca="1">IF(AUTOEVENTO="Manual",ROUND(SUMPRODUCT((CÁLCULO!$M$15:$M$240=EVENTOS!$C35)*(OFFSET(CÁLCULO!$AA$15:$AA$240,0,J$13))),2),0)</f>
        <v>0</v>
      </c>
      <c r="K35" s="620" cm="1">
        <f t="array" aca="1" ref="K35" ca="1">IF(AUTOEVENTO="Manual",ROUND(SUMPRODUCT((CÁLCULO!$M$15:$M$240=EVENTOS!$C35)*(OFFSET(CÁLCULO!$AA$15:$AA$240,0,K$13))),2),0)</f>
        <v>0</v>
      </c>
      <c r="L35" s="620" cm="1">
        <f t="array" aca="1" ref="L35" ca="1">IF(AUTOEVENTO="Manual",ROUND(SUMPRODUCT((CÁLCULO!$M$15:$M$240=EVENTOS!$C35)*(OFFSET(CÁLCULO!$AA$15:$AA$240,0,L$13))),2),0)</f>
        <v>0</v>
      </c>
      <c r="M35" s="620" cm="1">
        <f t="array" aca="1" ref="M35" ca="1">IF(AUTOEVENTO="Manual",ROUND(SUMPRODUCT((CÁLCULO!$M$15:$M$240=EVENTOS!$C35)*(OFFSET(CÁLCULO!$AA$15:$AA$240,0,M$13))),2),0)</f>
        <v>0</v>
      </c>
      <c r="N35" s="620" cm="1">
        <f t="array" aca="1" ref="N35" ca="1">IF(AUTOEVENTO="Manual",ROUND(SUMPRODUCT((CÁLCULO!$M$15:$M$240=EVENTOS!$C35)*(OFFSET(CÁLCULO!$AA$15:$AA$240,0,N$13))),2),0)</f>
        <v>0</v>
      </c>
      <c r="O35" s="620" cm="1">
        <f t="array" aca="1" ref="O35" ca="1">IF(AUTOEVENTO="Manual",ROUND(SUMPRODUCT((CÁLCULO!$M$15:$M$240=EVENTOS!$C35)*(OFFSET(CÁLCULO!$AA$15:$AA$240,0,O$13))),2),0)</f>
        <v>0</v>
      </c>
      <c r="P35" s="620" cm="1">
        <f t="array" aca="1" ref="P35" ca="1">IF(AUTOEVENTO="Manual",ROUND(SUMPRODUCT((CÁLCULO!$M$15:$M$240=EVENTOS!$C35)*(OFFSET(CÁLCULO!$AA$15:$AA$240,0,P$13))),2),0)</f>
        <v>0</v>
      </c>
      <c r="Q35" s="620" cm="1">
        <f t="array" aca="1" ref="Q35" ca="1">IF(AUTOEVENTO="Manual",ROUND(SUMPRODUCT((CÁLCULO!$M$15:$M$240=EVENTOS!$C35)*(OFFSET(CÁLCULO!$AA$15:$AA$240,0,Q$13))),2),0)</f>
        <v>0</v>
      </c>
      <c r="R35" s="620" cm="1">
        <f t="array" aca="1" ref="R35" ca="1">IF(AUTOEVENTO="Manual",ROUND(SUMPRODUCT((CÁLCULO!$M$15:$M$240=EVENTOS!$C35)*(OFFSET(CÁLCULO!$AA$15:$AA$240,0,R$13))),2),0)</f>
        <v>0</v>
      </c>
      <c r="S35" s="620" cm="1">
        <f t="array" aca="1" ref="S35" ca="1">IF(AUTOEVENTO="Manual",ROUND(SUMPRODUCT((CÁLCULO!$M$15:$M$240=EVENTOS!$C35)*(OFFSET(CÁLCULO!$AA$15:$AA$240,0,S$13))),2),0)</f>
        <v>0</v>
      </c>
      <c r="T35" s="620" cm="1">
        <f t="array" aca="1" ref="T35" ca="1">IF(AUTOEVENTO="Manual",ROUND(SUMPRODUCT((CÁLCULO!$M$15:$M$240=EVENTOS!$C35)*(OFFSET(CÁLCULO!$AA$15:$AA$240,0,T$13))),2),0)</f>
        <v>0</v>
      </c>
      <c r="U35" s="620" cm="1">
        <f t="array" aca="1" ref="U35" ca="1">IF(AUTOEVENTO="Manual",ROUND(SUMPRODUCT((CÁLCULO!$M$15:$M$240=EVENTOS!$C35)*(OFFSET(CÁLCULO!$AA$15:$AA$240,0,U$13))),2),0)</f>
        <v>0</v>
      </c>
      <c r="V35" s="620" cm="1">
        <f t="array" aca="1" ref="V35" ca="1">IF(AUTOEVENTO="Manual",ROUND(SUMPRODUCT((CÁLCULO!$M$15:$M$240=EVENTOS!$C35)*(OFFSET(CÁLCULO!$AA$15:$AA$240,0,V$13))),2),0)</f>
        <v>0</v>
      </c>
      <c r="W35" s="620" cm="1">
        <f t="array" aca="1" ref="W35" ca="1">IF(AUTOEVENTO="Manual",ROUND(SUMPRODUCT((CÁLCULO!$M$15:$M$240=EVENTOS!$C35)*(OFFSET(CÁLCULO!$AA$15:$AA$240,0,W$13))),2),0)</f>
        <v>0</v>
      </c>
      <c r="X35" s="620" cm="1">
        <f t="array" aca="1" ref="X35" ca="1">IF(AUTOEVENTO="Manual",ROUND(SUMPRODUCT((CÁLCULO!$M$15:$M$240=EVENTOS!$C35)*(OFFSET(CÁLCULO!$AA$15:$AA$240,0,X$13))),2),0)</f>
        <v>0</v>
      </c>
      <c r="Y35" s="620" cm="1">
        <f t="array" aca="1" ref="Y35" ca="1">IF(AUTOEVENTO="Manual",ROUND(SUMPRODUCT((CÁLCULO!$M$15:$M$240=EVENTOS!$C35)*(OFFSET(CÁLCULO!$AA$15:$AA$240,0,Y$13))),2),0)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IF(AUTOEVENTO="Manual",ROUND(SUMPRODUCT((CÁLCULO!$M$15:$M$240=EVENTOS!$C36)*(OFFSET(CÁLCULO!$AA$15:$AA$240,0,E$13))),2),0)</f>
        <v>0</v>
      </c>
      <c r="F36" s="183">
        <f ca="1">IF(AUTOEVENTO="Manual",ROUND(SUMPRODUCT((CÁLCULO!$M$15:$M$240=EVENTOS!$C36)*(OFFSET(CÁLCULO!$AA$15,0,1):OFFSET(CÁLCULO!$AL$240,0,-1))),2),0)</f>
        <v>0</v>
      </c>
      <c r="G36" s="621" t="str">
        <f t="shared" ca="1" si="5"/>
        <v/>
      </c>
      <c r="H36" s="620" cm="1">
        <f t="array" aca="1" ref="H36" ca="1">IF(AUTOEVENTO="Manual",ROUND(SUMPRODUCT((CÁLCULO!$M$15:$M$240=EVENTOS!$C36)*(OFFSET(CÁLCULO!$AA$15:$AA$240,0,H$13))),2),0)</f>
        <v>0</v>
      </c>
      <c r="I36" s="620" cm="1">
        <f t="array" aca="1" ref="I36" ca="1">IF(AUTOEVENTO="Manual",ROUND(SUMPRODUCT((CÁLCULO!$M$15:$M$240=EVENTOS!$C36)*(OFFSET(CÁLCULO!$AA$15:$AA$240,0,I$13))),2),0)</f>
        <v>0</v>
      </c>
      <c r="J36" s="620" cm="1">
        <f t="array" aca="1" ref="J36" ca="1">IF(AUTOEVENTO="Manual",ROUND(SUMPRODUCT((CÁLCULO!$M$15:$M$240=EVENTOS!$C36)*(OFFSET(CÁLCULO!$AA$15:$AA$240,0,J$13))),2),0)</f>
        <v>0</v>
      </c>
      <c r="K36" s="620" cm="1">
        <f t="array" aca="1" ref="K36" ca="1">IF(AUTOEVENTO="Manual",ROUND(SUMPRODUCT((CÁLCULO!$M$15:$M$240=EVENTOS!$C36)*(OFFSET(CÁLCULO!$AA$15:$AA$240,0,K$13))),2),0)</f>
        <v>0</v>
      </c>
      <c r="L36" s="620" cm="1">
        <f t="array" aca="1" ref="L36" ca="1">IF(AUTOEVENTO="Manual",ROUND(SUMPRODUCT((CÁLCULO!$M$15:$M$240=EVENTOS!$C36)*(OFFSET(CÁLCULO!$AA$15:$AA$240,0,L$13))),2),0)</f>
        <v>0</v>
      </c>
      <c r="M36" s="620" cm="1">
        <f t="array" aca="1" ref="M36" ca="1">IF(AUTOEVENTO="Manual",ROUND(SUMPRODUCT((CÁLCULO!$M$15:$M$240=EVENTOS!$C36)*(OFFSET(CÁLCULO!$AA$15:$AA$240,0,M$13))),2),0)</f>
        <v>0</v>
      </c>
      <c r="N36" s="620" cm="1">
        <f t="array" aca="1" ref="N36" ca="1">IF(AUTOEVENTO="Manual",ROUND(SUMPRODUCT((CÁLCULO!$M$15:$M$240=EVENTOS!$C36)*(OFFSET(CÁLCULO!$AA$15:$AA$240,0,N$13))),2),0)</f>
        <v>0</v>
      </c>
      <c r="O36" s="620" cm="1">
        <f t="array" aca="1" ref="O36" ca="1">IF(AUTOEVENTO="Manual",ROUND(SUMPRODUCT((CÁLCULO!$M$15:$M$240=EVENTOS!$C36)*(OFFSET(CÁLCULO!$AA$15:$AA$240,0,O$13))),2),0)</f>
        <v>0</v>
      </c>
      <c r="P36" s="620" cm="1">
        <f t="array" aca="1" ref="P36" ca="1">IF(AUTOEVENTO="Manual",ROUND(SUMPRODUCT((CÁLCULO!$M$15:$M$240=EVENTOS!$C36)*(OFFSET(CÁLCULO!$AA$15:$AA$240,0,P$13))),2),0)</f>
        <v>0</v>
      </c>
      <c r="Q36" s="620" cm="1">
        <f t="array" aca="1" ref="Q36" ca="1">IF(AUTOEVENTO="Manual",ROUND(SUMPRODUCT((CÁLCULO!$M$15:$M$240=EVENTOS!$C36)*(OFFSET(CÁLCULO!$AA$15:$AA$240,0,Q$13))),2),0)</f>
        <v>0</v>
      </c>
      <c r="R36" s="620" cm="1">
        <f t="array" aca="1" ref="R36" ca="1">IF(AUTOEVENTO="Manual",ROUND(SUMPRODUCT((CÁLCULO!$M$15:$M$240=EVENTOS!$C36)*(OFFSET(CÁLCULO!$AA$15:$AA$240,0,R$13))),2),0)</f>
        <v>0</v>
      </c>
      <c r="S36" s="620" cm="1">
        <f t="array" aca="1" ref="S36" ca="1">IF(AUTOEVENTO="Manual",ROUND(SUMPRODUCT((CÁLCULO!$M$15:$M$240=EVENTOS!$C36)*(OFFSET(CÁLCULO!$AA$15:$AA$240,0,S$13))),2),0)</f>
        <v>0</v>
      </c>
      <c r="T36" s="620" cm="1">
        <f t="array" aca="1" ref="T36" ca="1">IF(AUTOEVENTO="Manual",ROUND(SUMPRODUCT((CÁLCULO!$M$15:$M$240=EVENTOS!$C36)*(OFFSET(CÁLCULO!$AA$15:$AA$240,0,T$13))),2),0)</f>
        <v>0</v>
      </c>
      <c r="U36" s="620" cm="1">
        <f t="array" aca="1" ref="U36" ca="1">IF(AUTOEVENTO="Manual",ROUND(SUMPRODUCT((CÁLCULO!$M$15:$M$240=EVENTOS!$C36)*(OFFSET(CÁLCULO!$AA$15:$AA$240,0,U$13))),2),0)</f>
        <v>0</v>
      </c>
      <c r="V36" s="620" cm="1">
        <f t="array" aca="1" ref="V36" ca="1">IF(AUTOEVENTO="Manual",ROUND(SUMPRODUCT((CÁLCULO!$M$15:$M$240=EVENTOS!$C36)*(OFFSET(CÁLCULO!$AA$15:$AA$240,0,V$13))),2),0)</f>
        <v>0</v>
      </c>
      <c r="W36" s="620" cm="1">
        <f t="array" aca="1" ref="W36" ca="1">IF(AUTOEVENTO="Manual",ROUND(SUMPRODUCT((CÁLCULO!$M$15:$M$240=EVENTOS!$C36)*(OFFSET(CÁLCULO!$AA$15:$AA$240,0,W$13))),2),0)</f>
        <v>0</v>
      </c>
      <c r="X36" s="620" cm="1">
        <f t="array" aca="1" ref="X36" ca="1">IF(AUTOEVENTO="Manual",ROUND(SUMPRODUCT((CÁLCULO!$M$15:$M$240=EVENTOS!$C36)*(OFFSET(CÁLCULO!$AA$15:$AA$240,0,X$13))),2),0)</f>
        <v>0</v>
      </c>
      <c r="Y36" s="620" cm="1">
        <f t="array" aca="1" ref="Y36" ca="1">IF(AUTOEVENTO="Manual",ROUND(SUMPRODUCT((CÁLCULO!$M$15:$M$240=EVENTOS!$C36)*(OFFSET(CÁLCULO!$AA$15:$AA$240,0,Y$13))),2),0)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IF(AUTOEVENTO="Manual",ROUND(SUMPRODUCT((CÁLCULO!$M$15:$M$240=EVENTOS!$C37)*(OFFSET(CÁLCULO!$AA$15:$AA$240,0,E$13))),2),0)</f>
        <v>0</v>
      </c>
      <c r="F37" s="183">
        <f ca="1">IF(AUTOEVENTO="Manual",ROUND(SUMPRODUCT((CÁLCULO!$M$15:$M$240=EVENTOS!$C37)*(OFFSET(CÁLCULO!$AA$15,0,1):OFFSET(CÁLCULO!$AL$240,0,-1))),2),0)</f>
        <v>0</v>
      </c>
      <c r="G37" s="621" t="str">
        <f t="shared" ca="1" si="5"/>
        <v/>
      </c>
      <c r="H37" s="620" cm="1">
        <f t="array" aca="1" ref="H37" ca="1">IF(AUTOEVENTO="Manual",ROUND(SUMPRODUCT((CÁLCULO!$M$15:$M$240=EVENTOS!$C37)*(OFFSET(CÁLCULO!$AA$15:$AA$240,0,H$13))),2),0)</f>
        <v>0</v>
      </c>
      <c r="I37" s="620" cm="1">
        <f t="array" aca="1" ref="I37" ca="1">IF(AUTOEVENTO="Manual",ROUND(SUMPRODUCT((CÁLCULO!$M$15:$M$240=EVENTOS!$C37)*(OFFSET(CÁLCULO!$AA$15:$AA$240,0,I$13))),2),0)</f>
        <v>0</v>
      </c>
      <c r="J37" s="620" cm="1">
        <f t="array" aca="1" ref="J37" ca="1">IF(AUTOEVENTO="Manual",ROUND(SUMPRODUCT((CÁLCULO!$M$15:$M$240=EVENTOS!$C37)*(OFFSET(CÁLCULO!$AA$15:$AA$240,0,J$13))),2),0)</f>
        <v>0</v>
      </c>
      <c r="K37" s="620" cm="1">
        <f t="array" aca="1" ref="K37" ca="1">IF(AUTOEVENTO="Manual",ROUND(SUMPRODUCT((CÁLCULO!$M$15:$M$240=EVENTOS!$C37)*(OFFSET(CÁLCULO!$AA$15:$AA$240,0,K$13))),2),0)</f>
        <v>0</v>
      </c>
      <c r="L37" s="620" cm="1">
        <f t="array" aca="1" ref="L37" ca="1">IF(AUTOEVENTO="Manual",ROUND(SUMPRODUCT((CÁLCULO!$M$15:$M$240=EVENTOS!$C37)*(OFFSET(CÁLCULO!$AA$15:$AA$240,0,L$13))),2),0)</f>
        <v>0</v>
      </c>
      <c r="M37" s="620" cm="1">
        <f t="array" aca="1" ref="M37" ca="1">IF(AUTOEVENTO="Manual",ROUND(SUMPRODUCT((CÁLCULO!$M$15:$M$240=EVENTOS!$C37)*(OFFSET(CÁLCULO!$AA$15:$AA$240,0,M$13))),2),0)</f>
        <v>0</v>
      </c>
      <c r="N37" s="620" cm="1">
        <f t="array" aca="1" ref="N37" ca="1">IF(AUTOEVENTO="Manual",ROUND(SUMPRODUCT((CÁLCULO!$M$15:$M$240=EVENTOS!$C37)*(OFFSET(CÁLCULO!$AA$15:$AA$240,0,N$13))),2),0)</f>
        <v>0</v>
      </c>
      <c r="O37" s="620" cm="1">
        <f t="array" aca="1" ref="O37" ca="1">IF(AUTOEVENTO="Manual",ROUND(SUMPRODUCT((CÁLCULO!$M$15:$M$240=EVENTOS!$C37)*(OFFSET(CÁLCULO!$AA$15:$AA$240,0,O$13))),2),0)</f>
        <v>0</v>
      </c>
      <c r="P37" s="620" cm="1">
        <f t="array" aca="1" ref="P37" ca="1">IF(AUTOEVENTO="Manual",ROUND(SUMPRODUCT((CÁLCULO!$M$15:$M$240=EVENTOS!$C37)*(OFFSET(CÁLCULO!$AA$15:$AA$240,0,P$13))),2),0)</f>
        <v>0</v>
      </c>
      <c r="Q37" s="620" cm="1">
        <f t="array" aca="1" ref="Q37" ca="1">IF(AUTOEVENTO="Manual",ROUND(SUMPRODUCT((CÁLCULO!$M$15:$M$240=EVENTOS!$C37)*(OFFSET(CÁLCULO!$AA$15:$AA$240,0,Q$13))),2),0)</f>
        <v>0</v>
      </c>
      <c r="R37" s="620" cm="1">
        <f t="array" aca="1" ref="R37" ca="1">IF(AUTOEVENTO="Manual",ROUND(SUMPRODUCT((CÁLCULO!$M$15:$M$240=EVENTOS!$C37)*(OFFSET(CÁLCULO!$AA$15:$AA$240,0,R$13))),2),0)</f>
        <v>0</v>
      </c>
      <c r="S37" s="620" cm="1">
        <f t="array" aca="1" ref="S37" ca="1">IF(AUTOEVENTO="Manual",ROUND(SUMPRODUCT((CÁLCULO!$M$15:$M$240=EVENTOS!$C37)*(OFFSET(CÁLCULO!$AA$15:$AA$240,0,S$13))),2),0)</f>
        <v>0</v>
      </c>
      <c r="T37" s="620" cm="1">
        <f t="array" aca="1" ref="T37" ca="1">IF(AUTOEVENTO="Manual",ROUND(SUMPRODUCT((CÁLCULO!$M$15:$M$240=EVENTOS!$C37)*(OFFSET(CÁLCULO!$AA$15:$AA$240,0,T$13))),2),0)</f>
        <v>0</v>
      </c>
      <c r="U37" s="620" cm="1">
        <f t="array" aca="1" ref="U37" ca="1">IF(AUTOEVENTO="Manual",ROUND(SUMPRODUCT((CÁLCULO!$M$15:$M$240=EVENTOS!$C37)*(OFFSET(CÁLCULO!$AA$15:$AA$240,0,U$13))),2),0)</f>
        <v>0</v>
      </c>
      <c r="V37" s="620" cm="1">
        <f t="array" aca="1" ref="V37" ca="1">IF(AUTOEVENTO="Manual",ROUND(SUMPRODUCT((CÁLCULO!$M$15:$M$240=EVENTOS!$C37)*(OFFSET(CÁLCULO!$AA$15:$AA$240,0,V$13))),2),0)</f>
        <v>0</v>
      </c>
      <c r="W37" s="620" cm="1">
        <f t="array" aca="1" ref="W37" ca="1">IF(AUTOEVENTO="Manual",ROUND(SUMPRODUCT((CÁLCULO!$M$15:$M$240=EVENTOS!$C37)*(OFFSET(CÁLCULO!$AA$15:$AA$240,0,W$13))),2),0)</f>
        <v>0</v>
      </c>
      <c r="X37" s="620" cm="1">
        <f t="array" aca="1" ref="X37" ca="1">IF(AUTOEVENTO="Manual",ROUND(SUMPRODUCT((CÁLCULO!$M$15:$M$240=EVENTOS!$C37)*(OFFSET(CÁLCULO!$AA$15:$AA$240,0,X$13))),2),0)</f>
        <v>0</v>
      </c>
      <c r="Y37" s="620" cm="1">
        <f t="array" aca="1" ref="Y37" ca="1">IF(AUTOEVENTO="Manual",ROUND(SUMPRODUCT((CÁLCULO!$M$15:$M$240=EVENTOS!$C37)*(OFFSET(CÁLCULO!$AA$15:$AA$240,0,Y$13))),2),0)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IF(AUTOEVENTO="Manual",ROUND(SUMPRODUCT((CÁLCULO!$M$15:$M$240=EVENTOS!$C38)*(OFFSET(CÁLCULO!$AA$15:$AA$240,0,E$13))),2),0)</f>
        <v>0</v>
      </c>
      <c r="F38" s="183">
        <f ca="1">IF(AUTOEVENTO="Manual",ROUND(SUMPRODUCT((CÁLCULO!$M$15:$M$240=EVENTOS!$C38)*(OFFSET(CÁLCULO!$AA$15,0,1):OFFSET(CÁLCULO!$AL$240,0,-1))),2),0)</f>
        <v>0</v>
      </c>
      <c r="G38" s="621" t="str">
        <f t="shared" ca="1" si="5"/>
        <v/>
      </c>
      <c r="H38" s="620" cm="1">
        <f t="array" aca="1" ref="H38" ca="1">IF(AUTOEVENTO="Manual",ROUND(SUMPRODUCT((CÁLCULO!$M$15:$M$240=EVENTOS!$C38)*(OFFSET(CÁLCULO!$AA$15:$AA$240,0,H$13))),2),0)</f>
        <v>0</v>
      </c>
      <c r="I38" s="620" cm="1">
        <f t="array" aca="1" ref="I38" ca="1">IF(AUTOEVENTO="Manual",ROUND(SUMPRODUCT((CÁLCULO!$M$15:$M$240=EVENTOS!$C38)*(OFFSET(CÁLCULO!$AA$15:$AA$240,0,I$13))),2),0)</f>
        <v>0</v>
      </c>
      <c r="J38" s="620" cm="1">
        <f t="array" aca="1" ref="J38" ca="1">IF(AUTOEVENTO="Manual",ROUND(SUMPRODUCT((CÁLCULO!$M$15:$M$240=EVENTOS!$C38)*(OFFSET(CÁLCULO!$AA$15:$AA$240,0,J$13))),2),0)</f>
        <v>0</v>
      </c>
      <c r="K38" s="620" cm="1">
        <f t="array" aca="1" ref="K38" ca="1">IF(AUTOEVENTO="Manual",ROUND(SUMPRODUCT((CÁLCULO!$M$15:$M$240=EVENTOS!$C38)*(OFFSET(CÁLCULO!$AA$15:$AA$240,0,K$13))),2),0)</f>
        <v>0</v>
      </c>
      <c r="L38" s="620" cm="1">
        <f t="array" aca="1" ref="L38" ca="1">IF(AUTOEVENTO="Manual",ROUND(SUMPRODUCT((CÁLCULO!$M$15:$M$240=EVENTOS!$C38)*(OFFSET(CÁLCULO!$AA$15:$AA$240,0,L$13))),2),0)</f>
        <v>0</v>
      </c>
      <c r="M38" s="620" cm="1">
        <f t="array" aca="1" ref="M38" ca="1">IF(AUTOEVENTO="Manual",ROUND(SUMPRODUCT((CÁLCULO!$M$15:$M$240=EVENTOS!$C38)*(OFFSET(CÁLCULO!$AA$15:$AA$240,0,M$13))),2),0)</f>
        <v>0</v>
      </c>
      <c r="N38" s="620" cm="1">
        <f t="array" aca="1" ref="N38" ca="1">IF(AUTOEVENTO="Manual",ROUND(SUMPRODUCT((CÁLCULO!$M$15:$M$240=EVENTOS!$C38)*(OFFSET(CÁLCULO!$AA$15:$AA$240,0,N$13))),2),0)</f>
        <v>0</v>
      </c>
      <c r="O38" s="620" cm="1">
        <f t="array" aca="1" ref="O38" ca="1">IF(AUTOEVENTO="Manual",ROUND(SUMPRODUCT((CÁLCULO!$M$15:$M$240=EVENTOS!$C38)*(OFFSET(CÁLCULO!$AA$15:$AA$240,0,O$13))),2),0)</f>
        <v>0</v>
      </c>
      <c r="P38" s="620" cm="1">
        <f t="array" aca="1" ref="P38" ca="1">IF(AUTOEVENTO="Manual",ROUND(SUMPRODUCT((CÁLCULO!$M$15:$M$240=EVENTOS!$C38)*(OFFSET(CÁLCULO!$AA$15:$AA$240,0,P$13))),2),0)</f>
        <v>0</v>
      </c>
      <c r="Q38" s="620" cm="1">
        <f t="array" aca="1" ref="Q38" ca="1">IF(AUTOEVENTO="Manual",ROUND(SUMPRODUCT((CÁLCULO!$M$15:$M$240=EVENTOS!$C38)*(OFFSET(CÁLCULO!$AA$15:$AA$240,0,Q$13))),2),0)</f>
        <v>0</v>
      </c>
      <c r="R38" s="620" cm="1">
        <f t="array" aca="1" ref="R38" ca="1">IF(AUTOEVENTO="Manual",ROUND(SUMPRODUCT((CÁLCULO!$M$15:$M$240=EVENTOS!$C38)*(OFFSET(CÁLCULO!$AA$15:$AA$240,0,R$13))),2),0)</f>
        <v>0</v>
      </c>
      <c r="S38" s="620" cm="1">
        <f t="array" aca="1" ref="S38" ca="1">IF(AUTOEVENTO="Manual",ROUND(SUMPRODUCT((CÁLCULO!$M$15:$M$240=EVENTOS!$C38)*(OFFSET(CÁLCULO!$AA$15:$AA$240,0,S$13))),2),0)</f>
        <v>0</v>
      </c>
      <c r="T38" s="620" cm="1">
        <f t="array" aca="1" ref="T38" ca="1">IF(AUTOEVENTO="Manual",ROUND(SUMPRODUCT((CÁLCULO!$M$15:$M$240=EVENTOS!$C38)*(OFFSET(CÁLCULO!$AA$15:$AA$240,0,T$13))),2),0)</f>
        <v>0</v>
      </c>
      <c r="U38" s="620" cm="1">
        <f t="array" aca="1" ref="U38" ca="1">IF(AUTOEVENTO="Manual",ROUND(SUMPRODUCT((CÁLCULO!$M$15:$M$240=EVENTOS!$C38)*(OFFSET(CÁLCULO!$AA$15:$AA$240,0,U$13))),2),0)</f>
        <v>0</v>
      </c>
      <c r="V38" s="620" cm="1">
        <f t="array" aca="1" ref="V38" ca="1">IF(AUTOEVENTO="Manual",ROUND(SUMPRODUCT((CÁLCULO!$M$15:$M$240=EVENTOS!$C38)*(OFFSET(CÁLCULO!$AA$15:$AA$240,0,V$13))),2),0)</f>
        <v>0</v>
      </c>
      <c r="W38" s="620" cm="1">
        <f t="array" aca="1" ref="W38" ca="1">IF(AUTOEVENTO="Manual",ROUND(SUMPRODUCT((CÁLCULO!$M$15:$M$240=EVENTOS!$C38)*(OFFSET(CÁLCULO!$AA$15:$AA$240,0,W$13))),2),0)</f>
        <v>0</v>
      </c>
      <c r="X38" s="620" cm="1">
        <f t="array" aca="1" ref="X38" ca="1">IF(AUTOEVENTO="Manual",ROUND(SUMPRODUCT((CÁLCULO!$M$15:$M$240=EVENTOS!$C38)*(OFFSET(CÁLCULO!$AA$15:$AA$240,0,X$13))),2),0)</f>
        <v>0</v>
      </c>
      <c r="Y38" s="620" cm="1">
        <f t="array" aca="1" ref="Y38" ca="1">IF(AUTOEVENTO="Manual",ROUND(SUMPRODUCT((CÁLCULO!$M$15:$M$240=EVENTOS!$C38)*(OFFSET(CÁLCULO!$AA$15:$AA$240,0,Y$13))),2),0)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IF(AUTOEVENTO="Manual",ROUND(SUMPRODUCT((CÁLCULO!$M$15:$M$240=EVENTOS!$C39)*(OFFSET(CÁLCULO!$AA$15:$AA$240,0,E$13))),2),0)</f>
        <v>0</v>
      </c>
      <c r="F39" s="183">
        <f ca="1">IF(AUTOEVENTO="Manual",ROUND(SUMPRODUCT((CÁLCULO!$M$15:$M$240=EVENTOS!$C39)*(OFFSET(CÁLCULO!$AA$15,0,1):OFFSET(CÁLCULO!$AL$240,0,-1))),2),0)</f>
        <v>0</v>
      </c>
      <c r="G39" s="621" t="str">
        <f t="shared" ca="1" si="5"/>
        <v/>
      </c>
      <c r="H39" s="620" cm="1">
        <f t="array" aca="1" ref="H39" ca="1">IF(AUTOEVENTO="Manual",ROUND(SUMPRODUCT((CÁLCULO!$M$15:$M$240=EVENTOS!$C39)*(OFFSET(CÁLCULO!$AA$15:$AA$240,0,H$13))),2),0)</f>
        <v>0</v>
      </c>
      <c r="I39" s="620" cm="1">
        <f t="array" aca="1" ref="I39" ca="1">IF(AUTOEVENTO="Manual",ROUND(SUMPRODUCT((CÁLCULO!$M$15:$M$240=EVENTOS!$C39)*(OFFSET(CÁLCULO!$AA$15:$AA$240,0,I$13))),2),0)</f>
        <v>0</v>
      </c>
      <c r="J39" s="620" cm="1">
        <f t="array" aca="1" ref="J39" ca="1">IF(AUTOEVENTO="Manual",ROUND(SUMPRODUCT((CÁLCULO!$M$15:$M$240=EVENTOS!$C39)*(OFFSET(CÁLCULO!$AA$15:$AA$240,0,J$13))),2),0)</f>
        <v>0</v>
      </c>
      <c r="K39" s="620" cm="1">
        <f t="array" aca="1" ref="K39" ca="1">IF(AUTOEVENTO="Manual",ROUND(SUMPRODUCT((CÁLCULO!$M$15:$M$240=EVENTOS!$C39)*(OFFSET(CÁLCULO!$AA$15:$AA$240,0,K$13))),2),0)</f>
        <v>0</v>
      </c>
      <c r="L39" s="620" cm="1">
        <f t="array" aca="1" ref="L39" ca="1">IF(AUTOEVENTO="Manual",ROUND(SUMPRODUCT((CÁLCULO!$M$15:$M$240=EVENTOS!$C39)*(OFFSET(CÁLCULO!$AA$15:$AA$240,0,L$13))),2),0)</f>
        <v>0</v>
      </c>
      <c r="M39" s="620" cm="1">
        <f t="array" aca="1" ref="M39" ca="1">IF(AUTOEVENTO="Manual",ROUND(SUMPRODUCT((CÁLCULO!$M$15:$M$240=EVENTOS!$C39)*(OFFSET(CÁLCULO!$AA$15:$AA$240,0,M$13))),2),0)</f>
        <v>0</v>
      </c>
      <c r="N39" s="620" cm="1">
        <f t="array" aca="1" ref="N39" ca="1">IF(AUTOEVENTO="Manual",ROUND(SUMPRODUCT((CÁLCULO!$M$15:$M$240=EVENTOS!$C39)*(OFFSET(CÁLCULO!$AA$15:$AA$240,0,N$13))),2),0)</f>
        <v>0</v>
      </c>
      <c r="O39" s="620" cm="1">
        <f t="array" aca="1" ref="O39" ca="1">IF(AUTOEVENTO="Manual",ROUND(SUMPRODUCT((CÁLCULO!$M$15:$M$240=EVENTOS!$C39)*(OFFSET(CÁLCULO!$AA$15:$AA$240,0,O$13))),2),0)</f>
        <v>0</v>
      </c>
      <c r="P39" s="620" cm="1">
        <f t="array" aca="1" ref="P39" ca="1">IF(AUTOEVENTO="Manual",ROUND(SUMPRODUCT((CÁLCULO!$M$15:$M$240=EVENTOS!$C39)*(OFFSET(CÁLCULO!$AA$15:$AA$240,0,P$13))),2),0)</f>
        <v>0</v>
      </c>
      <c r="Q39" s="620" cm="1">
        <f t="array" aca="1" ref="Q39" ca="1">IF(AUTOEVENTO="Manual",ROUND(SUMPRODUCT((CÁLCULO!$M$15:$M$240=EVENTOS!$C39)*(OFFSET(CÁLCULO!$AA$15:$AA$240,0,Q$13))),2),0)</f>
        <v>0</v>
      </c>
      <c r="R39" s="620" cm="1">
        <f t="array" aca="1" ref="R39" ca="1">IF(AUTOEVENTO="Manual",ROUND(SUMPRODUCT((CÁLCULO!$M$15:$M$240=EVENTOS!$C39)*(OFFSET(CÁLCULO!$AA$15:$AA$240,0,R$13))),2),0)</f>
        <v>0</v>
      </c>
      <c r="S39" s="620" cm="1">
        <f t="array" aca="1" ref="S39" ca="1">IF(AUTOEVENTO="Manual",ROUND(SUMPRODUCT((CÁLCULO!$M$15:$M$240=EVENTOS!$C39)*(OFFSET(CÁLCULO!$AA$15:$AA$240,0,S$13))),2),0)</f>
        <v>0</v>
      </c>
      <c r="T39" s="620" cm="1">
        <f t="array" aca="1" ref="T39" ca="1">IF(AUTOEVENTO="Manual",ROUND(SUMPRODUCT((CÁLCULO!$M$15:$M$240=EVENTOS!$C39)*(OFFSET(CÁLCULO!$AA$15:$AA$240,0,T$13))),2),0)</f>
        <v>0</v>
      </c>
      <c r="U39" s="620" cm="1">
        <f t="array" aca="1" ref="U39" ca="1">IF(AUTOEVENTO="Manual",ROUND(SUMPRODUCT((CÁLCULO!$M$15:$M$240=EVENTOS!$C39)*(OFFSET(CÁLCULO!$AA$15:$AA$240,0,U$13))),2),0)</f>
        <v>0</v>
      </c>
      <c r="V39" s="620" cm="1">
        <f t="array" aca="1" ref="V39" ca="1">IF(AUTOEVENTO="Manual",ROUND(SUMPRODUCT((CÁLCULO!$M$15:$M$240=EVENTOS!$C39)*(OFFSET(CÁLCULO!$AA$15:$AA$240,0,V$13))),2),0)</f>
        <v>0</v>
      </c>
      <c r="W39" s="620" cm="1">
        <f t="array" aca="1" ref="W39" ca="1">IF(AUTOEVENTO="Manual",ROUND(SUMPRODUCT((CÁLCULO!$M$15:$M$240=EVENTOS!$C39)*(OFFSET(CÁLCULO!$AA$15:$AA$240,0,W$13))),2),0)</f>
        <v>0</v>
      </c>
      <c r="X39" s="620" cm="1">
        <f t="array" aca="1" ref="X39" ca="1">IF(AUTOEVENTO="Manual",ROUND(SUMPRODUCT((CÁLCULO!$M$15:$M$240=EVENTOS!$C39)*(OFFSET(CÁLCULO!$AA$15:$AA$240,0,X$13))),2),0)</f>
        <v>0</v>
      </c>
      <c r="Y39" s="620" cm="1">
        <f t="array" aca="1" ref="Y39" ca="1">IF(AUTOEVENTO="Manual",ROUND(SUMPRODUCT((CÁLCULO!$M$15:$M$240=EVENTOS!$C39)*(OFFSET(CÁLCULO!$AA$15:$AA$240,0,Y$13))),2),0)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IF(AUTOEVENTO="Manual",ROUND(SUMPRODUCT((CÁLCULO!$M$15:$M$240=EVENTOS!$C40)*(OFFSET(CÁLCULO!$AA$15:$AA$240,0,E$13))),2),0)</f>
        <v>0</v>
      </c>
      <c r="F40" s="183">
        <f ca="1">IF(AUTOEVENTO="Manual",ROUND(SUMPRODUCT((CÁLCULO!$M$15:$M$240=EVENTOS!$C40)*(OFFSET(CÁLCULO!$AA$15,0,1):OFFSET(CÁLCULO!$AL$240,0,-1))),2),0)</f>
        <v>0</v>
      </c>
      <c r="G40" s="621" t="str">
        <f t="shared" ca="1" si="5"/>
        <v/>
      </c>
      <c r="H40" s="620" cm="1">
        <f t="array" aca="1" ref="H40" ca="1">IF(AUTOEVENTO="Manual",ROUND(SUMPRODUCT((CÁLCULO!$M$15:$M$240=EVENTOS!$C40)*(OFFSET(CÁLCULO!$AA$15:$AA$240,0,H$13))),2),0)</f>
        <v>0</v>
      </c>
      <c r="I40" s="620" cm="1">
        <f t="array" aca="1" ref="I40" ca="1">IF(AUTOEVENTO="Manual",ROUND(SUMPRODUCT((CÁLCULO!$M$15:$M$240=EVENTOS!$C40)*(OFFSET(CÁLCULO!$AA$15:$AA$240,0,I$13))),2),0)</f>
        <v>0</v>
      </c>
      <c r="J40" s="620" cm="1">
        <f t="array" aca="1" ref="J40" ca="1">IF(AUTOEVENTO="Manual",ROUND(SUMPRODUCT((CÁLCULO!$M$15:$M$240=EVENTOS!$C40)*(OFFSET(CÁLCULO!$AA$15:$AA$240,0,J$13))),2),0)</f>
        <v>0</v>
      </c>
      <c r="K40" s="620" cm="1">
        <f t="array" aca="1" ref="K40" ca="1">IF(AUTOEVENTO="Manual",ROUND(SUMPRODUCT((CÁLCULO!$M$15:$M$240=EVENTOS!$C40)*(OFFSET(CÁLCULO!$AA$15:$AA$240,0,K$13))),2),0)</f>
        <v>0</v>
      </c>
      <c r="L40" s="620" cm="1">
        <f t="array" aca="1" ref="L40" ca="1">IF(AUTOEVENTO="Manual",ROUND(SUMPRODUCT((CÁLCULO!$M$15:$M$240=EVENTOS!$C40)*(OFFSET(CÁLCULO!$AA$15:$AA$240,0,L$13))),2),0)</f>
        <v>0</v>
      </c>
      <c r="M40" s="620" cm="1">
        <f t="array" aca="1" ref="M40" ca="1">IF(AUTOEVENTO="Manual",ROUND(SUMPRODUCT((CÁLCULO!$M$15:$M$240=EVENTOS!$C40)*(OFFSET(CÁLCULO!$AA$15:$AA$240,0,M$13))),2),0)</f>
        <v>0</v>
      </c>
      <c r="N40" s="620" cm="1">
        <f t="array" aca="1" ref="N40" ca="1">IF(AUTOEVENTO="Manual",ROUND(SUMPRODUCT((CÁLCULO!$M$15:$M$240=EVENTOS!$C40)*(OFFSET(CÁLCULO!$AA$15:$AA$240,0,N$13))),2),0)</f>
        <v>0</v>
      </c>
      <c r="O40" s="620" cm="1">
        <f t="array" aca="1" ref="O40" ca="1">IF(AUTOEVENTO="Manual",ROUND(SUMPRODUCT((CÁLCULO!$M$15:$M$240=EVENTOS!$C40)*(OFFSET(CÁLCULO!$AA$15:$AA$240,0,O$13))),2),0)</f>
        <v>0</v>
      </c>
      <c r="P40" s="620" cm="1">
        <f t="array" aca="1" ref="P40" ca="1">IF(AUTOEVENTO="Manual",ROUND(SUMPRODUCT((CÁLCULO!$M$15:$M$240=EVENTOS!$C40)*(OFFSET(CÁLCULO!$AA$15:$AA$240,0,P$13))),2),0)</f>
        <v>0</v>
      </c>
      <c r="Q40" s="620" cm="1">
        <f t="array" aca="1" ref="Q40" ca="1">IF(AUTOEVENTO="Manual",ROUND(SUMPRODUCT((CÁLCULO!$M$15:$M$240=EVENTOS!$C40)*(OFFSET(CÁLCULO!$AA$15:$AA$240,0,Q$13))),2),0)</f>
        <v>0</v>
      </c>
      <c r="R40" s="620" cm="1">
        <f t="array" aca="1" ref="R40" ca="1">IF(AUTOEVENTO="Manual",ROUND(SUMPRODUCT((CÁLCULO!$M$15:$M$240=EVENTOS!$C40)*(OFFSET(CÁLCULO!$AA$15:$AA$240,0,R$13))),2),0)</f>
        <v>0</v>
      </c>
      <c r="S40" s="620" cm="1">
        <f t="array" aca="1" ref="S40" ca="1">IF(AUTOEVENTO="Manual",ROUND(SUMPRODUCT((CÁLCULO!$M$15:$M$240=EVENTOS!$C40)*(OFFSET(CÁLCULO!$AA$15:$AA$240,0,S$13))),2),0)</f>
        <v>0</v>
      </c>
      <c r="T40" s="620" cm="1">
        <f t="array" aca="1" ref="T40" ca="1">IF(AUTOEVENTO="Manual",ROUND(SUMPRODUCT((CÁLCULO!$M$15:$M$240=EVENTOS!$C40)*(OFFSET(CÁLCULO!$AA$15:$AA$240,0,T$13))),2),0)</f>
        <v>0</v>
      </c>
      <c r="U40" s="620" cm="1">
        <f t="array" aca="1" ref="U40" ca="1">IF(AUTOEVENTO="Manual",ROUND(SUMPRODUCT((CÁLCULO!$M$15:$M$240=EVENTOS!$C40)*(OFFSET(CÁLCULO!$AA$15:$AA$240,0,U$13))),2),0)</f>
        <v>0</v>
      </c>
      <c r="V40" s="620" cm="1">
        <f t="array" aca="1" ref="V40" ca="1">IF(AUTOEVENTO="Manual",ROUND(SUMPRODUCT((CÁLCULO!$M$15:$M$240=EVENTOS!$C40)*(OFFSET(CÁLCULO!$AA$15:$AA$240,0,V$13))),2),0)</f>
        <v>0</v>
      </c>
      <c r="W40" s="620" cm="1">
        <f t="array" aca="1" ref="W40" ca="1">IF(AUTOEVENTO="Manual",ROUND(SUMPRODUCT((CÁLCULO!$M$15:$M$240=EVENTOS!$C40)*(OFFSET(CÁLCULO!$AA$15:$AA$240,0,W$13))),2),0)</f>
        <v>0</v>
      </c>
      <c r="X40" s="620" cm="1">
        <f t="array" aca="1" ref="X40" ca="1">IF(AUTOEVENTO="Manual",ROUND(SUMPRODUCT((CÁLCULO!$M$15:$M$240=EVENTOS!$C40)*(OFFSET(CÁLCULO!$AA$15:$AA$240,0,X$13))),2),0)</f>
        <v>0</v>
      </c>
      <c r="Y40" s="620" cm="1">
        <f t="array" aca="1" ref="Y40" ca="1">IF(AUTOEVENTO="Manual",ROUND(SUMPRODUCT((CÁLCULO!$M$15:$M$240=EVENTOS!$C40)*(OFFSET(CÁLCULO!$AA$15:$AA$240,0,Y$13))),2),0)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IF(AUTOEVENTO="Manual",ROUND(SUMPRODUCT((CÁLCULO!$M$15:$M$240=EVENTOS!$C41)*(OFFSET(CÁLCULO!$AA$15:$AA$240,0,E$13))),2),0)</f>
        <v>0</v>
      </c>
      <c r="F41" s="183">
        <f ca="1">IF(AUTOEVENTO="Manual",ROUND(SUMPRODUCT((CÁLCULO!$M$15:$M$240=EVENTOS!$C41)*(OFFSET(CÁLCULO!$AA$15,0,1):OFFSET(CÁLCULO!$AL$240,0,-1))),2),0)</f>
        <v>0</v>
      </c>
      <c r="G41" s="621" t="str">
        <f t="shared" ca="1" si="5"/>
        <v/>
      </c>
      <c r="H41" s="620" cm="1">
        <f t="array" aca="1" ref="H41" ca="1">IF(AUTOEVENTO="Manual",ROUND(SUMPRODUCT((CÁLCULO!$M$15:$M$240=EVENTOS!$C41)*(OFFSET(CÁLCULO!$AA$15:$AA$240,0,H$13))),2),0)</f>
        <v>0</v>
      </c>
      <c r="I41" s="620" cm="1">
        <f t="array" aca="1" ref="I41" ca="1">IF(AUTOEVENTO="Manual",ROUND(SUMPRODUCT((CÁLCULO!$M$15:$M$240=EVENTOS!$C41)*(OFFSET(CÁLCULO!$AA$15:$AA$240,0,I$13))),2),0)</f>
        <v>0</v>
      </c>
      <c r="J41" s="620" cm="1">
        <f t="array" aca="1" ref="J41" ca="1">IF(AUTOEVENTO="Manual",ROUND(SUMPRODUCT((CÁLCULO!$M$15:$M$240=EVENTOS!$C41)*(OFFSET(CÁLCULO!$AA$15:$AA$240,0,J$13))),2),0)</f>
        <v>0</v>
      </c>
      <c r="K41" s="620" cm="1">
        <f t="array" aca="1" ref="K41" ca="1">IF(AUTOEVENTO="Manual",ROUND(SUMPRODUCT((CÁLCULO!$M$15:$M$240=EVENTOS!$C41)*(OFFSET(CÁLCULO!$AA$15:$AA$240,0,K$13))),2),0)</f>
        <v>0</v>
      </c>
      <c r="L41" s="620" cm="1">
        <f t="array" aca="1" ref="L41" ca="1">IF(AUTOEVENTO="Manual",ROUND(SUMPRODUCT((CÁLCULO!$M$15:$M$240=EVENTOS!$C41)*(OFFSET(CÁLCULO!$AA$15:$AA$240,0,L$13))),2),0)</f>
        <v>0</v>
      </c>
      <c r="M41" s="620" cm="1">
        <f t="array" aca="1" ref="M41" ca="1">IF(AUTOEVENTO="Manual",ROUND(SUMPRODUCT((CÁLCULO!$M$15:$M$240=EVENTOS!$C41)*(OFFSET(CÁLCULO!$AA$15:$AA$240,0,M$13))),2),0)</f>
        <v>0</v>
      </c>
      <c r="N41" s="620" cm="1">
        <f t="array" aca="1" ref="N41" ca="1">IF(AUTOEVENTO="Manual",ROUND(SUMPRODUCT((CÁLCULO!$M$15:$M$240=EVENTOS!$C41)*(OFFSET(CÁLCULO!$AA$15:$AA$240,0,N$13))),2),0)</f>
        <v>0</v>
      </c>
      <c r="O41" s="620" cm="1">
        <f t="array" aca="1" ref="O41" ca="1">IF(AUTOEVENTO="Manual",ROUND(SUMPRODUCT((CÁLCULO!$M$15:$M$240=EVENTOS!$C41)*(OFFSET(CÁLCULO!$AA$15:$AA$240,0,O$13))),2),0)</f>
        <v>0</v>
      </c>
      <c r="P41" s="620" cm="1">
        <f t="array" aca="1" ref="P41" ca="1">IF(AUTOEVENTO="Manual",ROUND(SUMPRODUCT((CÁLCULO!$M$15:$M$240=EVENTOS!$C41)*(OFFSET(CÁLCULO!$AA$15:$AA$240,0,P$13))),2),0)</f>
        <v>0</v>
      </c>
      <c r="Q41" s="620" cm="1">
        <f t="array" aca="1" ref="Q41" ca="1">IF(AUTOEVENTO="Manual",ROUND(SUMPRODUCT((CÁLCULO!$M$15:$M$240=EVENTOS!$C41)*(OFFSET(CÁLCULO!$AA$15:$AA$240,0,Q$13))),2),0)</f>
        <v>0</v>
      </c>
      <c r="R41" s="620" cm="1">
        <f t="array" aca="1" ref="R41" ca="1">IF(AUTOEVENTO="Manual",ROUND(SUMPRODUCT((CÁLCULO!$M$15:$M$240=EVENTOS!$C41)*(OFFSET(CÁLCULO!$AA$15:$AA$240,0,R$13))),2),0)</f>
        <v>0</v>
      </c>
      <c r="S41" s="620" cm="1">
        <f t="array" aca="1" ref="S41" ca="1">IF(AUTOEVENTO="Manual",ROUND(SUMPRODUCT((CÁLCULO!$M$15:$M$240=EVENTOS!$C41)*(OFFSET(CÁLCULO!$AA$15:$AA$240,0,S$13))),2),0)</f>
        <v>0</v>
      </c>
      <c r="T41" s="620" cm="1">
        <f t="array" aca="1" ref="T41" ca="1">IF(AUTOEVENTO="Manual",ROUND(SUMPRODUCT((CÁLCULO!$M$15:$M$240=EVENTOS!$C41)*(OFFSET(CÁLCULO!$AA$15:$AA$240,0,T$13))),2),0)</f>
        <v>0</v>
      </c>
      <c r="U41" s="620" cm="1">
        <f t="array" aca="1" ref="U41" ca="1">IF(AUTOEVENTO="Manual",ROUND(SUMPRODUCT((CÁLCULO!$M$15:$M$240=EVENTOS!$C41)*(OFFSET(CÁLCULO!$AA$15:$AA$240,0,U$13))),2),0)</f>
        <v>0</v>
      </c>
      <c r="V41" s="620" cm="1">
        <f t="array" aca="1" ref="V41" ca="1">IF(AUTOEVENTO="Manual",ROUND(SUMPRODUCT((CÁLCULO!$M$15:$M$240=EVENTOS!$C41)*(OFFSET(CÁLCULO!$AA$15:$AA$240,0,V$13))),2),0)</f>
        <v>0</v>
      </c>
      <c r="W41" s="620" cm="1">
        <f t="array" aca="1" ref="W41" ca="1">IF(AUTOEVENTO="Manual",ROUND(SUMPRODUCT((CÁLCULO!$M$15:$M$240=EVENTOS!$C41)*(OFFSET(CÁLCULO!$AA$15:$AA$240,0,W$13))),2),0)</f>
        <v>0</v>
      </c>
      <c r="X41" s="620" cm="1">
        <f t="array" aca="1" ref="X41" ca="1">IF(AUTOEVENTO="Manual",ROUND(SUMPRODUCT((CÁLCULO!$M$15:$M$240=EVENTOS!$C41)*(OFFSET(CÁLCULO!$AA$15:$AA$240,0,X$13))),2),0)</f>
        <v>0</v>
      </c>
      <c r="Y41" s="620" cm="1">
        <f t="array" aca="1" ref="Y41" ca="1">IF(AUTOEVENTO="Manual",ROUND(SUMPRODUCT((CÁLCULO!$M$15:$M$240=EVENTOS!$C41)*(OFFSET(CÁLCULO!$AA$15:$AA$240,0,Y$13))),2),0)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IF(AUTOEVENTO="Manual",ROUND(SUMPRODUCT((CÁLCULO!$M$15:$M$240=EVENTOS!$C42)*(OFFSET(CÁLCULO!$AA$15:$AA$240,0,E$13))),2),0)</f>
        <v>0</v>
      </c>
      <c r="F42" s="183">
        <f ca="1">IF(AUTOEVENTO="Manual",ROUND(SUMPRODUCT((CÁLCULO!$M$15:$M$240=EVENTOS!$C42)*(OFFSET(CÁLCULO!$AA$15,0,1):OFFSET(CÁLCULO!$AL$240,0,-1))),2),0)</f>
        <v>0</v>
      </c>
      <c r="G42" s="621" t="str">
        <f t="shared" ca="1" si="5"/>
        <v/>
      </c>
      <c r="H42" s="620" cm="1">
        <f t="array" aca="1" ref="H42" ca="1">IF(AUTOEVENTO="Manual",ROUND(SUMPRODUCT((CÁLCULO!$M$15:$M$240=EVENTOS!$C42)*(OFFSET(CÁLCULO!$AA$15:$AA$240,0,H$13))),2),0)</f>
        <v>0</v>
      </c>
      <c r="I42" s="620" cm="1">
        <f t="array" aca="1" ref="I42" ca="1">IF(AUTOEVENTO="Manual",ROUND(SUMPRODUCT((CÁLCULO!$M$15:$M$240=EVENTOS!$C42)*(OFFSET(CÁLCULO!$AA$15:$AA$240,0,I$13))),2),0)</f>
        <v>0</v>
      </c>
      <c r="J42" s="620" cm="1">
        <f t="array" aca="1" ref="J42" ca="1">IF(AUTOEVENTO="Manual",ROUND(SUMPRODUCT((CÁLCULO!$M$15:$M$240=EVENTOS!$C42)*(OFFSET(CÁLCULO!$AA$15:$AA$240,0,J$13))),2),0)</f>
        <v>0</v>
      </c>
      <c r="K42" s="620" cm="1">
        <f t="array" aca="1" ref="K42" ca="1">IF(AUTOEVENTO="Manual",ROUND(SUMPRODUCT((CÁLCULO!$M$15:$M$240=EVENTOS!$C42)*(OFFSET(CÁLCULO!$AA$15:$AA$240,0,K$13))),2),0)</f>
        <v>0</v>
      </c>
      <c r="L42" s="620" cm="1">
        <f t="array" aca="1" ref="L42" ca="1">IF(AUTOEVENTO="Manual",ROUND(SUMPRODUCT((CÁLCULO!$M$15:$M$240=EVENTOS!$C42)*(OFFSET(CÁLCULO!$AA$15:$AA$240,0,L$13))),2),0)</f>
        <v>0</v>
      </c>
      <c r="M42" s="620" cm="1">
        <f t="array" aca="1" ref="M42" ca="1">IF(AUTOEVENTO="Manual",ROUND(SUMPRODUCT((CÁLCULO!$M$15:$M$240=EVENTOS!$C42)*(OFFSET(CÁLCULO!$AA$15:$AA$240,0,M$13))),2),0)</f>
        <v>0</v>
      </c>
      <c r="N42" s="620" cm="1">
        <f t="array" aca="1" ref="N42" ca="1">IF(AUTOEVENTO="Manual",ROUND(SUMPRODUCT((CÁLCULO!$M$15:$M$240=EVENTOS!$C42)*(OFFSET(CÁLCULO!$AA$15:$AA$240,0,N$13))),2),0)</f>
        <v>0</v>
      </c>
      <c r="O42" s="620" cm="1">
        <f t="array" aca="1" ref="O42" ca="1">IF(AUTOEVENTO="Manual",ROUND(SUMPRODUCT((CÁLCULO!$M$15:$M$240=EVENTOS!$C42)*(OFFSET(CÁLCULO!$AA$15:$AA$240,0,O$13))),2),0)</f>
        <v>0</v>
      </c>
      <c r="P42" s="620" cm="1">
        <f t="array" aca="1" ref="P42" ca="1">IF(AUTOEVENTO="Manual",ROUND(SUMPRODUCT((CÁLCULO!$M$15:$M$240=EVENTOS!$C42)*(OFFSET(CÁLCULO!$AA$15:$AA$240,0,P$13))),2),0)</f>
        <v>0</v>
      </c>
      <c r="Q42" s="620" cm="1">
        <f t="array" aca="1" ref="Q42" ca="1">IF(AUTOEVENTO="Manual",ROUND(SUMPRODUCT((CÁLCULO!$M$15:$M$240=EVENTOS!$C42)*(OFFSET(CÁLCULO!$AA$15:$AA$240,0,Q$13))),2),0)</f>
        <v>0</v>
      </c>
      <c r="R42" s="620" cm="1">
        <f t="array" aca="1" ref="R42" ca="1">IF(AUTOEVENTO="Manual",ROUND(SUMPRODUCT((CÁLCULO!$M$15:$M$240=EVENTOS!$C42)*(OFFSET(CÁLCULO!$AA$15:$AA$240,0,R$13))),2),0)</f>
        <v>0</v>
      </c>
      <c r="S42" s="620" cm="1">
        <f t="array" aca="1" ref="S42" ca="1">IF(AUTOEVENTO="Manual",ROUND(SUMPRODUCT((CÁLCULO!$M$15:$M$240=EVENTOS!$C42)*(OFFSET(CÁLCULO!$AA$15:$AA$240,0,S$13))),2),0)</f>
        <v>0</v>
      </c>
      <c r="T42" s="620" cm="1">
        <f t="array" aca="1" ref="T42" ca="1">IF(AUTOEVENTO="Manual",ROUND(SUMPRODUCT((CÁLCULO!$M$15:$M$240=EVENTOS!$C42)*(OFFSET(CÁLCULO!$AA$15:$AA$240,0,T$13))),2),0)</f>
        <v>0</v>
      </c>
      <c r="U42" s="620" cm="1">
        <f t="array" aca="1" ref="U42" ca="1">IF(AUTOEVENTO="Manual",ROUND(SUMPRODUCT((CÁLCULO!$M$15:$M$240=EVENTOS!$C42)*(OFFSET(CÁLCULO!$AA$15:$AA$240,0,U$13))),2),0)</f>
        <v>0</v>
      </c>
      <c r="V42" s="620" cm="1">
        <f t="array" aca="1" ref="V42" ca="1">IF(AUTOEVENTO="Manual",ROUND(SUMPRODUCT((CÁLCULO!$M$15:$M$240=EVENTOS!$C42)*(OFFSET(CÁLCULO!$AA$15:$AA$240,0,V$13))),2),0)</f>
        <v>0</v>
      </c>
      <c r="W42" s="620" cm="1">
        <f t="array" aca="1" ref="W42" ca="1">IF(AUTOEVENTO="Manual",ROUND(SUMPRODUCT((CÁLCULO!$M$15:$M$240=EVENTOS!$C42)*(OFFSET(CÁLCULO!$AA$15:$AA$240,0,W$13))),2),0)</f>
        <v>0</v>
      </c>
      <c r="X42" s="620" cm="1">
        <f t="array" aca="1" ref="X42" ca="1">IF(AUTOEVENTO="Manual",ROUND(SUMPRODUCT((CÁLCULO!$M$15:$M$240=EVENTOS!$C42)*(OFFSET(CÁLCULO!$AA$15:$AA$240,0,X$13))),2),0)</f>
        <v>0</v>
      </c>
      <c r="Y42" s="620" cm="1">
        <f t="array" aca="1" ref="Y42" ca="1">IF(AUTOEVENTO="Manual",ROUND(SUMPRODUCT((CÁLCULO!$M$15:$M$240=EVENTOS!$C42)*(OFFSET(CÁLCULO!$AA$15:$AA$240,0,Y$13))),2),0)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IF(AUTOEVENTO="Manual",ROUND(SUMPRODUCT((CÁLCULO!$M$15:$M$240=EVENTOS!$C43)*(OFFSET(CÁLCULO!$AA$15:$AA$240,0,E$13))),2),0)</f>
        <v>0</v>
      </c>
      <c r="F43" s="183">
        <f ca="1">IF(AUTOEVENTO="Manual",ROUND(SUMPRODUCT((CÁLCULO!$M$15:$M$240=EVENTOS!$C43)*(OFFSET(CÁLCULO!$AA$15,0,1):OFFSET(CÁLCULO!$AL$240,0,-1))),2),0)</f>
        <v>0</v>
      </c>
      <c r="G43" s="621" t="str">
        <f t="shared" ca="1" si="5"/>
        <v/>
      </c>
      <c r="H43" s="620" cm="1">
        <f t="array" aca="1" ref="H43" ca="1">IF(AUTOEVENTO="Manual",ROUND(SUMPRODUCT((CÁLCULO!$M$15:$M$240=EVENTOS!$C43)*(OFFSET(CÁLCULO!$AA$15:$AA$240,0,H$13))),2),0)</f>
        <v>0</v>
      </c>
      <c r="I43" s="620" cm="1">
        <f t="array" aca="1" ref="I43" ca="1">IF(AUTOEVENTO="Manual",ROUND(SUMPRODUCT((CÁLCULO!$M$15:$M$240=EVENTOS!$C43)*(OFFSET(CÁLCULO!$AA$15:$AA$240,0,I$13))),2),0)</f>
        <v>0</v>
      </c>
      <c r="J43" s="620" cm="1">
        <f t="array" aca="1" ref="J43" ca="1">IF(AUTOEVENTO="Manual",ROUND(SUMPRODUCT((CÁLCULO!$M$15:$M$240=EVENTOS!$C43)*(OFFSET(CÁLCULO!$AA$15:$AA$240,0,J$13))),2),0)</f>
        <v>0</v>
      </c>
      <c r="K43" s="620" cm="1">
        <f t="array" aca="1" ref="K43" ca="1">IF(AUTOEVENTO="Manual",ROUND(SUMPRODUCT((CÁLCULO!$M$15:$M$240=EVENTOS!$C43)*(OFFSET(CÁLCULO!$AA$15:$AA$240,0,K$13))),2),0)</f>
        <v>0</v>
      </c>
      <c r="L43" s="620" cm="1">
        <f t="array" aca="1" ref="L43" ca="1">IF(AUTOEVENTO="Manual",ROUND(SUMPRODUCT((CÁLCULO!$M$15:$M$240=EVENTOS!$C43)*(OFFSET(CÁLCULO!$AA$15:$AA$240,0,L$13))),2),0)</f>
        <v>0</v>
      </c>
      <c r="M43" s="620" cm="1">
        <f t="array" aca="1" ref="M43" ca="1">IF(AUTOEVENTO="Manual",ROUND(SUMPRODUCT((CÁLCULO!$M$15:$M$240=EVENTOS!$C43)*(OFFSET(CÁLCULO!$AA$15:$AA$240,0,M$13))),2),0)</f>
        <v>0</v>
      </c>
      <c r="N43" s="620" cm="1">
        <f t="array" aca="1" ref="N43" ca="1">IF(AUTOEVENTO="Manual",ROUND(SUMPRODUCT((CÁLCULO!$M$15:$M$240=EVENTOS!$C43)*(OFFSET(CÁLCULO!$AA$15:$AA$240,0,N$13))),2),0)</f>
        <v>0</v>
      </c>
      <c r="O43" s="620" cm="1">
        <f t="array" aca="1" ref="O43" ca="1">IF(AUTOEVENTO="Manual",ROUND(SUMPRODUCT((CÁLCULO!$M$15:$M$240=EVENTOS!$C43)*(OFFSET(CÁLCULO!$AA$15:$AA$240,0,O$13))),2),0)</f>
        <v>0</v>
      </c>
      <c r="P43" s="620" cm="1">
        <f t="array" aca="1" ref="P43" ca="1">IF(AUTOEVENTO="Manual",ROUND(SUMPRODUCT((CÁLCULO!$M$15:$M$240=EVENTOS!$C43)*(OFFSET(CÁLCULO!$AA$15:$AA$240,0,P$13))),2),0)</f>
        <v>0</v>
      </c>
      <c r="Q43" s="620" cm="1">
        <f t="array" aca="1" ref="Q43" ca="1">IF(AUTOEVENTO="Manual",ROUND(SUMPRODUCT((CÁLCULO!$M$15:$M$240=EVENTOS!$C43)*(OFFSET(CÁLCULO!$AA$15:$AA$240,0,Q$13))),2),0)</f>
        <v>0</v>
      </c>
      <c r="R43" s="620" cm="1">
        <f t="array" aca="1" ref="R43" ca="1">IF(AUTOEVENTO="Manual",ROUND(SUMPRODUCT((CÁLCULO!$M$15:$M$240=EVENTOS!$C43)*(OFFSET(CÁLCULO!$AA$15:$AA$240,0,R$13))),2),0)</f>
        <v>0</v>
      </c>
      <c r="S43" s="620" cm="1">
        <f t="array" aca="1" ref="S43" ca="1">IF(AUTOEVENTO="Manual",ROUND(SUMPRODUCT((CÁLCULO!$M$15:$M$240=EVENTOS!$C43)*(OFFSET(CÁLCULO!$AA$15:$AA$240,0,S$13))),2),0)</f>
        <v>0</v>
      </c>
      <c r="T43" s="620" cm="1">
        <f t="array" aca="1" ref="T43" ca="1">IF(AUTOEVENTO="Manual",ROUND(SUMPRODUCT((CÁLCULO!$M$15:$M$240=EVENTOS!$C43)*(OFFSET(CÁLCULO!$AA$15:$AA$240,0,T$13))),2),0)</f>
        <v>0</v>
      </c>
      <c r="U43" s="620" cm="1">
        <f t="array" aca="1" ref="U43" ca="1">IF(AUTOEVENTO="Manual",ROUND(SUMPRODUCT((CÁLCULO!$M$15:$M$240=EVENTOS!$C43)*(OFFSET(CÁLCULO!$AA$15:$AA$240,0,U$13))),2),0)</f>
        <v>0</v>
      </c>
      <c r="V43" s="620" cm="1">
        <f t="array" aca="1" ref="V43" ca="1">IF(AUTOEVENTO="Manual",ROUND(SUMPRODUCT((CÁLCULO!$M$15:$M$240=EVENTOS!$C43)*(OFFSET(CÁLCULO!$AA$15:$AA$240,0,V$13))),2),0)</f>
        <v>0</v>
      </c>
      <c r="W43" s="620" cm="1">
        <f t="array" aca="1" ref="W43" ca="1">IF(AUTOEVENTO="Manual",ROUND(SUMPRODUCT((CÁLCULO!$M$15:$M$240=EVENTOS!$C43)*(OFFSET(CÁLCULO!$AA$15:$AA$240,0,W$13))),2),0)</f>
        <v>0</v>
      </c>
      <c r="X43" s="620" cm="1">
        <f t="array" aca="1" ref="X43" ca="1">IF(AUTOEVENTO="Manual",ROUND(SUMPRODUCT((CÁLCULO!$M$15:$M$240=EVENTOS!$C43)*(OFFSET(CÁLCULO!$AA$15:$AA$240,0,X$13))),2),0)</f>
        <v>0</v>
      </c>
      <c r="Y43" s="620" cm="1">
        <f t="array" aca="1" ref="Y43" ca="1">IF(AUTOEVENTO="Manual",ROUND(SUMPRODUCT((CÁLCULO!$M$15:$M$240=EVENTOS!$C43)*(OFFSET(CÁLCULO!$AA$15:$AA$240,0,Y$13))),2),0)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IF(AUTOEVENTO="Manual",ROUND(SUMPRODUCT((CÁLCULO!$M$15:$M$240=EVENTOS!$C44)*(OFFSET(CÁLCULO!$AA$15:$AA$240,0,E$13))),2),0)</f>
        <v>0</v>
      </c>
      <c r="F44" s="183">
        <f ca="1">IF(AUTOEVENTO="Manual",ROUND(SUMPRODUCT((CÁLCULO!$M$15:$M$240=EVENTOS!$C44)*(OFFSET(CÁLCULO!$AA$15,0,1):OFFSET(CÁLCULO!$AL$240,0,-1))),2),0)</f>
        <v>0</v>
      </c>
      <c r="G44" s="621" t="str">
        <f t="shared" ca="1" si="5"/>
        <v/>
      </c>
      <c r="H44" s="620" cm="1">
        <f t="array" aca="1" ref="H44" ca="1">IF(AUTOEVENTO="Manual",ROUND(SUMPRODUCT((CÁLCULO!$M$15:$M$240=EVENTOS!$C44)*(OFFSET(CÁLCULO!$AA$15:$AA$240,0,H$13))),2),0)</f>
        <v>0</v>
      </c>
      <c r="I44" s="620" cm="1">
        <f t="array" aca="1" ref="I44" ca="1">IF(AUTOEVENTO="Manual",ROUND(SUMPRODUCT((CÁLCULO!$M$15:$M$240=EVENTOS!$C44)*(OFFSET(CÁLCULO!$AA$15:$AA$240,0,I$13))),2),0)</f>
        <v>0</v>
      </c>
      <c r="J44" s="620" cm="1">
        <f t="array" aca="1" ref="J44" ca="1">IF(AUTOEVENTO="Manual",ROUND(SUMPRODUCT((CÁLCULO!$M$15:$M$240=EVENTOS!$C44)*(OFFSET(CÁLCULO!$AA$15:$AA$240,0,J$13))),2),0)</f>
        <v>0</v>
      </c>
      <c r="K44" s="620" cm="1">
        <f t="array" aca="1" ref="K44" ca="1">IF(AUTOEVENTO="Manual",ROUND(SUMPRODUCT((CÁLCULO!$M$15:$M$240=EVENTOS!$C44)*(OFFSET(CÁLCULO!$AA$15:$AA$240,0,K$13))),2),0)</f>
        <v>0</v>
      </c>
      <c r="L44" s="620" cm="1">
        <f t="array" aca="1" ref="L44" ca="1">IF(AUTOEVENTO="Manual",ROUND(SUMPRODUCT((CÁLCULO!$M$15:$M$240=EVENTOS!$C44)*(OFFSET(CÁLCULO!$AA$15:$AA$240,0,L$13))),2),0)</f>
        <v>0</v>
      </c>
      <c r="M44" s="620" cm="1">
        <f t="array" aca="1" ref="M44" ca="1">IF(AUTOEVENTO="Manual",ROUND(SUMPRODUCT((CÁLCULO!$M$15:$M$240=EVENTOS!$C44)*(OFFSET(CÁLCULO!$AA$15:$AA$240,0,M$13))),2),0)</f>
        <v>0</v>
      </c>
      <c r="N44" s="620" cm="1">
        <f t="array" aca="1" ref="N44" ca="1">IF(AUTOEVENTO="Manual",ROUND(SUMPRODUCT((CÁLCULO!$M$15:$M$240=EVENTOS!$C44)*(OFFSET(CÁLCULO!$AA$15:$AA$240,0,N$13))),2),0)</f>
        <v>0</v>
      </c>
      <c r="O44" s="620" cm="1">
        <f t="array" aca="1" ref="O44" ca="1">IF(AUTOEVENTO="Manual",ROUND(SUMPRODUCT((CÁLCULO!$M$15:$M$240=EVENTOS!$C44)*(OFFSET(CÁLCULO!$AA$15:$AA$240,0,O$13))),2),0)</f>
        <v>0</v>
      </c>
      <c r="P44" s="620" cm="1">
        <f t="array" aca="1" ref="P44" ca="1">IF(AUTOEVENTO="Manual",ROUND(SUMPRODUCT((CÁLCULO!$M$15:$M$240=EVENTOS!$C44)*(OFFSET(CÁLCULO!$AA$15:$AA$240,0,P$13))),2),0)</f>
        <v>0</v>
      </c>
      <c r="Q44" s="620" cm="1">
        <f t="array" aca="1" ref="Q44" ca="1">IF(AUTOEVENTO="Manual",ROUND(SUMPRODUCT((CÁLCULO!$M$15:$M$240=EVENTOS!$C44)*(OFFSET(CÁLCULO!$AA$15:$AA$240,0,Q$13))),2),0)</f>
        <v>0</v>
      </c>
      <c r="R44" s="620" cm="1">
        <f t="array" aca="1" ref="R44" ca="1">IF(AUTOEVENTO="Manual",ROUND(SUMPRODUCT((CÁLCULO!$M$15:$M$240=EVENTOS!$C44)*(OFFSET(CÁLCULO!$AA$15:$AA$240,0,R$13))),2),0)</f>
        <v>0</v>
      </c>
      <c r="S44" s="620" cm="1">
        <f t="array" aca="1" ref="S44" ca="1">IF(AUTOEVENTO="Manual",ROUND(SUMPRODUCT((CÁLCULO!$M$15:$M$240=EVENTOS!$C44)*(OFFSET(CÁLCULO!$AA$15:$AA$240,0,S$13))),2),0)</f>
        <v>0</v>
      </c>
      <c r="T44" s="620" cm="1">
        <f t="array" aca="1" ref="T44" ca="1">IF(AUTOEVENTO="Manual",ROUND(SUMPRODUCT((CÁLCULO!$M$15:$M$240=EVENTOS!$C44)*(OFFSET(CÁLCULO!$AA$15:$AA$240,0,T$13))),2),0)</f>
        <v>0</v>
      </c>
      <c r="U44" s="620" cm="1">
        <f t="array" aca="1" ref="U44" ca="1">IF(AUTOEVENTO="Manual",ROUND(SUMPRODUCT((CÁLCULO!$M$15:$M$240=EVENTOS!$C44)*(OFFSET(CÁLCULO!$AA$15:$AA$240,0,U$13))),2),0)</f>
        <v>0</v>
      </c>
      <c r="V44" s="620" cm="1">
        <f t="array" aca="1" ref="V44" ca="1">IF(AUTOEVENTO="Manual",ROUND(SUMPRODUCT((CÁLCULO!$M$15:$M$240=EVENTOS!$C44)*(OFFSET(CÁLCULO!$AA$15:$AA$240,0,V$13))),2),0)</f>
        <v>0</v>
      </c>
      <c r="W44" s="620" cm="1">
        <f t="array" aca="1" ref="W44" ca="1">IF(AUTOEVENTO="Manual",ROUND(SUMPRODUCT((CÁLCULO!$M$15:$M$240=EVENTOS!$C44)*(OFFSET(CÁLCULO!$AA$15:$AA$240,0,W$13))),2),0)</f>
        <v>0</v>
      </c>
      <c r="X44" s="620" cm="1">
        <f t="array" aca="1" ref="X44" ca="1">IF(AUTOEVENTO="Manual",ROUND(SUMPRODUCT((CÁLCULO!$M$15:$M$240=EVENTOS!$C44)*(OFFSET(CÁLCULO!$AA$15:$AA$240,0,X$13))),2),0)</f>
        <v>0</v>
      </c>
      <c r="Y44" s="620" cm="1">
        <f t="array" aca="1" ref="Y44" ca="1">IF(AUTOEVENTO="Manual",ROUND(SUMPRODUCT((CÁLCULO!$M$15:$M$240=EVENTOS!$C44)*(OFFSET(CÁLCULO!$AA$15:$AA$240,0,Y$13))),2),0)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IF(AUTOEVENTO="Manual",ROUND(SUMPRODUCT((CÁLCULO!$M$15:$M$240=EVENTOS!$C45)*(OFFSET(CÁLCULO!$AA$15:$AA$240,0,E$13))),2),0)</f>
        <v>0</v>
      </c>
      <c r="F45" s="183">
        <f ca="1">IF(AUTOEVENTO="Manual",ROUND(SUMPRODUCT((CÁLCULO!$M$15:$M$240=EVENTOS!$C45)*(OFFSET(CÁLCULO!$AA$15,0,1):OFFSET(CÁLCULO!$AL$240,0,-1))),2),0)</f>
        <v>0</v>
      </c>
      <c r="G45" s="621" t="str">
        <f t="shared" ca="1" si="5"/>
        <v/>
      </c>
      <c r="H45" s="620" cm="1">
        <f t="array" aca="1" ref="H45" ca="1">IF(AUTOEVENTO="Manual",ROUND(SUMPRODUCT((CÁLCULO!$M$15:$M$240=EVENTOS!$C45)*(OFFSET(CÁLCULO!$AA$15:$AA$240,0,H$13))),2),0)</f>
        <v>0</v>
      </c>
      <c r="I45" s="620" cm="1">
        <f t="array" aca="1" ref="I45" ca="1">IF(AUTOEVENTO="Manual",ROUND(SUMPRODUCT((CÁLCULO!$M$15:$M$240=EVENTOS!$C45)*(OFFSET(CÁLCULO!$AA$15:$AA$240,0,I$13))),2),0)</f>
        <v>0</v>
      </c>
      <c r="J45" s="620" cm="1">
        <f t="array" aca="1" ref="J45" ca="1">IF(AUTOEVENTO="Manual",ROUND(SUMPRODUCT((CÁLCULO!$M$15:$M$240=EVENTOS!$C45)*(OFFSET(CÁLCULO!$AA$15:$AA$240,0,J$13))),2),0)</f>
        <v>0</v>
      </c>
      <c r="K45" s="620" cm="1">
        <f t="array" aca="1" ref="K45" ca="1">IF(AUTOEVENTO="Manual",ROUND(SUMPRODUCT((CÁLCULO!$M$15:$M$240=EVENTOS!$C45)*(OFFSET(CÁLCULO!$AA$15:$AA$240,0,K$13))),2),0)</f>
        <v>0</v>
      </c>
      <c r="L45" s="620" cm="1">
        <f t="array" aca="1" ref="L45" ca="1">IF(AUTOEVENTO="Manual",ROUND(SUMPRODUCT((CÁLCULO!$M$15:$M$240=EVENTOS!$C45)*(OFFSET(CÁLCULO!$AA$15:$AA$240,0,L$13))),2),0)</f>
        <v>0</v>
      </c>
      <c r="M45" s="620" cm="1">
        <f t="array" aca="1" ref="M45" ca="1">IF(AUTOEVENTO="Manual",ROUND(SUMPRODUCT((CÁLCULO!$M$15:$M$240=EVENTOS!$C45)*(OFFSET(CÁLCULO!$AA$15:$AA$240,0,M$13))),2),0)</f>
        <v>0</v>
      </c>
      <c r="N45" s="620" cm="1">
        <f t="array" aca="1" ref="N45" ca="1">IF(AUTOEVENTO="Manual",ROUND(SUMPRODUCT((CÁLCULO!$M$15:$M$240=EVENTOS!$C45)*(OFFSET(CÁLCULO!$AA$15:$AA$240,0,N$13))),2),0)</f>
        <v>0</v>
      </c>
      <c r="O45" s="620" cm="1">
        <f t="array" aca="1" ref="O45" ca="1">IF(AUTOEVENTO="Manual",ROUND(SUMPRODUCT((CÁLCULO!$M$15:$M$240=EVENTOS!$C45)*(OFFSET(CÁLCULO!$AA$15:$AA$240,0,O$13))),2),0)</f>
        <v>0</v>
      </c>
      <c r="P45" s="620" cm="1">
        <f t="array" aca="1" ref="P45" ca="1">IF(AUTOEVENTO="Manual",ROUND(SUMPRODUCT((CÁLCULO!$M$15:$M$240=EVENTOS!$C45)*(OFFSET(CÁLCULO!$AA$15:$AA$240,0,P$13))),2),0)</f>
        <v>0</v>
      </c>
      <c r="Q45" s="620" cm="1">
        <f t="array" aca="1" ref="Q45" ca="1">IF(AUTOEVENTO="Manual",ROUND(SUMPRODUCT((CÁLCULO!$M$15:$M$240=EVENTOS!$C45)*(OFFSET(CÁLCULO!$AA$15:$AA$240,0,Q$13))),2),0)</f>
        <v>0</v>
      </c>
      <c r="R45" s="620" cm="1">
        <f t="array" aca="1" ref="R45" ca="1">IF(AUTOEVENTO="Manual",ROUND(SUMPRODUCT((CÁLCULO!$M$15:$M$240=EVENTOS!$C45)*(OFFSET(CÁLCULO!$AA$15:$AA$240,0,R$13))),2),0)</f>
        <v>0</v>
      </c>
      <c r="S45" s="620" cm="1">
        <f t="array" aca="1" ref="S45" ca="1">IF(AUTOEVENTO="Manual",ROUND(SUMPRODUCT((CÁLCULO!$M$15:$M$240=EVENTOS!$C45)*(OFFSET(CÁLCULO!$AA$15:$AA$240,0,S$13))),2),0)</f>
        <v>0</v>
      </c>
      <c r="T45" s="620" cm="1">
        <f t="array" aca="1" ref="T45" ca="1">IF(AUTOEVENTO="Manual",ROUND(SUMPRODUCT((CÁLCULO!$M$15:$M$240=EVENTOS!$C45)*(OFFSET(CÁLCULO!$AA$15:$AA$240,0,T$13))),2),0)</f>
        <v>0</v>
      </c>
      <c r="U45" s="620" cm="1">
        <f t="array" aca="1" ref="U45" ca="1">IF(AUTOEVENTO="Manual",ROUND(SUMPRODUCT((CÁLCULO!$M$15:$M$240=EVENTOS!$C45)*(OFFSET(CÁLCULO!$AA$15:$AA$240,0,U$13))),2),0)</f>
        <v>0</v>
      </c>
      <c r="V45" s="620" cm="1">
        <f t="array" aca="1" ref="V45" ca="1">IF(AUTOEVENTO="Manual",ROUND(SUMPRODUCT((CÁLCULO!$M$15:$M$240=EVENTOS!$C45)*(OFFSET(CÁLCULO!$AA$15:$AA$240,0,V$13))),2),0)</f>
        <v>0</v>
      </c>
      <c r="W45" s="620" cm="1">
        <f t="array" aca="1" ref="W45" ca="1">IF(AUTOEVENTO="Manual",ROUND(SUMPRODUCT((CÁLCULO!$M$15:$M$240=EVENTOS!$C45)*(OFFSET(CÁLCULO!$AA$15:$AA$240,0,W$13))),2),0)</f>
        <v>0</v>
      </c>
      <c r="X45" s="620" cm="1">
        <f t="array" aca="1" ref="X45" ca="1">IF(AUTOEVENTO="Manual",ROUND(SUMPRODUCT((CÁLCULO!$M$15:$M$240=EVENTOS!$C45)*(OFFSET(CÁLCULO!$AA$15:$AA$240,0,X$13))),2),0)</f>
        <v>0</v>
      </c>
      <c r="Y45" s="620" cm="1">
        <f t="array" aca="1" ref="Y45" ca="1">IF(AUTOEVENTO="Manual",ROUND(SUMPRODUCT((CÁLCULO!$M$15:$M$240=EVENTOS!$C45)*(OFFSET(CÁLCULO!$AA$15:$AA$240,0,Y$13))),2),0)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IF(AUTOEVENTO="Manual",ROUND(SUMPRODUCT((CÁLCULO!$M$15:$M$240=EVENTOS!$C46)*(OFFSET(CÁLCULO!$AA$15:$AA$240,0,E$13))),2),0)</f>
        <v>0</v>
      </c>
      <c r="F46" s="183">
        <f ca="1">IF(AUTOEVENTO="Manual",ROUND(SUMPRODUCT((CÁLCULO!$M$15:$M$240=EVENTOS!$C46)*(OFFSET(CÁLCULO!$AA$15,0,1):OFFSET(CÁLCULO!$AL$240,0,-1))),2),0)</f>
        <v>0</v>
      </c>
      <c r="G46" s="621" t="str">
        <f t="shared" ca="1" si="5"/>
        <v/>
      </c>
      <c r="H46" s="620" cm="1">
        <f t="array" aca="1" ref="H46" ca="1">IF(AUTOEVENTO="Manual",ROUND(SUMPRODUCT((CÁLCULO!$M$15:$M$240=EVENTOS!$C46)*(OFFSET(CÁLCULO!$AA$15:$AA$240,0,H$13))),2),0)</f>
        <v>0</v>
      </c>
      <c r="I46" s="620" cm="1">
        <f t="array" aca="1" ref="I46" ca="1">IF(AUTOEVENTO="Manual",ROUND(SUMPRODUCT((CÁLCULO!$M$15:$M$240=EVENTOS!$C46)*(OFFSET(CÁLCULO!$AA$15:$AA$240,0,I$13))),2),0)</f>
        <v>0</v>
      </c>
      <c r="J46" s="620" cm="1">
        <f t="array" aca="1" ref="J46" ca="1">IF(AUTOEVENTO="Manual",ROUND(SUMPRODUCT((CÁLCULO!$M$15:$M$240=EVENTOS!$C46)*(OFFSET(CÁLCULO!$AA$15:$AA$240,0,J$13))),2),0)</f>
        <v>0</v>
      </c>
      <c r="K46" s="620" cm="1">
        <f t="array" aca="1" ref="K46" ca="1">IF(AUTOEVENTO="Manual",ROUND(SUMPRODUCT((CÁLCULO!$M$15:$M$240=EVENTOS!$C46)*(OFFSET(CÁLCULO!$AA$15:$AA$240,0,K$13))),2),0)</f>
        <v>0</v>
      </c>
      <c r="L46" s="620" cm="1">
        <f t="array" aca="1" ref="L46" ca="1">IF(AUTOEVENTO="Manual",ROUND(SUMPRODUCT((CÁLCULO!$M$15:$M$240=EVENTOS!$C46)*(OFFSET(CÁLCULO!$AA$15:$AA$240,0,L$13))),2),0)</f>
        <v>0</v>
      </c>
      <c r="M46" s="620" cm="1">
        <f t="array" aca="1" ref="M46" ca="1">IF(AUTOEVENTO="Manual",ROUND(SUMPRODUCT((CÁLCULO!$M$15:$M$240=EVENTOS!$C46)*(OFFSET(CÁLCULO!$AA$15:$AA$240,0,M$13))),2),0)</f>
        <v>0</v>
      </c>
      <c r="N46" s="620" cm="1">
        <f t="array" aca="1" ref="N46" ca="1">IF(AUTOEVENTO="Manual",ROUND(SUMPRODUCT((CÁLCULO!$M$15:$M$240=EVENTOS!$C46)*(OFFSET(CÁLCULO!$AA$15:$AA$240,0,N$13))),2),0)</f>
        <v>0</v>
      </c>
      <c r="O46" s="620" cm="1">
        <f t="array" aca="1" ref="O46" ca="1">IF(AUTOEVENTO="Manual",ROUND(SUMPRODUCT((CÁLCULO!$M$15:$M$240=EVENTOS!$C46)*(OFFSET(CÁLCULO!$AA$15:$AA$240,0,O$13))),2),0)</f>
        <v>0</v>
      </c>
      <c r="P46" s="620" cm="1">
        <f t="array" aca="1" ref="P46" ca="1">IF(AUTOEVENTO="Manual",ROUND(SUMPRODUCT((CÁLCULO!$M$15:$M$240=EVENTOS!$C46)*(OFFSET(CÁLCULO!$AA$15:$AA$240,0,P$13))),2),0)</f>
        <v>0</v>
      </c>
      <c r="Q46" s="620" cm="1">
        <f t="array" aca="1" ref="Q46" ca="1">IF(AUTOEVENTO="Manual",ROUND(SUMPRODUCT((CÁLCULO!$M$15:$M$240=EVENTOS!$C46)*(OFFSET(CÁLCULO!$AA$15:$AA$240,0,Q$13))),2),0)</f>
        <v>0</v>
      </c>
      <c r="R46" s="620" cm="1">
        <f t="array" aca="1" ref="R46" ca="1">IF(AUTOEVENTO="Manual",ROUND(SUMPRODUCT((CÁLCULO!$M$15:$M$240=EVENTOS!$C46)*(OFFSET(CÁLCULO!$AA$15:$AA$240,0,R$13))),2),0)</f>
        <v>0</v>
      </c>
      <c r="S46" s="620" cm="1">
        <f t="array" aca="1" ref="S46" ca="1">IF(AUTOEVENTO="Manual",ROUND(SUMPRODUCT((CÁLCULO!$M$15:$M$240=EVENTOS!$C46)*(OFFSET(CÁLCULO!$AA$15:$AA$240,0,S$13))),2),0)</f>
        <v>0</v>
      </c>
      <c r="T46" s="620" cm="1">
        <f t="array" aca="1" ref="T46" ca="1">IF(AUTOEVENTO="Manual",ROUND(SUMPRODUCT((CÁLCULO!$M$15:$M$240=EVENTOS!$C46)*(OFFSET(CÁLCULO!$AA$15:$AA$240,0,T$13))),2),0)</f>
        <v>0</v>
      </c>
      <c r="U46" s="620" cm="1">
        <f t="array" aca="1" ref="U46" ca="1">IF(AUTOEVENTO="Manual",ROUND(SUMPRODUCT((CÁLCULO!$M$15:$M$240=EVENTOS!$C46)*(OFFSET(CÁLCULO!$AA$15:$AA$240,0,U$13))),2),0)</f>
        <v>0</v>
      </c>
      <c r="V46" s="620" cm="1">
        <f t="array" aca="1" ref="V46" ca="1">IF(AUTOEVENTO="Manual",ROUND(SUMPRODUCT((CÁLCULO!$M$15:$M$240=EVENTOS!$C46)*(OFFSET(CÁLCULO!$AA$15:$AA$240,0,V$13))),2),0)</f>
        <v>0</v>
      </c>
      <c r="W46" s="620" cm="1">
        <f t="array" aca="1" ref="W46" ca="1">IF(AUTOEVENTO="Manual",ROUND(SUMPRODUCT((CÁLCULO!$M$15:$M$240=EVENTOS!$C46)*(OFFSET(CÁLCULO!$AA$15:$AA$240,0,W$13))),2),0)</f>
        <v>0</v>
      </c>
      <c r="X46" s="620" cm="1">
        <f t="array" aca="1" ref="X46" ca="1">IF(AUTOEVENTO="Manual",ROUND(SUMPRODUCT((CÁLCULO!$M$15:$M$240=EVENTOS!$C46)*(OFFSET(CÁLCULO!$AA$15:$AA$240,0,X$13))),2),0)</f>
        <v>0</v>
      </c>
      <c r="Y46" s="620" cm="1">
        <f t="array" aca="1" ref="Y46" ca="1">IF(AUTOEVENTO="Manual",ROUND(SUMPRODUCT((CÁLCULO!$M$15:$M$240=EVENTOS!$C46)*(OFFSET(CÁLCULO!$AA$15:$AA$240,0,Y$13))),2),0)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IF(AUTOEVENTO="Manual",ROUND(SUMPRODUCT((CÁLCULO!$M$15:$M$240=EVENTOS!$C47)*(OFFSET(CÁLCULO!$AA$15:$AA$240,0,E$13))),2),0)</f>
        <v>0</v>
      </c>
      <c r="F47" s="183">
        <f ca="1">IF(AUTOEVENTO="Manual",ROUND(SUMPRODUCT((CÁLCULO!$M$15:$M$240=EVENTOS!$C47)*(OFFSET(CÁLCULO!$AA$15,0,1):OFFSET(CÁLCULO!$AL$240,0,-1))),2),0)</f>
        <v>0</v>
      </c>
      <c r="G47" s="621" t="str">
        <f t="shared" ca="1" si="5"/>
        <v/>
      </c>
      <c r="H47" s="620" cm="1">
        <f t="array" aca="1" ref="H47" ca="1">IF(AUTOEVENTO="Manual",ROUND(SUMPRODUCT((CÁLCULO!$M$15:$M$240=EVENTOS!$C47)*(OFFSET(CÁLCULO!$AA$15:$AA$240,0,H$13))),2),0)</f>
        <v>0</v>
      </c>
      <c r="I47" s="620" cm="1">
        <f t="array" aca="1" ref="I47" ca="1">IF(AUTOEVENTO="Manual",ROUND(SUMPRODUCT((CÁLCULO!$M$15:$M$240=EVENTOS!$C47)*(OFFSET(CÁLCULO!$AA$15:$AA$240,0,I$13))),2),0)</f>
        <v>0</v>
      </c>
      <c r="J47" s="620" cm="1">
        <f t="array" aca="1" ref="J47" ca="1">IF(AUTOEVENTO="Manual",ROUND(SUMPRODUCT((CÁLCULO!$M$15:$M$240=EVENTOS!$C47)*(OFFSET(CÁLCULO!$AA$15:$AA$240,0,J$13))),2),0)</f>
        <v>0</v>
      </c>
      <c r="K47" s="620" cm="1">
        <f t="array" aca="1" ref="K47" ca="1">IF(AUTOEVENTO="Manual",ROUND(SUMPRODUCT((CÁLCULO!$M$15:$M$240=EVENTOS!$C47)*(OFFSET(CÁLCULO!$AA$15:$AA$240,0,K$13))),2),0)</f>
        <v>0</v>
      </c>
      <c r="L47" s="620" cm="1">
        <f t="array" aca="1" ref="L47" ca="1">IF(AUTOEVENTO="Manual",ROUND(SUMPRODUCT((CÁLCULO!$M$15:$M$240=EVENTOS!$C47)*(OFFSET(CÁLCULO!$AA$15:$AA$240,0,L$13))),2),0)</f>
        <v>0</v>
      </c>
      <c r="M47" s="620" cm="1">
        <f t="array" aca="1" ref="M47" ca="1">IF(AUTOEVENTO="Manual",ROUND(SUMPRODUCT((CÁLCULO!$M$15:$M$240=EVENTOS!$C47)*(OFFSET(CÁLCULO!$AA$15:$AA$240,0,M$13))),2),0)</f>
        <v>0</v>
      </c>
      <c r="N47" s="620" cm="1">
        <f t="array" aca="1" ref="N47" ca="1">IF(AUTOEVENTO="Manual",ROUND(SUMPRODUCT((CÁLCULO!$M$15:$M$240=EVENTOS!$C47)*(OFFSET(CÁLCULO!$AA$15:$AA$240,0,N$13))),2),0)</f>
        <v>0</v>
      </c>
      <c r="O47" s="620" cm="1">
        <f t="array" aca="1" ref="O47" ca="1">IF(AUTOEVENTO="Manual",ROUND(SUMPRODUCT((CÁLCULO!$M$15:$M$240=EVENTOS!$C47)*(OFFSET(CÁLCULO!$AA$15:$AA$240,0,O$13))),2),0)</f>
        <v>0</v>
      </c>
      <c r="P47" s="620" cm="1">
        <f t="array" aca="1" ref="P47" ca="1">IF(AUTOEVENTO="Manual",ROUND(SUMPRODUCT((CÁLCULO!$M$15:$M$240=EVENTOS!$C47)*(OFFSET(CÁLCULO!$AA$15:$AA$240,0,P$13))),2),0)</f>
        <v>0</v>
      </c>
      <c r="Q47" s="620" cm="1">
        <f t="array" aca="1" ref="Q47" ca="1">IF(AUTOEVENTO="Manual",ROUND(SUMPRODUCT((CÁLCULO!$M$15:$M$240=EVENTOS!$C47)*(OFFSET(CÁLCULO!$AA$15:$AA$240,0,Q$13))),2),0)</f>
        <v>0</v>
      </c>
      <c r="R47" s="620" cm="1">
        <f t="array" aca="1" ref="R47" ca="1">IF(AUTOEVENTO="Manual",ROUND(SUMPRODUCT((CÁLCULO!$M$15:$M$240=EVENTOS!$C47)*(OFFSET(CÁLCULO!$AA$15:$AA$240,0,R$13))),2),0)</f>
        <v>0</v>
      </c>
      <c r="S47" s="620" cm="1">
        <f t="array" aca="1" ref="S47" ca="1">IF(AUTOEVENTO="Manual",ROUND(SUMPRODUCT((CÁLCULO!$M$15:$M$240=EVENTOS!$C47)*(OFFSET(CÁLCULO!$AA$15:$AA$240,0,S$13))),2),0)</f>
        <v>0</v>
      </c>
      <c r="T47" s="620" cm="1">
        <f t="array" aca="1" ref="T47" ca="1">IF(AUTOEVENTO="Manual",ROUND(SUMPRODUCT((CÁLCULO!$M$15:$M$240=EVENTOS!$C47)*(OFFSET(CÁLCULO!$AA$15:$AA$240,0,T$13))),2),0)</f>
        <v>0</v>
      </c>
      <c r="U47" s="620" cm="1">
        <f t="array" aca="1" ref="U47" ca="1">IF(AUTOEVENTO="Manual",ROUND(SUMPRODUCT((CÁLCULO!$M$15:$M$240=EVENTOS!$C47)*(OFFSET(CÁLCULO!$AA$15:$AA$240,0,U$13))),2),0)</f>
        <v>0</v>
      </c>
      <c r="V47" s="620" cm="1">
        <f t="array" aca="1" ref="V47" ca="1">IF(AUTOEVENTO="Manual",ROUND(SUMPRODUCT((CÁLCULO!$M$15:$M$240=EVENTOS!$C47)*(OFFSET(CÁLCULO!$AA$15:$AA$240,0,V$13))),2),0)</f>
        <v>0</v>
      </c>
      <c r="W47" s="620" cm="1">
        <f t="array" aca="1" ref="W47" ca="1">IF(AUTOEVENTO="Manual",ROUND(SUMPRODUCT((CÁLCULO!$M$15:$M$240=EVENTOS!$C47)*(OFFSET(CÁLCULO!$AA$15:$AA$240,0,W$13))),2),0)</f>
        <v>0</v>
      </c>
      <c r="X47" s="620" cm="1">
        <f t="array" aca="1" ref="X47" ca="1">IF(AUTOEVENTO="Manual",ROUND(SUMPRODUCT((CÁLCULO!$M$15:$M$240=EVENTOS!$C47)*(OFFSET(CÁLCULO!$AA$15:$AA$240,0,X$13))),2),0)</f>
        <v>0</v>
      </c>
      <c r="Y47" s="620" cm="1">
        <f t="array" aca="1" ref="Y47" ca="1">IF(AUTOEVENTO="Manual",ROUND(SUMPRODUCT((CÁLCULO!$M$15:$M$240=EVENTOS!$C47)*(OFFSET(CÁLCULO!$AA$15:$AA$240,0,Y$13))),2),0)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IF(AUTOEVENTO="Manual",ROUND(SUMPRODUCT((CÁLCULO!$M$15:$M$240=EVENTOS!$C48)*(OFFSET(CÁLCULO!$AA$15:$AA$240,0,E$13))),2),0)</f>
        <v>0</v>
      </c>
      <c r="F48" s="183">
        <f ca="1">IF(AUTOEVENTO="Manual",ROUND(SUMPRODUCT((CÁLCULO!$M$15:$M$240=EVENTOS!$C48)*(OFFSET(CÁLCULO!$AA$15,0,1):OFFSET(CÁLCULO!$AL$240,0,-1))),2),0)</f>
        <v>0</v>
      </c>
      <c r="G48" s="621" t="str">
        <f t="shared" ref="G48:G64" ca="1" si="6">IF(AND(D48=0,F48&gt;0),"NOME",
 IF(AND(D48&lt;&gt;0,$F$14&gt;0,F48=0),"VALOR",
 IF(AND(Import.TipoArredondamento="TransfereGOV",$A48="F",LEN(D48)&gt;100),"Nome &gt;100","")))</f>
        <v/>
      </c>
      <c r="H48" s="620" cm="1">
        <f t="array" aca="1" ref="H48" ca="1">IF(AUTOEVENTO="Manual",ROUND(SUMPRODUCT((CÁLCULO!$M$15:$M$240=EVENTOS!$C48)*(OFFSET(CÁLCULO!$AA$15:$AA$240,0,H$13))),2),0)</f>
        <v>0</v>
      </c>
      <c r="I48" s="620" cm="1">
        <f t="array" aca="1" ref="I48" ca="1">IF(AUTOEVENTO="Manual",ROUND(SUMPRODUCT((CÁLCULO!$M$15:$M$240=EVENTOS!$C48)*(OFFSET(CÁLCULO!$AA$15:$AA$240,0,I$13))),2),0)</f>
        <v>0</v>
      </c>
      <c r="J48" s="620" cm="1">
        <f t="array" aca="1" ref="J48" ca="1">IF(AUTOEVENTO="Manual",ROUND(SUMPRODUCT((CÁLCULO!$M$15:$M$240=EVENTOS!$C48)*(OFFSET(CÁLCULO!$AA$15:$AA$240,0,J$13))),2),0)</f>
        <v>0</v>
      </c>
      <c r="K48" s="620" cm="1">
        <f t="array" aca="1" ref="K48" ca="1">IF(AUTOEVENTO="Manual",ROUND(SUMPRODUCT((CÁLCULO!$M$15:$M$240=EVENTOS!$C48)*(OFFSET(CÁLCULO!$AA$15:$AA$240,0,K$13))),2),0)</f>
        <v>0</v>
      </c>
      <c r="L48" s="620" cm="1">
        <f t="array" aca="1" ref="L48" ca="1">IF(AUTOEVENTO="Manual",ROUND(SUMPRODUCT((CÁLCULO!$M$15:$M$240=EVENTOS!$C48)*(OFFSET(CÁLCULO!$AA$15:$AA$240,0,L$13))),2),0)</f>
        <v>0</v>
      </c>
      <c r="M48" s="620" cm="1">
        <f t="array" aca="1" ref="M48" ca="1">IF(AUTOEVENTO="Manual",ROUND(SUMPRODUCT((CÁLCULO!$M$15:$M$240=EVENTOS!$C48)*(OFFSET(CÁLCULO!$AA$15:$AA$240,0,M$13))),2),0)</f>
        <v>0</v>
      </c>
      <c r="N48" s="620" cm="1">
        <f t="array" aca="1" ref="N48" ca="1">IF(AUTOEVENTO="Manual",ROUND(SUMPRODUCT((CÁLCULO!$M$15:$M$240=EVENTOS!$C48)*(OFFSET(CÁLCULO!$AA$15:$AA$240,0,N$13))),2),0)</f>
        <v>0</v>
      </c>
      <c r="O48" s="620" cm="1">
        <f t="array" aca="1" ref="O48" ca="1">IF(AUTOEVENTO="Manual",ROUND(SUMPRODUCT((CÁLCULO!$M$15:$M$240=EVENTOS!$C48)*(OFFSET(CÁLCULO!$AA$15:$AA$240,0,O$13))),2),0)</f>
        <v>0</v>
      </c>
      <c r="P48" s="620" cm="1">
        <f t="array" aca="1" ref="P48" ca="1">IF(AUTOEVENTO="Manual",ROUND(SUMPRODUCT((CÁLCULO!$M$15:$M$240=EVENTOS!$C48)*(OFFSET(CÁLCULO!$AA$15:$AA$240,0,P$13))),2),0)</f>
        <v>0</v>
      </c>
      <c r="Q48" s="620" cm="1">
        <f t="array" aca="1" ref="Q48" ca="1">IF(AUTOEVENTO="Manual",ROUND(SUMPRODUCT((CÁLCULO!$M$15:$M$240=EVENTOS!$C48)*(OFFSET(CÁLCULO!$AA$15:$AA$240,0,Q$13))),2),0)</f>
        <v>0</v>
      </c>
      <c r="R48" s="620" cm="1">
        <f t="array" aca="1" ref="R48" ca="1">IF(AUTOEVENTO="Manual",ROUND(SUMPRODUCT((CÁLCULO!$M$15:$M$240=EVENTOS!$C48)*(OFFSET(CÁLCULO!$AA$15:$AA$240,0,R$13))),2),0)</f>
        <v>0</v>
      </c>
      <c r="S48" s="620" cm="1">
        <f t="array" aca="1" ref="S48" ca="1">IF(AUTOEVENTO="Manual",ROUND(SUMPRODUCT((CÁLCULO!$M$15:$M$240=EVENTOS!$C48)*(OFFSET(CÁLCULO!$AA$15:$AA$240,0,S$13))),2),0)</f>
        <v>0</v>
      </c>
      <c r="T48" s="620" cm="1">
        <f t="array" aca="1" ref="T48" ca="1">IF(AUTOEVENTO="Manual",ROUND(SUMPRODUCT((CÁLCULO!$M$15:$M$240=EVENTOS!$C48)*(OFFSET(CÁLCULO!$AA$15:$AA$240,0,T$13))),2),0)</f>
        <v>0</v>
      </c>
      <c r="U48" s="620" cm="1">
        <f t="array" aca="1" ref="U48" ca="1">IF(AUTOEVENTO="Manual",ROUND(SUMPRODUCT((CÁLCULO!$M$15:$M$240=EVENTOS!$C48)*(OFFSET(CÁLCULO!$AA$15:$AA$240,0,U$13))),2),0)</f>
        <v>0</v>
      </c>
      <c r="V48" s="620" cm="1">
        <f t="array" aca="1" ref="V48" ca="1">IF(AUTOEVENTO="Manual",ROUND(SUMPRODUCT((CÁLCULO!$M$15:$M$240=EVENTOS!$C48)*(OFFSET(CÁLCULO!$AA$15:$AA$240,0,V$13))),2),0)</f>
        <v>0</v>
      </c>
      <c r="W48" s="620" cm="1">
        <f t="array" aca="1" ref="W48" ca="1">IF(AUTOEVENTO="Manual",ROUND(SUMPRODUCT((CÁLCULO!$M$15:$M$240=EVENTOS!$C48)*(OFFSET(CÁLCULO!$AA$15:$AA$240,0,W$13))),2),0)</f>
        <v>0</v>
      </c>
      <c r="X48" s="620" cm="1">
        <f t="array" aca="1" ref="X48" ca="1">IF(AUTOEVENTO="Manual",ROUND(SUMPRODUCT((CÁLCULO!$M$15:$M$240=EVENTOS!$C48)*(OFFSET(CÁLCULO!$AA$15:$AA$240,0,X$13))),2),0)</f>
        <v>0</v>
      </c>
      <c r="Y48" s="620" cm="1">
        <f t="array" aca="1" ref="Y48" ca="1">IF(AUTOEVENTO="Manual",ROUND(SUMPRODUCT((CÁLCULO!$M$15:$M$240=EVENTOS!$C48)*(OFFSET(CÁLCULO!$AA$15:$AA$240,0,Y$13))),2),0)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IF(AUTOEVENTO="Manual",ROUND(SUMPRODUCT((CÁLCULO!$M$15:$M$240=EVENTOS!$C49)*(OFFSET(CÁLCULO!$AA$15:$AA$240,0,E$13))),2),0)</f>
        <v>0</v>
      </c>
      <c r="F49" s="183">
        <f ca="1">IF(AUTOEVENTO="Manual",ROUND(SUMPRODUCT((CÁLCULO!$M$15:$M$240=EVENTOS!$C49)*(OFFSET(CÁLCULO!$AA$15,0,1):OFFSET(CÁLCULO!$AL$240,0,-1))),2),0)</f>
        <v>0</v>
      </c>
      <c r="G49" s="621" t="str">
        <f t="shared" ca="1" si="6"/>
        <v/>
      </c>
      <c r="H49" s="620" cm="1">
        <f t="array" aca="1" ref="H49" ca="1">IF(AUTOEVENTO="Manual",ROUND(SUMPRODUCT((CÁLCULO!$M$15:$M$240=EVENTOS!$C49)*(OFFSET(CÁLCULO!$AA$15:$AA$240,0,H$13))),2),0)</f>
        <v>0</v>
      </c>
      <c r="I49" s="620" cm="1">
        <f t="array" aca="1" ref="I49" ca="1">IF(AUTOEVENTO="Manual",ROUND(SUMPRODUCT((CÁLCULO!$M$15:$M$240=EVENTOS!$C49)*(OFFSET(CÁLCULO!$AA$15:$AA$240,0,I$13))),2),0)</f>
        <v>0</v>
      </c>
      <c r="J49" s="620" cm="1">
        <f t="array" aca="1" ref="J49" ca="1">IF(AUTOEVENTO="Manual",ROUND(SUMPRODUCT((CÁLCULO!$M$15:$M$240=EVENTOS!$C49)*(OFFSET(CÁLCULO!$AA$15:$AA$240,0,J$13))),2),0)</f>
        <v>0</v>
      </c>
      <c r="K49" s="620" cm="1">
        <f t="array" aca="1" ref="K49" ca="1">IF(AUTOEVENTO="Manual",ROUND(SUMPRODUCT((CÁLCULO!$M$15:$M$240=EVENTOS!$C49)*(OFFSET(CÁLCULO!$AA$15:$AA$240,0,K$13))),2),0)</f>
        <v>0</v>
      </c>
      <c r="L49" s="620" cm="1">
        <f t="array" aca="1" ref="L49" ca="1">IF(AUTOEVENTO="Manual",ROUND(SUMPRODUCT((CÁLCULO!$M$15:$M$240=EVENTOS!$C49)*(OFFSET(CÁLCULO!$AA$15:$AA$240,0,L$13))),2),0)</f>
        <v>0</v>
      </c>
      <c r="M49" s="620" cm="1">
        <f t="array" aca="1" ref="M49" ca="1">IF(AUTOEVENTO="Manual",ROUND(SUMPRODUCT((CÁLCULO!$M$15:$M$240=EVENTOS!$C49)*(OFFSET(CÁLCULO!$AA$15:$AA$240,0,M$13))),2),0)</f>
        <v>0</v>
      </c>
      <c r="N49" s="620" cm="1">
        <f t="array" aca="1" ref="N49" ca="1">IF(AUTOEVENTO="Manual",ROUND(SUMPRODUCT((CÁLCULO!$M$15:$M$240=EVENTOS!$C49)*(OFFSET(CÁLCULO!$AA$15:$AA$240,0,N$13))),2),0)</f>
        <v>0</v>
      </c>
      <c r="O49" s="620" cm="1">
        <f t="array" aca="1" ref="O49" ca="1">IF(AUTOEVENTO="Manual",ROUND(SUMPRODUCT((CÁLCULO!$M$15:$M$240=EVENTOS!$C49)*(OFFSET(CÁLCULO!$AA$15:$AA$240,0,O$13))),2),0)</f>
        <v>0</v>
      </c>
      <c r="P49" s="620" cm="1">
        <f t="array" aca="1" ref="P49" ca="1">IF(AUTOEVENTO="Manual",ROUND(SUMPRODUCT((CÁLCULO!$M$15:$M$240=EVENTOS!$C49)*(OFFSET(CÁLCULO!$AA$15:$AA$240,0,P$13))),2),0)</f>
        <v>0</v>
      </c>
      <c r="Q49" s="620" cm="1">
        <f t="array" aca="1" ref="Q49" ca="1">IF(AUTOEVENTO="Manual",ROUND(SUMPRODUCT((CÁLCULO!$M$15:$M$240=EVENTOS!$C49)*(OFFSET(CÁLCULO!$AA$15:$AA$240,0,Q$13))),2),0)</f>
        <v>0</v>
      </c>
      <c r="R49" s="620" cm="1">
        <f t="array" aca="1" ref="R49" ca="1">IF(AUTOEVENTO="Manual",ROUND(SUMPRODUCT((CÁLCULO!$M$15:$M$240=EVENTOS!$C49)*(OFFSET(CÁLCULO!$AA$15:$AA$240,0,R$13))),2),0)</f>
        <v>0</v>
      </c>
      <c r="S49" s="620" cm="1">
        <f t="array" aca="1" ref="S49" ca="1">IF(AUTOEVENTO="Manual",ROUND(SUMPRODUCT((CÁLCULO!$M$15:$M$240=EVENTOS!$C49)*(OFFSET(CÁLCULO!$AA$15:$AA$240,0,S$13))),2),0)</f>
        <v>0</v>
      </c>
      <c r="T49" s="620" cm="1">
        <f t="array" aca="1" ref="T49" ca="1">IF(AUTOEVENTO="Manual",ROUND(SUMPRODUCT((CÁLCULO!$M$15:$M$240=EVENTOS!$C49)*(OFFSET(CÁLCULO!$AA$15:$AA$240,0,T$13))),2),0)</f>
        <v>0</v>
      </c>
      <c r="U49" s="620" cm="1">
        <f t="array" aca="1" ref="U49" ca="1">IF(AUTOEVENTO="Manual",ROUND(SUMPRODUCT((CÁLCULO!$M$15:$M$240=EVENTOS!$C49)*(OFFSET(CÁLCULO!$AA$15:$AA$240,0,U$13))),2),0)</f>
        <v>0</v>
      </c>
      <c r="V49" s="620" cm="1">
        <f t="array" aca="1" ref="V49" ca="1">IF(AUTOEVENTO="Manual",ROUND(SUMPRODUCT((CÁLCULO!$M$15:$M$240=EVENTOS!$C49)*(OFFSET(CÁLCULO!$AA$15:$AA$240,0,V$13))),2),0)</f>
        <v>0</v>
      </c>
      <c r="W49" s="620" cm="1">
        <f t="array" aca="1" ref="W49" ca="1">IF(AUTOEVENTO="Manual",ROUND(SUMPRODUCT((CÁLCULO!$M$15:$M$240=EVENTOS!$C49)*(OFFSET(CÁLCULO!$AA$15:$AA$240,0,W$13))),2),0)</f>
        <v>0</v>
      </c>
      <c r="X49" s="620" cm="1">
        <f t="array" aca="1" ref="X49" ca="1">IF(AUTOEVENTO="Manual",ROUND(SUMPRODUCT((CÁLCULO!$M$15:$M$240=EVENTOS!$C49)*(OFFSET(CÁLCULO!$AA$15:$AA$240,0,X$13))),2),0)</f>
        <v>0</v>
      </c>
      <c r="Y49" s="620" cm="1">
        <f t="array" aca="1" ref="Y49" ca="1">IF(AUTOEVENTO="Manual",ROUND(SUMPRODUCT((CÁLCULO!$M$15:$M$240=EVENTOS!$C49)*(OFFSET(CÁLCULO!$AA$15:$AA$240,0,Y$13))),2),0)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IF(AUTOEVENTO="Manual",ROUND(SUMPRODUCT((CÁLCULO!$M$15:$M$240=EVENTOS!$C50)*(OFFSET(CÁLCULO!$AA$15:$AA$240,0,E$13))),2),0)</f>
        <v>0</v>
      </c>
      <c r="F50" s="183">
        <f ca="1">IF(AUTOEVENTO="Manual",ROUND(SUMPRODUCT((CÁLCULO!$M$15:$M$240=EVENTOS!$C50)*(OFFSET(CÁLCULO!$AA$15,0,1):OFFSET(CÁLCULO!$AL$240,0,-1))),2),0)</f>
        <v>0</v>
      </c>
      <c r="G50" s="621" t="str">
        <f t="shared" ca="1" si="6"/>
        <v/>
      </c>
      <c r="H50" s="620" cm="1">
        <f t="array" aca="1" ref="H50" ca="1">IF(AUTOEVENTO="Manual",ROUND(SUMPRODUCT((CÁLCULO!$M$15:$M$240=EVENTOS!$C50)*(OFFSET(CÁLCULO!$AA$15:$AA$240,0,H$13))),2),0)</f>
        <v>0</v>
      </c>
      <c r="I50" s="620" cm="1">
        <f t="array" aca="1" ref="I50" ca="1">IF(AUTOEVENTO="Manual",ROUND(SUMPRODUCT((CÁLCULO!$M$15:$M$240=EVENTOS!$C50)*(OFFSET(CÁLCULO!$AA$15:$AA$240,0,I$13))),2),0)</f>
        <v>0</v>
      </c>
      <c r="J50" s="620" cm="1">
        <f t="array" aca="1" ref="J50" ca="1">IF(AUTOEVENTO="Manual",ROUND(SUMPRODUCT((CÁLCULO!$M$15:$M$240=EVENTOS!$C50)*(OFFSET(CÁLCULO!$AA$15:$AA$240,0,J$13))),2),0)</f>
        <v>0</v>
      </c>
      <c r="K50" s="620" cm="1">
        <f t="array" aca="1" ref="K50" ca="1">IF(AUTOEVENTO="Manual",ROUND(SUMPRODUCT((CÁLCULO!$M$15:$M$240=EVENTOS!$C50)*(OFFSET(CÁLCULO!$AA$15:$AA$240,0,K$13))),2),0)</f>
        <v>0</v>
      </c>
      <c r="L50" s="620" cm="1">
        <f t="array" aca="1" ref="L50" ca="1">IF(AUTOEVENTO="Manual",ROUND(SUMPRODUCT((CÁLCULO!$M$15:$M$240=EVENTOS!$C50)*(OFFSET(CÁLCULO!$AA$15:$AA$240,0,L$13))),2),0)</f>
        <v>0</v>
      </c>
      <c r="M50" s="620" cm="1">
        <f t="array" aca="1" ref="M50" ca="1">IF(AUTOEVENTO="Manual",ROUND(SUMPRODUCT((CÁLCULO!$M$15:$M$240=EVENTOS!$C50)*(OFFSET(CÁLCULO!$AA$15:$AA$240,0,M$13))),2),0)</f>
        <v>0</v>
      </c>
      <c r="N50" s="620" cm="1">
        <f t="array" aca="1" ref="N50" ca="1">IF(AUTOEVENTO="Manual",ROUND(SUMPRODUCT((CÁLCULO!$M$15:$M$240=EVENTOS!$C50)*(OFFSET(CÁLCULO!$AA$15:$AA$240,0,N$13))),2),0)</f>
        <v>0</v>
      </c>
      <c r="O50" s="620" cm="1">
        <f t="array" aca="1" ref="O50" ca="1">IF(AUTOEVENTO="Manual",ROUND(SUMPRODUCT((CÁLCULO!$M$15:$M$240=EVENTOS!$C50)*(OFFSET(CÁLCULO!$AA$15:$AA$240,0,O$13))),2),0)</f>
        <v>0</v>
      </c>
      <c r="P50" s="620" cm="1">
        <f t="array" aca="1" ref="P50" ca="1">IF(AUTOEVENTO="Manual",ROUND(SUMPRODUCT((CÁLCULO!$M$15:$M$240=EVENTOS!$C50)*(OFFSET(CÁLCULO!$AA$15:$AA$240,0,P$13))),2),0)</f>
        <v>0</v>
      </c>
      <c r="Q50" s="620" cm="1">
        <f t="array" aca="1" ref="Q50" ca="1">IF(AUTOEVENTO="Manual",ROUND(SUMPRODUCT((CÁLCULO!$M$15:$M$240=EVENTOS!$C50)*(OFFSET(CÁLCULO!$AA$15:$AA$240,0,Q$13))),2),0)</f>
        <v>0</v>
      </c>
      <c r="R50" s="620" cm="1">
        <f t="array" aca="1" ref="R50" ca="1">IF(AUTOEVENTO="Manual",ROUND(SUMPRODUCT((CÁLCULO!$M$15:$M$240=EVENTOS!$C50)*(OFFSET(CÁLCULO!$AA$15:$AA$240,0,R$13))),2),0)</f>
        <v>0</v>
      </c>
      <c r="S50" s="620" cm="1">
        <f t="array" aca="1" ref="S50" ca="1">IF(AUTOEVENTO="Manual",ROUND(SUMPRODUCT((CÁLCULO!$M$15:$M$240=EVENTOS!$C50)*(OFFSET(CÁLCULO!$AA$15:$AA$240,0,S$13))),2),0)</f>
        <v>0</v>
      </c>
      <c r="T50" s="620" cm="1">
        <f t="array" aca="1" ref="T50" ca="1">IF(AUTOEVENTO="Manual",ROUND(SUMPRODUCT((CÁLCULO!$M$15:$M$240=EVENTOS!$C50)*(OFFSET(CÁLCULO!$AA$15:$AA$240,0,T$13))),2),0)</f>
        <v>0</v>
      </c>
      <c r="U50" s="620" cm="1">
        <f t="array" aca="1" ref="U50" ca="1">IF(AUTOEVENTO="Manual",ROUND(SUMPRODUCT((CÁLCULO!$M$15:$M$240=EVENTOS!$C50)*(OFFSET(CÁLCULO!$AA$15:$AA$240,0,U$13))),2),0)</f>
        <v>0</v>
      </c>
      <c r="V50" s="620" cm="1">
        <f t="array" aca="1" ref="V50" ca="1">IF(AUTOEVENTO="Manual",ROUND(SUMPRODUCT((CÁLCULO!$M$15:$M$240=EVENTOS!$C50)*(OFFSET(CÁLCULO!$AA$15:$AA$240,0,V$13))),2),0)</f>
        <v>0</v>
      </c>
      <c r="W50" s="620" cm="1">
        <f t="array" aca="1" ref="W50" ca="1">IF(AUTOEVENTO="Manual",ROUND(SUMPRODUCT((CÁLCULO!$M$15:$M$240=EVENTOS!$C50)*(OFFSET(CÁLCULO!$AA$15:$AA$240,0,W$13))),2),0)</f>
        <v>0</v>
      </c>
      <c r="X50" s="620" cm="1">
        <f t="array" aca="1" ref="X50" ca="1">IF(AUTOEVENTO="Manual",ROUND(SUMPRODUCT((CÁLCULO!$M$15:$M$240=EVENTOS!$C50)*(OFFSET(CÁLCULO!$AA$15:$AA$240,0,X$13))),2),0)</f>
        <v>0</v>
      </c>
      <c r="Y50" s="620" cm="1">
        <f t="array" aca="1" ref="Y50" ca="1">IF(AUTOEVENTO="Manual",ROUND(SUMPRODUCT((CÁLCULO!$M$15:$M$240=EVENTOS!$C50)*(OFFSET(CÁLCULO!$AA$15:$AA$240,0,Y$13))),2),0)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IF(AUTOEVENTO="Manual",ROUND(SUMPRODUCT((CÁLCULO!$M$15:$M$240=EVENTOS!$C51)*(OFFSET(CÁLCULO!$AA$15:$AA$240,0,E$13))),2),0)</f>
        <v>0</v>
      </c>
      <c r="F51" s="183">
        <f ca="1">IF(AUTOEVENTO="Manual",ROUND(SUMPRODUCT((CÁLCULO!$M$15:$M$240=EVENTOS!$C51)*(OFFSET(CÁLCULO!$AA$15,0,1):OFFSET(CÁLCULO!$AL$240,0,-1))),2),0)</f>
        <v>0</v>
      </c>
      <c r="G51" s="621" t="str">
        <f t="shared" ca="1" si="6"/>
        <v/>
      </c>
      <c r="H51" s="620" cm="1">
        <f t="array" aca="1" ref="H51" ca="1">IF(AUTOEVENTO="Manual",ROUND(SUMPRODUCT((CÁLCULO!$M$15:$M$240=EVENTOS!$C51)*(OFFSET(CÁLCULO!$AA$15:$AA$240,0,H$13))),2),0)</f>
        <v>0</v>
      </c>
      <c r="I51" s="620" cm="1">
        <f t="array" aca="1" ref="I51" ca="1">IF(AUTOEVENTO="Manual",ROUND(SUMPRODUCT((CÁLCULO!$M$15:$M$240=EVENTOS!$C51)*(OFFSET(CÁLCULO!$AA$15:$AA$240,0,I$13))),2),0)</f>
        <v>0</v>
      </c>
      <c r="J51" s="620" cm="1">
        <f t="array" aca="1" ref="J51" ca="1">IF(AUTOEVENTO="Manual",ROUND(SUMPRODUCT((CÁLCULO!$M$15:$M$240=EVENTOS!$C51)*(OFFSET(CÁLCULO!$AA$15:$AA$240,0,J$13))),2),0)</f>
        <v>0</v>
      </c>
      <c r="K51" s="620" cm="1">
        <f t="array" aca="1" ref="K51" ca="1">IF(AUTOEVENTO="Manual",ROUND(SUMPRODUCT((CÁLCULO!$M$15:$M$240=EVENTOS!$C51)*(OFFSET(CÁLCULO!$AA$15:$AA$240,0,K$13))),2),0)</f>
        <v>0</v>
      </c>
      <c r="L51" s="620" cm="1">
        <f t="array" aca="1" ref="L51" ca="1">IF(AUTOEVENTO="Manual",ROUND(SUMPRODUCT((CÁLCULO!$M$15:$M$240=EVENTOS!$C51)*(OFFSET(CÁLCULO!$AA$15:$AA$240,0,L$13))),2),0)</f>
        <v>0</v>
      </c>
      <c r="M51" s="620" cm="1">
        <f t="array" aca="1" ref="M51" ca="1">IF(AUTOEVENTO="Manual",ROUND(SUMPRODUCT((CÁLCULO!$M$15:$M$240=EVENTOS!$C51)*(OFFSET(CÁLCULO!$AA$15:$AA$240,0,M$13))),2),0)</f>
        <v>0</v>
      </c>
      <c r="N51" s="620" cm="1">
        <f t="array" aca="1" ref="N51" ca="1">IF(AUTOEVENTO="Manual",ROUND(SUMPRODUCT((CÁLCULO!$M$15:$M$240=EVENTOS!$C51)*(OFFSET(CÁLCULO!$AA$15:$AA$240,0,N$13))),2),0)</f>
        <v>0</v>
      </c>
      <c r="O51" s="620" cm="1">
        <f t="array" aca="1" ref="O51" ca="1">IF(AUTOEVENTO="Manual",ROUND(SUMPRODUCT((CÁLCULO!$M$15:$M$240=EVENTOS!$C51)*(OFFSET(CÁLCULO!$AA$15:$AA$240,0,O$13))),2),0)</f>
        <v>0</v>
      </c>
      <c r="P51" s="620" cm="1">
        <f t="array" aca="1" ref="P51" ca="1">IF(AUTOEVENTO="Manual",ROUND(SUMPRODUCT((CÁLCULO!$M$15:$M$240=EVENTOS!$C51)*(OFFSET(CÁLCULO!$AA$15:$AA$240,0,P$13))),2),0)</f>
        <v>0</v>
      </c>
      <c r="Q51" s="620" cm="1">
        <f t="array" aca="1" ref="Q51" ca="1">IF(AUTOEVENTO="Manual",ROUND(SUMPRODUCT((CÁLCULO!$M$15:$M$240=EVENTOS!$C51)*(OFFSET(CÁLCULO!$AA$15:$AA$240,0,Q$13))),2),0)</f>
        <v>0</v>
      </c>
      <c r="R51" s="620" cm="1">
        <f t="array" aca="1" ref="R51" ca="1">IF(AUTOEVENTO="Manual",ROUND(SUMPRODUCT((CÁLCULO!$M$15:$M$240=EVENTOS!$C51)*(OFFSET(CÁLCULO!$AA$15:$AA$240,0,R$13))),2),0)</f>
        <v>0</v>
      </c>
      <c r="S51" s="620" cm="1">
        <f t="array" aca="1" ref="S51" ca="1">IF(AUTOEVENTO="Manual",ROUND(SUMPRODUCT((CÁLCULO!$M$15:$M$240=EVENTOS!$C51)*(OFFSET(CÁLCULO!$AA$15:$AA$240,0,S$13))),2),0)</f>
        <v>0</v>
      </c>
      <c r="T51" s="620" cm="1">
        <f t="array" aca="1" ref="T51" ca="1">IF(AUTOEVENTO="Manual",ROUND(SUMPRODUCT((CÁLCULO!$M$15:$M$240=EVENTOS!$C51)*(OFFSET(CÁLCULO!$AA$15:$AA$240,0,T$13))),2),0)</f>
        <v>0</v>
      </c>
      <c r="U51" s="620" cm="1">
        <f t="array" aca="1" ref="U51" ca="1">IF(AUTOEVENTO="Manual",ROUND(SUMPRODUCT((CÁLCULO!$M$15:$M$240=EVENTOS!$C51)*(OFFSET(CÁLCULO!$AA$15:$AA$240,0,U$13))),2),0)</f>
        <v>0</v>
      </c>
      <c r="V51" s="620" cm="1">
        <f t="array" aca="1" ref="V51" ca="1">IF(AUTOEVENTO="Manual",ROUND(SUMPRODUCT((CÁLCULO!$M$15:$M$240=EVENTOS!$C51)*(OFFSET(CÁLCULO!$AA$15:$AA$240,0,V$13))),2),0)</f>
        <v>0</v>
      </c>
      <c r="W51" s="620" cm="1">
        <f t="array" aca="1" ref="W51" ca="1">IF(AUTOEVENTO="Manual",ROUND(SUMPRODUCT((CÁLCULO!$M$15:$M$240=EVENTOS!$C51)*(OFFSET(CÁLCULO!$AA$15:$AA$240,0,W$13))),2),0)</f>
        <v>0</v>
      </c>
      <c r="X51" s="620" cm="1">
        <f t="array" aca="1" ref="X51" ca="1">IF(AUTOEVENTO="Manual",ROUND(SUMPRODUCT((CÁLCULO!$M$15:$M$240=EVENTOS!$C51)*(OFFSET(CÁLCULO!$AA$15:$AA$240,0,X$13))),2),0)</f>
        <v>0</v>
      </c>
      <c r="Y51" s="620" cm="1">
        <f t="array" aca="1" ref="Y51" ca="1">IF(AUTOEVENTO="Manual",ROUND(SUMPRODUCT((CÁLCULO!$M$15:$M$240=EVENTOS!$C51)*(OFFSET(CÁLCULO!$AA$15:$AA$240,0,Y$13))),2),0)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IF(AUTOEVENTO="Manual",ROUND(SUMPRODUCT((CÁLCULO!$M$15:$M$240=EVENTOS!$C52)*(OFFSET(CÁLCULO!$AA$15:$AA$240,0,E$13))),2),0)</f>
        <v>0</v>
      </c>
      <c r="F52" s="183">
        <f ca="1">IF(AUTOEVENTO="Manual",ROUND(SUMPRODUCT((CÁLCULO!$M$15:$M$240=EVENTOS!$C52)*(OFFSET(CÁLCULO!$AA$15,0,1):OFFSET(CÁLCULO!$AL$240,0,-1))),2),0)</f>
        <v>0</v>
      </c>
      <c r="G52" s="621" t="str">
        <f t="shared" ca="1" si="6"/>
        <v/>
      </c>
      <c r="H52" s="620" cm="1">
        <f t="array" aca="1" ref="H52" ca="1">IF(AUTOEVENTO="Manual",ROUND(SUMPRODUCT((CÁLCULO!$M$15:$M$240=EVENTOS!$C52)*(OFFSET(CÁLCULO!$AA$15:$AA$240,0,H$13))),2),0)</f>
        <v>0</v>
      </c>
      <c r="I52" s="620" cm="1">
        <f t="array" aca="1" ref="I52" ca="1">IF(AUTOEVENTO="Manual",ROUND(SUMPRODUCT((CÁLCULO!$M$15:$M$240=EVENTOS!$C52)*(OFFSET(CÁLCULO!$AA$15:$AA$240,0,I$13))),2),0)</f>
        <v>0</v>
      </c>
      <c r="J52" s="620" cm="1">
        <f t="array" aca="1" ref="J52" ca="1">IF(AUTOEVENTO="Manual",ROUND(SUMPRODUCT((CÁLCULO!$M$15:$M$240=EVENTOS!$C52)*(OFFSET(CÁLCULO!$AA$15:$AA$240,0,J$13))),2),0)</f>
        <v>0</v>
      </c>
      <c r="K52" s="620" cm="1">
        <f t="array" aca="1" ref="K52" ca="1">IF(AUTOEVENTO="Manual",ROUND(SUMPRODUCT((CÁLCULO!$M$15:$M$240=EVENTOS!$C52)*(OFFSET(CÁLCULO!$AA$15:$AA$240,0,K$13))),2),0)</f>
        <v>0</v>
      </c>
      <c r="L52" s="620" cm="1">
        <f t="array" aca="1" ref="L52" ca="1">IF(AUTOEVENTO="Manual",ROUND(SUMPRODUCT((CÁLCULO!$M$15:$M$240=EVENTOS!$C52)*(OFFSET(CÁLCULO!$AA$15:$AA$240,0,L$13))),2),0)</f>
        <v>0</v>
      </c>
      <c r="M52" s="620" cm="1">
        <f t="array" aca="1" ref="M52" ca="1">IF(AUTOEVENTO="Manual",ROUND(SUMPRODUCT((CÁLCULO!$M$15:$M$240=EVENTOS!$C52)*(OFFSET(CÁLCULO!$AA$15:$AA$240,0,M$13))),2),0)</f>
        <v>0</v>
      </c>
      <c r="N52" s="620" cm="1">
        <f t="array" aca="1" ref="N52" ca="1">IF(AUTOEVENTO="Manual",ROUND(SUMPRODUCT((CÁLCULO!$M$15:$M$240=EVENTOS!$C52)*(OFFSET(CÁLCULO!$AA$15:$AA$240,0,N$13))),2),0)</f>
        <v>0</v>
      </c>
      <c r="O52" s="620" cm="1">
        <f t="array" aca="1" ref="O52" ca="1">IF(AUTOEVENTO="Manual",ROUND(SUMPRODUCT((CÁLCULO!$M$15:$M$240=EVENTOS!$C52)*(OFFSET(CÁLCULO!$AA$15:$AA$240,0,O$13))),2),0)</f>
        <v>0</v>
      </c>
      <c r="P52" s="620" cm="1">
        <f t="array" aca="1" ref="P52" ca="1">IF(AUTOEVENTO="Manual",ROUND(SUMPRODUCT((CÁLCULO!$M$15:$M$240=EVENTOS!$C52)*(OFFSET(CÁLCULO!$AA$15:$AA$240,0,P$13))),2),0)</f>
        <v>0</v>
      </c>
      <c r="Q52" s="620" cm="1">
        <f t="array" aca="1" ref="Q52" ca="1">IF(AUTOEVENTO="Manual",ROUND(SUMPRODUCT((CÁLCULO!$M$15:$M$240=EVENTOS!$C52)*(OFFSET(CÁLCULO!$AA$15:$AA$240,0,Q$13))),2),0)</f>
        <v>0</v>
      </c>
      <c r="R52" s="620" cm="1">
        <f t="array" aca="1" ref="R52" ca="1">IF(AUTOEVENTO="Manual",ROUND(SUMPRODUCT((CÁLCULO!$M$15:$M$240=EVENTOS!$C52)*(OFFSET(CÁLCULO!$AA$15:$AA$240,0,R$13))),2),0)</f>
        <v>0</v>
      </c>
      <c r="S52" s="620" cm="1">
        <f t="array" aca="1" ref="S52" ca="1">IF(AUTOEVENTO="Manual",ROUND(SUMPRODUCT((CÁLCULO!$M$15:$M$240=EVENTOS!$C52)*(OFFSET(CÁLCULO!$AA$15:$AA$240,0,S$13))),2),0)</f>
        <v>0</v>
      </c>
      <c r="T52" s="620" cm="1">
        <f t="array" aca="1" ref="T52" ca="1">IF(AUTOEVENTO="Manual",ROUND(SUMPRODUCT((CÁLCULO!$M$15:$M$240=EVENTOS!$C52)*(OFFSET(CÁLCULO!$AA$15:$AA$240,0,T$13))),2),0)</f>
        <v>0</v>
      </c>
      <c r="U52" s="620" cm="1">
        <f t="array" aca="1" ref="U52" ca="1">IF(AUTOEVENTO="Manual",ROUND(SUMPRODUCT((CÁLCULO!$M$15:$M$240=EVENTOS!$C52)*(OFFSET(CÁLCULO!$AA$15:$AA$240,0,U$13))),2),0)</f>
        <v>0</v>
      </c>
      <c r="V52" s="620" cm="1">
        <f t="array" aca="1" ref="V52" ca="1">IF(AUTOEVENTO="Manual",ROUND(SUMPRODUCT((CÁLCULO!$M$15:$M$240=EVENTOS!$C52)*(OFFSET(CÁLCULO!$AA$15:$AA$240,0,V$13))),2),0)</f>
        <v>0</v>
      </c>
      <c r="W52" s="620" cm="1">
        <f t="array" aca="1" ref="W52" ca="1">IF(AUTOEVENTO="Manual",ROUND(SUMPRODUCT((CÁLCULO!$M$15:$M$240=EVENTOS!$C52)*(OFFSET(CÁLCULO!$AA$15:$AA$240,0,W$13))),2),0)</f>
        <v>0</v>
      </c>
      <c r="X52" s="620" cm="1">
        <f t="array" aca="1" ref="X52" ca="1">IF(AUTOEVENTO="Manual",ROUND(SUMPRODUCT((CÁLCULO!$M$15:$M$240=EVENTOS!$C52)*(OFFSET(CÁLCULO!$AA$15:$AA$240,0,X$13))),2),0)</f>
        <v>0</v>
      </c>
      <c r="Y52" s="620" cm="1">
        <f t="array" aca="1" ref="Y52" ca="1">IF(AUTOEVENTO="Manual",ROUND(SUMPRODUCT((CÁLCULO!$M$15:$M$240=EVENTOS!$C52)*(OFFSET(CÁLCULO!$AA$15:$AA$240,0,Y$13))),2),0)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IF(AUTOEVENTO="Manual",ROUND(SUMPRODUCT((CÁLCULO!$M$15:$M$240=EVENTOS!$C53)*(OFFSET(CÁLCULO!$AA$15:$AA$240,0,E$13))),2),0)</f>
        <v>0</v>
      </c>
      <c r="F53" s="183">
        <f ca="1">IF(AUTOEVENTO="Manual",ROUND(SUMPRODUCT((CÁLCULO!$M$15:$M$240=EVENTOS!$C53)*(OFFSET(CÁLCULO!$AA$15,0,1):OFFSET(CÁLCULO!$AL$240,0,-1))),2),0)</f>
        <v>0</v>
      </c>
      <c r="G53" s="621" t="str">
        <f t="shared" ca="1" si="6"/>
        <v/>
      </c>
      <c r="H53" s="620" cm="1">
        <f t="array" aca="1" ref="H53" ca="1">IF(AUTOEVENTO="Manual",ROUND(SUMPRODUCT((CÁLCULO!$M$15:$M$240=EVENTOS!$C53)*(OFFSET(CÁLCULO!$AA$15:$AA$240,0,H$13))),2),0)</f>
        <v>0</v>
      </c>
      <c r="I53" s="620" cm="1">
        <f t="array" aca="1" ref="I53" ca="1">IF(AUTOEVENTO="Manual",ROUND(SUMPRODUCT((CÁLCULO!$M$15:$M$240=EVENTOS!$C53)*(OFFSET(CÁLCULO!$AA$15:$AA$240,0,I$13))),2),0)</f>
        <v>0</v>
      </c>
      <c r="J53" s="620" cm="1">
        <f t="array" aca="1" ref="J53" ca="1">IF(AUTOEVENTO="Manual",ROUND(SUMPRODUCT((CÁLCULO!$M$15:$M$240=EVENTOS!$C53)*(OFFSET(CÁLCULO!$AA$15:$AA$240,0,J$13))),2),0)</f>
        <v>0</v>
      </c>
      <c r="K53" s="620" cm="1">
        <f t="array" aca="1" ref="K53" ca="1">IF(AUTOEVENTO="Manual",ROUND(SUMPRODUCT((CÁLCULO!$M$15:$M$240=EVENTOS!$C53)*(OFFSET(CÁLCULO!$AA$15:$AA$240,0,K$13))),2),0)</f>
        <v>0</v>
      </c>
      <c r="L53" s="620" cm="1">
        <f t="array" aca="1" ref="L53" ca="1">IF(AUTOEVENTO="Manual",ROUND(SUMPRODUCT((CÁLCULO!$M$15:$M$240=EVENTOS!$C53)*(OFFSET(CÁLCULO!$AA$15:$AA$240,0,L$13))),2),0)</f>
        <v>0</v>
      </c>
      <c r="M53" s="620" cm="1">
        <f t="array" aca="1" ref="M53" ca="1">IF(AUTOEVENTO="Manual",ROUND(SUMPRODUCT((CÁLCULO!$M$15:$M$240=EVENTOS!$C53)*(OFFSET(CÁLCULO!$AA$15:$AA$240,0,M$13))),2),0)</f>
        <v>0</v>
      </c>
      <c r="N53" s="620" cm="1">
        <f t="array" aca="1" ref="N53" ca="1">IF(AUTOEVENTO="Manual",ROUND(SUMPRODUCT((CÁLCULO!$M$15:$M$240=EVENTOS!$C53)*(OFFSET(CÁLCULO!$AA$15:$AA$240,0,N$13))),2),0)</f>
        <v>0</v>
      </c>
      <c r="O53" s="620" cm="1">
        <f t="array" aca="1" ref="O53" ca="1">IF(AUTOEVENTO="Manual",ROUND(SUMPRODUCT((CÁLCULO!$M$15:$M$240=EVENTOS!$C53)*(OFFSET(CÁLCULO!$AA$15:$AA$240,0,O$13))),2),0)</f>
        <v>0</v>
      </c>
      <c r="P53" s="620" cm="1">
        <f t="array" aca="1" ref="P53" ca="1">IF(AUTOEVENTO="Manual",ROUND(SUMPRODUCT((CÁLCULO!$M$15:$M$240=EVENTOS!$C53)*(OFFSET(CÁLCULO!$AA$15:$AA$240,0,P$13))),2),0)</f>
        <v>0</v>
      </c>
      <c r="Q53" s="620" cm="1">
        <f t="array" aca="1" ref="Q53" ca="1">IF(AUTOEVENTO="Manual",ROUND(SUMPRODUCT((CÁLCULO!$M$15:$M$240=EVENTOS!$C53)*(OFFSET(CÁLCULO!$AA$15:$AA$240,0,Q$13))),2),0)</f>
        <v>0</v>
      </c>
      <c r="R53" s="620" cm="1">
        <f t="array" aca="1" ref="R53" ca="1">IF(AUTOEVENTO="Manual",ROUND(SUMPRODUCT((CÁLCULO!$M$15:$M$240=EVENTOS!$C53)*(OFFSET(CÁLCULO!$AA$15:$AA$240,0,R$13))),2),0)</f>
        <v>0</v>
      </c>
      <c r="S53" s="620" cm="1">
        <f t="array" aca="1" ref="S53" ca="1">IF(AUTOEVENTO="Manual",ROUND(SUMPRODUCT((CÁLCULO!$M$15:$M$240=EVENTOS!$C53)*(OFFSET(CÁLCULO!$AA$15:$AA$240,0,S$13))),2),0)</f>
        <v>0</v>
      </c>
      <c r="T53" s="620" cm="1">
        <f t="array" aca="1" ref="T53" ca="1">IF(AUTOEVENTO="Manual",ROUND(SUMPRODUCT((CÁLCULO!$M$15:$M$240=EVENTOS!$C53)*(OFFSET(CÁLCULO!$AA$15:$AA$240,0,T$13))),2),0)</f>
        <v>0</v>
      </c>
      <c r="U53" s="620" cm="1">
        <f t="array" aca="1" ref="U53" ca="1">IF(AUTOEVENTO="Manual",ROUND(SUMPRODUCT((CÁLCULO!$M$15:$M$240=EVENTOS!$C53)*(OFFSET(CÁLCULO!$AA$15:$AA$240,0,U$13))),2),0)</f>
        <v>0</v>
      </c>
      <c r="V53" s="620" cm="1">
        <f t="array" aca="1" ref="V53" ca="1">IF(AUTOEVENTO="Manual",ROUND(SUMPRODUCT((CÁLCULO!$M$15:$M$240=EVENTOS!$C53)*(OFFSET(CÁLCULO!$AA$15:$AA$240,0,V$13))),2),0)</f>
        <v>0</v>
      </c>
      <c r="W53" s="620" cm="1">
        <f t="array" aca="1" ref="W53" ca="1">IF(AUTOEVENTO="Manual",ROUND(SUMPRODUCT((CÁLCULO!$M$15:$M$240=EVENTOS!$C53)*(OFFSET(CÁLCULO!$AA$15:$AA$240,0,W$13))),2),0)</f>
        <v>0</v>
      </c>
      <c r="X53" s="620" cm="1">
        <f t="array" aca="1" ref="X53" ca="1">IF(AUTOEVENTO="Manual",ROUND(SUMPRODUCT((CÁLCULO!$M$15:$M$240=EVENTOS!$C53)*(OFFSET(CÁLCULO!$AA$15:$AA$240,0,X$13))),2),0)</f>
        <v>0</v>
      </c>
      <c r="Y53" s="620" cm="1">
        <f t="array" aca="1" ref="Y53" ca="1">IF(AUTOEVENTO="Manual",ROUND(SUMPRODUCT((CÁLCULO!$M$15:$M$240=EVENTOS!$C53)*(OFFSET(CÁLCULO!$AA$15:$AA$240,0,Y$13))),2),0)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IF(AUTOEVENTO="Manual",ROUND(SUMPRODUCT((CÁLCULO!$M$15:$M$240=EVENTOS!$C54)*(OFFSET(CÁLCULO!$AA$15:$AA$240,0,E$13))),2),0)</f>
        <v>0</v>
      </c>
      <c r="F54" s="183">
        <f ca="1">IF(AUTOEVENTO="Manual",ROUND(SUMPRODUCT((CÁLCULO!$M$15:$M$240=EVENTOS!$C54)*(OFFSET(CÁLCULO!$AA$15,0,1):OFFSET(CÁLCULO!$AL$240,0,-1))),2),0)</f>
        <v>0</v>
      </c>
      <c r="G54" s="621" t="str">
        <f t="shared" ca="1" si="6"/>
        <v/>
      </c>
      <c r="H54" s="620" cm="1">
        <f t="array" aca="1" ref="H54" ca="1">IF(AUTOEVENTO="Manual",ROUND(SUMPRODUCT((CÁLCULO!$M$15:$M$240=EVENTOS!$C54)*(OFFSET(CÁLCULO!$AA$15:$AA$240,0,H$13))),2),0)</f>
        <v>0</v>
      </c>
      <c r="I54" s="620" cm="1">
        <f t="array" aca="1" ref="I54" ca="1">IF(AUTOEVENTO="Manual",ROUND(SUMPRODUCT((CÁLCULO!$M$15:$M$240=EVENTOS!$C54)*(OFFSET(CÁLCULO!$AA$15:$AA$240,0,I$13))),2),0)</f>
        <v>0</v>
      </c>
      <c r="J54" s="620" cm="1">
        <f t="array" aca="1" ref="J54" ca="1">IF(AUTOEVENTO="Manual",ROUND(SUMPRODUCT((CÁLCULO!$M$15:$M$240=EVENTOS!$C54)*(OFFSET(CÁLCULO!$AA$15:$AA$240,0,J$13))),2),0)</f>
        <v>0</v>
      </c>
      <c r="K54" s="620" cm="1">
        <f t="array" aca="1" ref="K54" ca="1">IF(AUTOEVENTO="Manual",ROUND(SUMPRODUCT((CÁLCULO!$M$15:$M$240=EVENTOS!$C54)*(OFFSET(CÁLCULO!$AA$15:$AA$240,0,K$13))),2),0)</f>
        <v>0</v>
      </c>
      <c r="L54" s="620" cm="1">
        <f t="array" aca="1" ref="L54" ca="1">IF(AUTOEVENTO="Manual",ROUND(SUMPRODUCT((CÁLCULO!$M$15:$M$240=EVENTOS!$C54)*(OFFSET(CÁLCULO!$AA$15:$AA$240,0,L$13))),2),0)</f>
        <v>0</v>
      </c>
      <c r="M54" s="620" cm="1">
        <f t="array" aca="1" ref="M54" ca="1">IF(AUTOEVENTO="Manual",ROUND(SUMPRODUCT((CÁLCULO!$M$15:$M$240=EVENTOS!$C54)*(OFFSET(CÁLCULO!$AA$15:$AA$240,0,M$13))),2),0)</f>
        <v>0</v>
      </c>
      <c r="N54" s="620" cm="1">
        <f t="array" aca="1" ref="N54" ca="1">IF(AUTOEVENTO="Manual",ROUND(SUMPRODUCT((CÁLCULO!$M$15:$M$240=EVENTOS!$C54)*(OFFSET(CÁLCULO!$AA$15:$AA$240,0,N$13))),2),0)</f>
        <v>0</v>
      </c>
      <c r="O54" s="620" cm="1">
        <f t="array" aca="1" ref="O54" ca="1">IF(AUTOEVENTO="Manual",ROUND(SUMPRODUCT((CÁLCULO!$M$15:$M$240=EVENTOS!$C54)*(OFFSET(CÁLCULO!$AA$15:$AA$240,0,O$13))),2),0)</f>
        <v>0</v>
      </c>
      <c r="P54" s="620" cm="1">
        <f t="array" aca="1" ref="P54" ca="1">IF(AUTOEVENTO="Manual",ROUND(SUMPRODUCT((CÁLCULO!$M$15:$M$240=EVENTOS!$C54)*(OFFSET(CÁLCULO!$AA$15:$AA$240,0,P$13))),2),0)</f>
        <v>0</v>
      </c>
      <c r="Q54" s="620" cm="1">
        <f t="array" aca="1" ref="Q54" ca="1">IF(AUTOEVENTO="Manual",ROUND(SUMPRODUCT((CÁLCULO!$M$15:$M$240=EVENTOS!$C54)*(OFFSET(CÁLCULO!$AA$15:$AA$240,0,Q$13))),2),0)</f>
        <v>0</v>
      </c>
      <c r="R54" s="620" cm="1">
        <f t="array" aca="1" ref="R54" ca="1">IF(AUTOEVENTO="Manual",ROUND(SUMPRODUCT((CÁLCULO!$M$15:$M$240=EVENTOS!$C54)*(OFFSET(CÁLCULO!$AA$15:$AA$240,0,R$13))),2),0)</f>
        <v>0</v>
      </c>
      <c r="S54" s="620" cm="1">
        <f t="array" aca="1" ref="S54" ca="1">IF(AUTOEVENTO="Manual",ROUND(SUMPRODUCT((CÁLCULO!$M$15:$M$240=EVENTOS!$C54)*(OFFSET(CÁLCULO!$AA$15:$AA$240,0,S$13))),2),0)</f>
        <v>0</v>
      </c>
      <c r="T54" s="620" cm="1">
        <f t="array" aca="1" ref="T54" ca="1">IF(AUTOEVENTO="Manual",ROUND(SUMPRODUCT((CÁLCULO!$M$15:$M$240=EVENTOS!$C54)*(OFFSET(CÁLCULO!$AA$15:$AA$240,0,T$13))),2),0)</f>
        <v>0</v>
      </c>
      <c r="U54" s="620" cm="1">
        <f t="array" aca="1" ref="U54" ca="1">IF(AUTOEVENTO="Manual",ROUND(SUMPRODUCT((CÁLCULO!$M$15:$M$240=EVENTOS!$C54)*(OFFSET(CÁLCULO!$AA$15:$AA$240,0,U$13))),2),0)</f>
        <v>0</v>
      </c>
      <c r="V54" s="620" cm="1">
        <f t="array" aca="1" ref="V54" ca="1">IF(AUTOEVENTO="Manual",ROUND(SUMPRODUCT((CÁLCULO!$M$15:$M$240=EVENTOS!$C54)*(OFFSET(CÁLCULO!$AA$15:$AA$240,0,V$13))),2),0)</f>
        <v>0</v>
      </c>
      <c r="W54" s="620" cm="1">
        <f t="array" aca="1" ref="W54" ca="1">IF(AUTOEVENTO="Manual",ROUND(SUMPRODUCT((CÁLCULO!$M$15:$M$240=EVENTOS!$C54)*(OFFSET(CÁLCULO!$AA$15:$AA$240,0,W$13))),2),0)</f>
        <v>0</v>
      </c>
      <c r="X54" s="620" cm="1">
        <f t="array" aca="1" ref="X54" ca="1">IF(AUTOEVENTO="Manual",ROUND(SUMPRODUCT((CÁLCULO!$M$15:$M$240=EVENTOS!$C54)*(OFFSET(CÁLCULO!$AA$15:$AA$240,0,X$13))),2),0)</f>
        <v>0</v>
      </c>
      <c r="Y54" s="620" cm="1">
        <f t="array" aca="1" ref="Y54" ca="1">IF(AUTOEVENTO="Manual",ROUND(SUMPRODUCT((CÁLCULO!$M$15:$M$240=EVENTOS!$C54)*(OFFSET(CÁLCULO!$AA$15:$AA$240,0,Y$13))),2),0)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IF(AUTOEVENTO="Manual",ROUND(SUMPRODUCT((CÁLCULO!$M$15:$M$240=EVENTOS!$C55)*(OFFSET(CÁLCULO!$AA$15:$AA$240,0,E$13))),2),0)</f>
        <v>0</v>
      </c>
      <c r="F55" s="183">
        <f ca="1">IF(AUTOEVENTO="Manual",ROUND(SUMPRODUCT((CÁLCULO!$M$15:$M$240=EVENTOS!$C55)*(OFFSET(CÁLCULO!$AA$15,0,1):OFFSET(CÁLCULO!$AL$240,0,-1))),2),0)</f>
        <v>0</v>
      </c>
      <c r="G55" s="621" t="str">
        <f t="shared" ca="1" si="6"/>
        <v/>
      </c>
      <c r="H55" s="620" cm="1">
        <f t="array" aca="1" ref="H55" ca="1">IF(AUTOEVENTO="Manual",ROUND(SUMPRODUCT((CÁLCULO!$M$15:$M$240=EVENTOS!$C55)*(OFFSET(CÁLCULO!$AA$15:$AA$240,0,H$13))),2),0)</f>
        <v>0</v>
      </c>
      <c r="I55" s="620" cm="1">
        <f t="array" aca="1" ref="I55" ca="1">IF(AUTOEVENTO="Manual",ROUND(SUMPRODUCT((CÁLCULO!$M$15:$M$240=EVENTOS!$C55)*(OFFSET(CÁLCULO!$AA$15:$AA$240,0,I$13))),2),0)</f>
        <v>0</v>
      </c>
      <c r="J55" s="620" cm="1">
        <f t="array" aca="1" ref="J55" ca="1">IF(AUTOEVENTO="Manual",ROUND(SUMPRODUCT((CÁLCULO!$M$15:$M$240=EVENTOS!$C55)*(OFFSET(CÁLCULO!$AA$15:$AA$240,0,J$13))),2),0)</f>
        <v>0</v>
      </c>
      <c r="K55" s="620" cm="1">
        <f t="array" aca="1" ref="K55" ca="1">IF(AUTOEVENTO="Manual",ROUND(SUMPRODUCT((CÁLCULO!$M$15:$M$240=EVENTOS!$C55)*(OFFSET(CÁLCULO!$AA$15:$AA$240,0,K$13))),2),0)</f>
        <v>0</v>
      </c>
      <c r="L55" s="620" cm="1">
        <f t="array" aca="1" ref="L55" ca="1">IF(AUTOEVENTO="Manual",ROUND(SUMPRODUCT((CÁLCULO!$M$15:$M$240=EVENTOS!$C55)*(OFFSET(CÁLCULO!$AA$15:$AA$240,0,L$13))),2),0)</f>
        <v>0</v>
      </c>
      <c r="M55" s="620" cm="1">
        <f t="array" aca="1" ref="M55" ca="1">IF(AUTOEVENTO="Manual",ROUND(SUMPRODUCT((CÁLCULO!$M$15:$M$240=EVENTOS!$C55)*(OFFSET(CÁLCULO!$AA$15:$AA$240,0,M$13))),2),0)</f>
        <v>0</v>
      </c>
      <c r="N55" s="620" cm="1">
        <f t="array" aca="1" ref="N55" ca="1">IF(AUTOEVENTO="Manual",ROUND(SUMPRODUCT((CÁLCULO!$M$15:$M$240=EVENTOS!$C55)*(OFFSET(CÁLCULO!$AA$15:$AA$240,0,N$13))),2),0)</f>
        <v>0</v>
      </c>
      <c r="O55" s="620" cm="1">
        <f t="array" aca="1" ref="O55" ca="1">IF(AUTOEVENTO="Manual",ROUND(SUMPRODUCT((CÁLCULO!$M$15:$M$240=EVENTOS!$C55)*(OFFSET(CÁLCULO!$AA$15:$AA$240,0,O$13))),2),0)</f>
        <v>0</v>
      </c>
      <c r="P55" s="620" cm="1">
        <f t="array" aca="1" ref="P55" ca="1">IF(AUTOEVENTO="Manual",ROUND(SUMPRODUCT((CÁLCULO!$M$15:$M$240=EVENTOS!$C55)*(OFFSET(CÁLCULO!$AA$15:$AA$240,0,P$13))),2),0)</f>
        <v>0</v>
      </c>
      <c r="Q55" s="620" cm="1">
        <f t="array" aca="1" ref="Q55" ca="1">IF(AUTOEVENTO="Manual",ROUND(SUMPRODUCT((CÁLCULO!$M$15:$M$240=EVENTOS!$C55)*(OFFSET(CÁLCULO!$AA$15:$AA$240,0,Q$13))),2),0)</f>
        <v>0</v>
      </c>
      <c r="R55" s="620" cm="1">
        <f t="array" aca="1" ref="R55" ca="1">IF(AUTOEVENTO="Manual",ROUND(SUMPRODUCT((CÁLCULO!$M$15:$M$240=EVENTOS!$C55)*(OFFSET(CÁLCULO!$AA$15:$AA$240,0,R$13))),2),0)</f>
        <v>0</v>
      </c>
      <c r="S55" s="620" cm="1">
        <f t="array" aca="1" ref="S55" ca="1">IF(AUTOEVENTO="Manual",ROUND(SUMPRODUCT((CÁLCULO!$M$15:$M$240=EVENTOS!$C55)*(OFFSET(CÁLCULO!$AA$15:$AA$240,0,S$13))),2),0)</f>
        <v>0</v>
      </c>
      <c r="T55" s="620" cm="1">
        <f t="array" aca="1" ref="T55" ca="1">IF(AUTOEVENTO="Manual",ROUND(SUMPRODUCT((CÁLCULO!$M$15:$M$240=EVENTOS!$C55)*(OFFSET(CÁLCULO!$AA$15:$AA$240,0,T$13))),2),0)</f>
        <v>0</v>
      </c>
      <c r="U55" s="620" cm="1">
        <f t="array" aca="1" ref="U55" ca="1">IF(AUTOEVENTO="Manual",ROUND(SUMPRODUCT((CÁLCULO!$M$15:$M$240=EVENTOS!$C55)*(OFFSET(CÁLCULO!$AA$15:$AA$240,0,U$13))),2),0)</f>
        <v>0</v>
      </c>
      <c r="V55" s="620" cm="1">
        <f t="array" aca="1" ref="V55" ca="1">IF(AUTOEVENTO="Manual",ROUND(SUMPRODUCT((CÁLCULO!$M$15:$M$240=EVENTOS!$C55)*(OFFSET(CÁLCULO!$AA$15:$AA$240,0,V$13))),2),0)</f>
        <v>0</v>
      </c>
      <c r="W55" s="620" cm="1">
        <f t="array" aca="1" ref="W55" ca="1">IF(AUTOEVENTO="Manual",ROUND(SUMPRODUCT((CÁLCULO!$M$15:$M$240=EVENTOS!$C55)*(OFFSET(CÁLCULO!$AA$15:$AA$240,0,W$13))),2),0)</f>
        <v>0</v>
      </c>
      <c r="X55" s="620" cm="1">
        <f t="array" aca="1" ref="X55" ca="1">IF(AUTOEVENTO="Manual",ROUND(SUMPRODUCT((CÁLCULO!$M$15:$M$240=EVENTOS!$C55)*(OFFSET(CÁLCULO!$AA$15:$AA$240,0,X$13))),2),0)</f>
        <v>0</v>
      </c>
      <c r="Y55" s="620" cm="1">
        <f t="array" aca="1" ref="Y55" ca="1">IF(AUTOEVENTO="Manual",ROUND(SUMPRODUCT((CÁLCULO!$M$15:$M$240=EVENTOS!$C55)*(OFFSET(CÁLCULO!$AA$15:$AA$240,0,Y$13))),2),0)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IF(AUTOEVENTO="Manual",ROUND(SUMPRODUCT((CÁLCULO!$M$15:$M$240=EVENTOS!$C56)*(OFFSET(CÁLCULO!$AA$15:$AA$240,0,E$13))),2),0)</f>
        <v>0</v>
      </c>
      <c r="F56" s="183">
        <f ca="1">IF(AUTOEVENTO="Manual",ROUND(SUMPRODUCT((CÁLCULO!$M$15:$M$240=EVENTOS!$C56)*(OFFSET(CÁLCULO!$AA$15,0,1):OFFSET(CÁLCULO!$AL$240,0,-1))),2),0)</f>
        <v>0</v>
      </c>
      <c r="G56" s="621" t="str">
        <f t="shared" ca="1" si="6"/>
        <v/>
      </c>
      <c r="H56" s="620" cm="1">
        <f t="array" aca="1" ref="H56" ca="1">IF(AUTOEVENTO="Manual",ROUND(SUMPRODUCT((CÁLCULO!$M$15:$M$240=EVENTOS!$C56)*(OFFSET(CÁLCULO!$AA$15:$AA$240,0,H$13))),2),0)</f>
        <v>0</v>
      </c>
      <c r="I56" s="620" cm="1">
        <f t="array" aca="1" ref="I56" ca="1">IF(AUTOEVENTO="Manual",ROUND(SUMPRODUCT((CÁLCULO!$M$15:$M$240=EVENTOS!$C56)*(OFFSET(CÁLCULO!$AA$15:$AA$240,0,I$13))),2),0)</f>
        <v>0</v>
      </c>
      <c r="J56" s="620" cm="1">
        <f t="array" aca="1" ref="J56" ca="1">IF(AUTOEVENTO="Manual",ROUND(SUMPRODUCT((CÁLCULO!$M$15:$M$240=EVENTOS!$C56)*(OFFSET(CÁLCULO!$AA$15:$AA$240,0,J$13))),2),0)</f>
        <v>0</v>
      </c>
      <c r="K56" s="620" cm="1">
        <f t="array" aca="1" ref="K56" ca="1">IF(AUTOEVENTO="Manual",ROUND(SUMPRODUCT((CÁLCULO!$M$15:$M$240=EVENTOS!$C56)*(OFFSET(CÁLCULO!$AA$15:$AA$240,0,K$13))),2),0)</f>
        <v>0</v>
      </c>
      <c r="L56" s="620" cm="1">
        <f t="array" aca="1" ref="L56" ca="1">IF(AUTOEVENTO="Manual",ROUND(SUMPRODUCT((CÁLCULO!$M$15:$M$240=EVENTOS!$C56)*(OFFSET(CÁLCULO!$AA$15:$AA$240,0,L$13))),2),0)</f>
        <v>0</v>
      </c>
      <c r="M56" s="620" cm="1">
        <f t="array" aca="1" ref="M56" ca="1">IF(AUTOEVENTO="Manual",ROUND(SUMPRODUCT((CÁLCULO!$M$15:$M$240=EVENTOS!$C56)*(OFFSET(CÁLCULO!$AA$15:$AA$240,0,M$13))),2),0)</f>
        <v>0</v>
      </c>
      <c r="N56" s="620" cm="1">
        <f t="array" aca="1" ref="N56" ca="1">IF(AUTOEVENTO="Manual",ROUND(SUMPRODUCT((CÁLCULO!$M$15:$M$240=EVENTOS!$C56)*(OFFSET(CÁLCULO!$AA$15:$AA$240,0,N$13))),2),0)</f>
        <v>0</v>
      </c>
      <c r="O56" s="620" cm="1">
        <f t="array" aca="1" ref="O56" ca="1">IF(AUTOEVENTO="Manual",ROUND(SUMPRODUCT((CÁLCULO!$M$15:$M$240=EVENTOS!$C56)*(OFFSET(CÁLCULO!$AA$15:$AA$240,0,O$13))),2),0)</f>
        <v>0</v>
      </c>
      <c r="P56" s="620" cm="1">
        <f t="array" aca="1" ref="P56" ca="1">IF(AUTOEVENTO="Manual",ROUND(SUMPRODUCT((CÁLCULO!$M$15:$M$240=EVENTOS!$C56)*(OFFSET(CÁLCULO!$AA$15:$AA$240,0,P$13))),2),0)</f>
        <v>0</v>
      </c>
      <c r="Q56" s="620" cm="1">
        <f t="array" aca="1" ref="Q56" ca="1">IF(AUTOEVENTO="Manual",ROUND(SUMPRODUCT((CÁLCULO!$M$15:$M$240=EVENTOS!$C56)*(OFFSET(CÁLCULO!$AA$15:$AA$240,0,Q$13))),2),0)</f>
        <v>0</v>
      </c>
      <c r="R56" s="620" cm="1">
        <f t="array" aca="1" ref="R56" ca="1">IF(AUTOEVENTO="Manual",ROUND(SUMPRODUCT((CÁLCULO!$M$15:$M$240=EVENTOS!$C56)*(OFFSET(CÁLCULO!$AA$15:$AA$240,0,R$13))),2),0)</f>
        <v>0</v>
      </c>
      <c r="S56" s="620" cm="1">
        <f t="array" aca="1" ref="S56" ca="1">IF(AUTOEVENTO="Manual",ROUND(SUMPRODUCT((CÁLCULO!$M$15:$M$240=EVENTOS!$C56)*(OFFSET(CÁLCULO!$AA$15:$AA$240,0,S$13))),2),0)</f>
        <v>0</v>
      </c>
      <c r="T56" s="620" cm="1">
        <f t="array" aca="1" ref="T56" ca="1">IF(AUTOEVENTO="Manual",ROUND(SUMPRODUCT((CÁLCULO!$M$15:$M$240=EVENTOS!$C56)*(OFFSET(CÁLCULO!$AA$15:$AA$240,0,T$13))),2),0)</f>
        <v>0</v>
      </c>
      <c r="U56" s="620" cm="1">
        <f t="array" aca="1" ref="U56" ca="1">IF(AUTOEVENTO="Manual",ROUND(SUMPRODUCT((CÁLCULO!$M$15:$M$240=EVENTOS!$C56)*(OFFSET(CÁLCULO!$AA$15:$AA$240,0,U$13))),2),0)</f>
        <v>0</v>
      </c>
      <c r="V56" s="620" cm="1">
        <f t="array" aca="1" ref="V56" ca="1">IF(AUTOEVENTO="Manual",ROUND(SUMPRODUCT((CÁLCULO!$M$15:$M$240=EVENTOS!$C56)*(OFFSET(CÁLCULO!$AA$15:$AA$240,0,V$13))),2),0)</f>
        <v>0</v>
      </c>
      <c r="W56" s="620" cm="1">
        <f t="array" aca="1" ref="W56" ca="1">IF(AUTOEVENTO="Manual",ROUND(SUMPRODUCT((CÁLCULO!$M$15:$M$240=EVENTOS!$C56)*(OFFSET(CÁLCULO!$AA$15:$AA$240,0,W$13))),2),0)</f>
        <v>0</v>
      </c>
      <c r="X56" s="620" cm="1">
        <f t="array" aca="1" ref="X56" ca="1">IF(AUTOEVENTO="Manual",ROUND(SUMPRODUCT((CÁLCULO!$M$15:$M$240=EVENTOS!$C56)*(OFFSET(CÁLCULO!$AA$15:$AA$240,0,X$13))),2),0)</f>
        <v>0</v>
      </c>
      <c r="Y56" s="620" cm="1">
        <f t="array" aca="1" ref="Y56" ca="1">IF(AUTOEVENTO="Manual",ROUND(SUMPRODUCT((CÁLCULO!$M$15:$M$240=EVENTOS!$C56)*(OFFSET(CÁLCULO!$AA$15:$AA$240,0,Y$13))),2),0)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IF(AUTOEVENTO="Manual",ROUND(SUMPRODUCT((CÁLCULO!$M$15:$M$240=EVENTOS!$C57)*(OFFSET(CÁLCULO!$AA$15:$AA$240,0,E$13))),2),0)</f>
        <v>0</v>
      </c>
      <c r="F57" s="183">
        <f ca="1">IF(AUTOEVENTO="Manual",ROUND(SUMPRODUCT((CÁLCULO!$M$15:$M$240=EVENTOS!$C57)*(OFFSET(CÁLCULO!$AA$15,0,1):OFFSET(CÁLCULO!$AL$240,0,-1))),2),0)</f>
        <v>0</v>
      </c>
      <c r="G57" s="621" t="str">
        <f t="shared" ca="1" si="6"/>
        <v/>
      </c>
      <c r="H57" s="620" cm="1">
        <f t="array" aca="1" ref="H57" ca="1">IF(AUTOEVENTO="Manual",ROUND(SUMPRODUCT((CÁLCULO!$M$15:$M$240=EVENTOS!$C57)*(OFFSET(CÁLCULO!$AA$15:$AA$240,0,H$13))),2),0)</f>
        <v>0</v>
      </c>
      <c r="I57" s="620" cm="1">
        <f t="array" aca="1" ref="I57" ca="1">IF(AUTOEVENTO="Manual",ROUND(SUMPRODUCT((CÁLCULO!$M$15:$M$240=EVENTOS!$C57)*(OFFSET(CÁLCULO!$AA$15:$AA$240,0,I$13))),2),0)</f>
        <v>0</v>
      </c>
      <c r="J57" s="620" cm="1">
        <f t="array" aca="1" ref="J57" ca="1">IF(AUTOEVENTO="Manual",ROUND(SUMPRODUCT((CÁLCULO!$M$15:$M$240=EVENTOS!$C57)*(OFFSET(CÁLCULO!$AA$15:$AA$240,0,J$13))),2),0)</f>
        <v>0</v>
      </c>
      <c r="K57" s="620" cm="1">
        <f t="array" aca="1" ref="K57" ca="1">IF(AUTOEVENTO="Manual",ROUND(SUMPRODUCT((CÁLCULO!$M$15:$M$240=EVENTOS!$C57)*(OFFSET(CÁLCULO!$AA$15:$AA$240,0,K$13))),2),0)</f>
        <v>0</v>
      </c>
      <c r="L57" s="620" cm="1">
        <f t="array" aca="1" ref="L57" ca="1">IF(AUTOEVENTO="Manual",ROUND(SUMPRODUCT((CÁLCULO!$M$15:$M$240=EVENTOS!$C57)*(OFFSET(CÁLCULO!$AA$15:$AA$240,0,L$13))),2),0)</f>
        <v>0</v>
      </c>
      <c r="M57" s="620" cm="1">
        <f t="array" aca="1" ref="M57" ca="1">IF(AUTOEVENTO="Manual",ROUND(SUMPRODUCT((CÁLCULO!$M$15:$M$240=EVENTOS!$C57)*(OFFSET(CÁLCULO!$AA$15:$AA$240,0,M$13))),2),0)</f>
        <v>0</v>
      </c>
      <c r="N57" s="620" cm="1">
        <f t="array" aca="1" ref="N57" ca="1">IF(AUTOEVENTO="Manual",ROUND(SUMPRODUCT((CÁLCULO!$M$15:$M$240=EVENTOS!$C57)*(OFFSET(CÁLCULO!$AA$15:$AA$240,0,N$13))),2),0)</f>
        <v>0</v>
      </c>
      <c r="O57" s="620" cm="1">
        <f t="array" aca="1" ref="O57" ca="1">IF(AUTOEVENTO="Manual",ROUND(SUMPRODUCT((CÁLCULO!$M$15:$M$240=EVENTOS!$C57)*(OFFSET(CÁLCULO!$AA$15:$AA$240,0,O$13))),2),0)</f>
        <v>0</v>
      </c>
      <c r="P57" s="620" cm="1">
        <f t="array" aca="1" ref="P57" ca="1">IF(AUTOEVENTO="Manual",ROUND(SUMPRODUCT((CÁLCULO!$M$15:$M$240=EVENTOS!$C57)*(OFFSET(CÁLCULO!$AA$15:$AA$240,0,P$13))),2),0)</f>
        <v>0</v>
      </c>
      <c r="Q57" s="620" cm="1">
        <f t="array" aca="1" ref="Q57" ca="1">IF(AUTOEVENTO="Manual",ROUND(SUMPRODUCT((CÁLCULO!$M$15:$M$240=EVENTOS!$C57)*(OFFSET(CÁLCULO!$AA$15:$AA$240,0,Q$13))),2),0)</f>
        <v>0</v>
      </c>
      <c r="R57" s="620" cm="1">
        <f t="array" aca="1" ref="R57" ca="1">IF(AUTOEVENTO="Manual",ROUND(SUMPRODUCT((CÁLCULO!$M$15:$M$240=EVENTOS!$C57)*(OFFSET(CÁLCULO!$AA$15:$AA$240,0,R$13))),2),0)</f>
        <v>0</v>
      </c>
      <c r="S57" s="620" cm="1">
        <f t="array" aca="1" ref="S57" ca="1">IF(AUTOEVENTO="Manual",ROUND(SUMPRODUCT((CÁLCULO!$M$15:$M$240=EVENTOS!$C57)*(OFFSET(CÁLCULO!$AA$15:$AA$240,0,S$13))),2),0)</f>
        <v>0</v>
      </c>
      <c r="T57" s="620" cm="1">
        <f t="array" aca="1" ref="T57" ca="1">IF(AUTOEVENTO="Manual",ROUND(SUMPRODUCT((CÁLCULO!$M$15:$M$240=EVENTOS!$C57)*(OFFSET(CÁLCULO!$AA$15:$AA$240,0,T$13))),2),0)</f>
        <v>0</v>
      </c>
      <c r="U57" s="620" cm="1">
        <f t="array" aca="1" ref="U57" ca="1">IF(AUTOEVENTO="Manual",ROUND(SUMPRODUCT((CÁLCULO!$M$15:$M$240=EVENTOS!$C57)*(OFFSET(CÁLCULO!$AA$15:$AA$240,0,U$13))),2),0)</f>
        <v>0</v>
      </c>
      <c r="V57" s="620" cm="1">
        <f t="array" aca="1" ref="V57" ca="1">IF(AUTOEVENTO="Manual",ROUND(SUMPRODUCT((CÁLCULO!$M$15:$M$240=EVENTOS!$C57)*(OFFSET(CÁLCULO!$AA$15:$AA$240,0,V$13))),2),0)</f>
        <v>0</v>
      </c>
      <c r="W57" s="620" cm="1">
        <f t="array" aca="1" ref="W57" ca="1">IF(AUTOEVENTO="Manual",ROUND(SUMPRODUCT((CÁLCULO!$M$15:$M$240=EVENTOS!$C57)*(OFFSET(CÁLCULO!$AA$15:$AA$240,0,W$13))),2),0)</f>
        <v>0</v>
      </c>
      <c r="X57" s="620" cm="1">
        <f t="array" aca="1" ref="X57" ca="1">IF(AUTOEVENTO="Manual",ROUND(SUMPRODUCT((CÁLCULO!$M$15:$M$240=EVENTOS!$C57)*(OFFSET(CÁLCULO!$AA$15:$AA$240,0,X$13))),2),0)</f>
        <v>0</v>
      </c>
      <c r="Y57" s="620" cm="1">
        <f t="array" aca="1" ref="Y57" ca="1">IF(AUTOEVENTO="Manual",ROUND(SUMPRODUCT((CÁLCULO!$M$15:$M$240=EVENTOS!$C57)*(OFFSET(CÁLCULO!$AA$15:$AA$240,0,Y$13))),2),0)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IF(AUTOEVENTO="Manual",ROUND(SUMPRODUCT((CÁLCULO!$M$15:$M$240=EVENTOS!$C58)*(OFFSET(CÁLCULO!$AA$15:$AA$240,0,E$13))),2),0)</f>
        <v>0</v>
      </c>
      <c r="F58" s="183">
        <f ca="1">IF(AUTOEVENTO="Manual",ROUND(SUMPRODUCT((CÁLCULO!$M$15:$M$240=EVENTOS!$C58)*(OFFSET(CÁLCULO!$AA$15,0,1):OFFSET(CÁLCULO!$AL$240,0,-1))),2),0)</f>
        <v>0</v>
      </c>
      <c r="G58" s="621" t="str">
        <f t="shared" ca="1" si="6"/>
        <v/>
      </c>
      <c r="H58" s="620" cm="1">
        <f t="array" aca="1" ref="H58" ca="1">IF(AUTOEVENTO="Manual",ROUND(SUMPRODUCT((CÁLCULO!$M$15:$M$240=EVENTOS!$C58)*(OFFSET(CÁLCULO!$AA$15:$AA$240,0,H$13))),2),0)</f>
        <v>0</v>
      </c>
      <c r="I58" s="620" cm="1">
        <f t="array" aca="1" ref="I58" ca="1">IF(AUTOEVENTO="Manual",ROUND(SUMPRODUCT((CÁLCULO!$M$15:$M$240=EVENTOS!$C58)*(OFFSET(CÁLCULO!$AA$15:$AA$240,0,I$13))),2),0)</f>
        <v>0</v>
      </c>
      <c r="J58" s="620" cm="1">
        <f t="array" aca="1" ref="J58" ca="1">IF(AUTOEVENTO="Manual",ROUND(SUMPRODUCT((CÁLCULO!$M$15:$M$240=EVENTOS!$C58)*(OFFSET(CÁLCULO!$AA$15:$AA$240,0,J$13))),2),0)</f>
        <v>0</v>
      </c>
      <c r="K58" s="620" cm="1">
        <f t="array" aca="1" ref="K58" ca="1">IF(AUTOEVENTO="Manual",ROUND(SUMPRODUCT((CÁLCULO!$M$15:$M$240=EVENTOS!$C58)*(OFFSET(CÁLCULO!$AA$15:$AA$240,0,K$13))),2),0)</f>
        <v>0</v>
      </c>
      <c r="L58" s="620" cm="1">
        <f t="array" aca="1" ref="L58" ca="1">IF(AUTOEVENTO="Manual",ROUND(SUMPRODUCT((CÁLCULO!$M$15:$M$240=EVENTOS!$C58)*(OFFSET(CÁLCULO!$AA$15:$AA$240,0,L$13))),2),0)</f>
        <v>0</v>
      </c>
      <c r="M58" s="620" cm="1">
        <f t="array" aca="1" ref="M58" ca="1">IF(AUTOEVENTO="Manual",ROUND(SUMPRODUCT((CÁLCULO!$M$15:$M$240=EVENTOS!$C58)*(OFFSET(CÁLCULO!$AA$15:$AA$240,0,M$13))),2),0)</f>
        <v>0</v>
      </c>
      <c r="N58" s="620" cm="1">
        <f t="array" aca="1" ref="N58" ca="1">IF(AUTOEVENTO="Manual",ROUND(SUMPRODUCT((CÁLCULO!$M$15:$M$240=EVENTOS!$C58)*(OFFSET(CÁLCULO!$AA$15:$AA$240,0,N$13))),2),0)</f>
        <v>0</v>
      </c>
      <c r="O58" s="620" cm="1">
        <f t="array" aca="1" ref="O58" ca="1">IF(AUTOEVENTO="Manual",ROUND(SUMPRODUCT((CÁLCULO!$M$15:$M$240=EVENTOS!$C58)*(OFFSET(CÁLCULO!$AA$15:$AA$240,0,O$13))),2),0)</f>
        <v>0</v>
      </c>
      <c r="P58" s="620" cm="1">
        <f t="array" aca="1" ref="P58" ca="1">IF(AUTOEVENTO="Manual",ROUND(SUMPRODUCT((CÁLCULO!$M$15:$M$240=EVENTOS!$C58)*(OFFSET(CÁLCULO!$AA$15:$AA$240,0,P$13))),2),0)</f>
        <v>0</v>
      </c>
      <c r="Q58" s="620" cm="1">
        <f t="array" aca="1" ref="Q58" ca="1">IF(AUTOEVENTO="Manual",ROUND(SUMPRODUCT((CÁLCULO!$M$15:$M$240=EVENTOS!$C58)*(OFFSET(CÁLCULO!$AA$15:$AA$240,0,Q$13))),2),0)</f>
        <v>0</v>
      </c>
      <c r="R58" s="620" cm="1">
        <f t="array" aca="1" ref="R58" ca="1">IF(AUTOEVENTO="Manual",ROUND(SUMPRODUCT((CÁLCULO!$M$15:$M$240=EVENTOS!$C58)*(OFFSET(CÁLCULO!$AA$15:$AA$240,0,R$13))),2),0)</f>
        <v>0</v>
      </c>
      <c r="S58" s="620" cm="1">
        <f t="array" aca="1" ref="S58" ca="1">IF(AUTOEVENTO="Manual",ROUND(SUMPRODUCT((CÁLCULO!$M$15:$M$240=EVENTOS!$C58)*(OFFSET(CÁLCULO!$AA$15:$AA$240,0,S$13))),2),0)</f>
        <v>0</v>
      </c>
      <c r="T58" s="620" cm="1">
        <f t="array" aca="1" ref="T58" ca="1">IF(AUTOEVENTO="Manual",ROUND(SUMPRODUCT((CÁLCULO!$M$15:$M$240=EVENTOS!$C58)*(OFFSET(CÁLCULO!$AA$15:$AA$240,0,T$13))),2),0)</f>
        <v>0</v>
      </c>
      <c r="U58" s="620" cm="1">
        <f t="array" aca="1" ref="U58" ca="1">IF(AUTOEVENTO="Manual",ROUND(SUMPRODUCT((CÁLCULO!$M$15:$M$240=EVENTOS!$C58)*(OFFSET(CÁLCULO!$AA$15:$AA$240,0,U$13))),2),0)</f>
        <v>0</v>
      </c>
      <c r="V58" s="620" cm="1">
        <f t="array" aca="1" ref="V58" ca="1">IF(AUTOEVENTO="Manual",ROUND(SUMPRODUCT((CÁLCULO!$M$15:$M$240=EVENTOS!$C58)*(OFFSET(CÁLCULO!$AA$15:$AA$240,0,V$13))),2),0)</f>
        <v>0</v>
      </c>
      <c r="W58" s="620" cm="1">
        <f t="array" aca="1" ref="W58" ca="1">IF(AUTOEVENTO="Manual",ROUND(SUMPRODUCT((CÁLCULO!$M$15:$M$240=EVENTOS!$C58)*(OFFSET(CÁLCULO!$AA$15:$AA$240,0,W$13))),2),0)</f>
        <v>0</v>
      </c>
      <c r="X58" s="620" cm="1">
        <f t="array" aca="1" ref="X58" ca="1">IF(AUTOEVENTO="Manual",ROUND(SUMPRODUCT((CÁLCULO!$M$15:$M$240=EVENTOS!$C58)*(OFFSET(CÁLCULO!$AA$15:$AA$240,0,X$13))),2),0)</f>
        <v>0</v>
      </c>
      <c r="Y58" s="620" cm="1">
        <f t="array" aca="1" ref="Y58" ca="1">IF(AUTOEVENTO="Manual",ROUND(SUMPRODUCT((CÁLCULO!$M$15:$M$240=EVENTOS!$C58)*(OFFSET(CÁLCULO!$AA$15:$AA$240,0,Y$13))),2),0)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IF(AUTOEVENTO="Manual",ROUND(SUMPRODUCT((CÁLCULO!$M$15:$M$240=EVENTOS!$C59)*(OFFSET(CÁLCULO!$AA$15:$AA$240,0,E$13))),2),0)</f>
        <v>0</v>
      </c>
      <c r="F59" s="183">
        <f ca="1">IF(AUTOEVENTO="Manual",ROUND(SUMPRODUCT((CÁLCULO!$M$15:$M$240=EVENTOS!$C59)*(OFFSET(CÁLCULO!$AA$15,0,1):OFFSET(CÁLCULO!$AL$240,0,-1))),2),0)</f>
        <v>0</v>
      </c>
      <c r="G59" s="621" t="str">
        <f t="shared" ca="1" si="6"/>
        <v/>
      </c>
      <c r="H59" s="620" cm="1">
        <f t="array" aca="1" ref="H59" ca="1">IF(AUTOEVENTO="Manual",ROUND(SUMPRODUCT((CÁLCULO!$M$15:$M$240=EVENTOS!$C59)*(OFFSET(CÁLCULO!$AA$15:$AA$240,0,H$13))),2),0)</f>
        <v>0</v>
      </c>
      <c r="I59" s="620" cm="1">
        <f t="array" aca="1" ref="I59" ca="1">IF(AUTOEVENTO="Manual",ROUND(SUMPRODUCT((CÁLCULO!$M$15:$M$240=EVENTOS!$C59)*(OFFSET(CÁLCULO!$AA$15:$AA$240,0,I$13))),2),0)</f>
        <v>0</v>
      </c>
      <c r="J59" s="620" cm="1">
        <f t="array" aca="1" ref="J59" ca="1">IF(AUTOEVENTO="Manual",ROUND(SUMPRODUCT((CÁLCULO!$M$15:$M$240=EVENTOS!$C59)*(OFFSET(CÁLCULO!$AA$15:$AA$240,0,J$13))),2),0)</f>
        <v>0</v>
      </c>
      <c r="K59" s="620" cm="1">
        <f t="array" aca="1" ref="K59" ca="1">IF(AUTOEVENTO="Manual",ROUND(SUMPRODUCT((CÁLCULO!$M$15:$M$240=EVENTOS!$C59)*(OFFSET(CÁLCULO!$AA$15:$AA$240,0,K$13))),2),0)</f>
        <v>0</v>
      </c>
      <c r="L59" s="620" cm="1">
        <f t="array" aca="1" ref="L59" ca="1">IF(AUTOEVENTO="Manual",ROUND(SUMPRODUCT((CÁLCULO!$M$15:$M$240=EVENTOS!$C59)*(OFFSET(CÁLCULO!$AA$15:$AA$240,0,L$13))),2),0)</f>
        <v>0</v>
      </c>
      <c r="M59" s="620" cm="1">
        <f t="array" aca="1" ref="M59" ca="1">IF(AUTOEVENTO="Manual",ROUND(SUMPRODUCT((CÁLCULO!$M$15:$M$240=EVENTOS!$C59)*(OFFSET(CÁLCULO!$AA$15:$AA$240,0,M$13))),2),0)</f>
        <v>0</v>
      </c>
      <c r="N59" s="620" cm="1">
        <f t="array" aca="1" ref="N59" ca="1">IF(AUTOEVENTO="Manual",ROUND(SUMPRODUCT((CÁLCULO!$M$15:$M$240=EVENTOS!$C59)*(OFFSET(CÁLCULO!$AA$15:$AA$240,0,N$13))),2),0)</f>
        <v>0</v>
      </c>
      <c r="O59" s="620" cm="1">
        <f t="array" aca="1" ref="O59" ca="1">IF(AUTOEVENTO="Manual",ROUND(SUMPRODUCT((CÁLCULO!$M$15:$M$240=EVENTOS!$C59)*(OFFSET(CÁLCULO!$AA$15:$AA$240,0,O$13))),2),0)</f>
        <v>0</v>
      </c>
      <c r="P59" s="620" cm="1">
        <f t="array" aca="1" ref="P59" ca="1">IF(AUTOEVENTO="Manual",ROUND(SUMPRODUCT((CÁLCULO!$M$15:$M$240=EVENTOS!$C59)*(OFFSET(CÁLCULO!$AA$15:$AA$240,0,P$13))),2),0)</f>
        <v>0</v>
      </c>
      <c r="Q59" s="620" cm="1">
        <f t="array" aca="1" ref="Q59" ca="1">IF(AUTOEVENTO="Manual",ROUND(SUMPRODUCT((CÁLCULO!$M$15:$M$240=EVENTOS!$C59)*(OFFSET(CÁLCULO!$AA$15:$AA$240,0,Q$13))),2),0)</f>
        <v>0</v>
      </c>
      <c r="R59" s="620" cm="1">
        <f t="array" aca="1" ref="R59" ca="1">IF(AUTOEVENTO="Manual",ROUND(SUMPRODUCT((CÁLCULO!$M$15:$M$240=EVENTOS!$C59)*(OFFSET(CÁLCULO!$AA$15:$AA$240,0,R$13))),2),0)</f>
        <v>0</v>
      </c>
      <c r="S59" s="620" cm="1">
        <f t="array" aca="1" ref="S59" ca="1">IF(AUTOEVENTO="Manual",ROUND(SUMPRODUCT((CÁLCULO!$M$15:$M$240=EVENTOS!$C59)*(OFFSET(CÁLCULO!$AA$15:$AA$240,0,S$13))),2),0)</f>
        <v>0</v>
      </c>
      <c r="T59" s="620" cm="1">
        <f t="array" aca="1" ref="T59" ca="1">IF(AUTOEVENTO="Manual",ROUND(SUMPRODUCT((CÁLCULO!$M$15:$M$240=EVENTOS!$C59)*(OFFSET(CÁLCULO!$AA$15:$AA$240,0,T$13))),2),0)</f>
        <v>0</v>
      </c>
      <c r="U59" s="620" cm="1">
        <f t="array" aca="1" ref="U59" ca="1">IF(AUTOEVENTO="Manual",ROUND(SUMPRODUCT((CÁLCULO!$M$15:$M$240=EVENTOS!$C59)*(OFFSET(CÁLCULO!$AA$15:$AA$240,0,U$13))),2),0)</f>
        <v>0</v>
      </c>
      <c r="V59" s="620" cm="1">
        <f t="array" aca="1" ref="V59" ca="1">IF(AUTOEVENTO="Manual",ROUND(SUMPRODUCT((CÁLCULO!$M$15:$M$240=EVENTOS!$C59)*(OFFSET(CÁLCULO!$AA$15:$AA$240,0,V$13))),2),0)</f>
        <v>0</v>
      </c>
      <c r="W59" s="620" cm="1">
        <f t="array" aca="1" ref="W59" ca="1">IF(AUTOEVENTO="Manual",ROUND(SUMPRODUCT((CÁLCULO!$M$15:$M$240=EVENTOS!$C59)*(OFFSET(CÁLCULO!$AA$15:$AA$240,0,W$13))),2),0)</f>
        <v>0</v>
      </c>
      <c r="X59" s="620" cm="1">
        <f t="array" aca="1" ref="X59" ca="1">IF(AUTOEVENTO="Manual",ROUND(SUMPRODUCT((CÁLCULO!$M$15:$M$240=EVENTOS!$C59)*(OFFSET(CÁLCULO!$AA$15:$AA$240,0,X$13))),2),0)</f>
        <v>0</v>
      </c>
      <c r="Y59" s="620" cm="1">
        <f t="array" aca="1" ref="Y59" ca="1">IF(AUTOEVENTO="Manual",ROUND(SUMPRODUCT((CÁLCULO!$M$15:$M$240=EVENTOS!$C59)*(OFFSET(CÁLCULO!$AA$15:$AA$240,0,Y$13))),2),0)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IF(AUTOEVENTO="Manual",ROUND(SUMPRODUCT((CÁLCULO!$M$15:$M$240=EVENTOS!$C60)*(OFFSET(CÁLCULO!$AA$15:$AA$240,0,E$13))),2),0)</f>
        <v>0</v>
      </c>
      <c r="F60" s="183">
        <f ca="1">IF(AUTOEVENTO="Manual",ROUND(SUMPRODUCT((CÁLCULO!$M$15:$M$240=EVENTOS!$C60)*(OFFSET(CÁLCULO!$AA$15,0,1):OFFSET(CÁLCULO!$AL$240,0,-1))),2),0)</f>
        <v>0</v>
      </c>
      <c r="G60" s="621" t="str">
        <f t="shared" ca="1" si="6"/>
        <v/>
      </c>
      <c r="H60" s="620" cm="1">
        <f t="array" aca="1" ref="H60" ca="1">IF(AUTOEVENTO="Manual",ROUND(SUMPRODUCT((CÁLCULO!$M$15:$M$240=EVENTOS!$C60)*(OFFSET(CÁLCULO!$AA$15:$AA$240,0,H$13))),2),0)</f>
        <v>0</v>
      </c>
      <c r="I60" s="620" cm="1">
        <f t="array" aca="1" ref="I60" ca="1">IF(AUTOEVENTO="Manual",ROUND(SUMPRODUCT((CÁLCULO!$M$15:$M$240=EVENTOS!$C60)*(OFFSET(CÁLCULO!$AA$15:$AA$240,0,I$13))),2),0)</f>
        <v>0</v>
      </c>
      <c r="J60" s="620" cm="1">
        <f t="array" aca="1" ref="J60" ca="1">IF(AUTOEVENTO="Manual",ROUND(SUMPRODUCT((CÁLCULO!$M$15:$M$240=EVENTOS!$C60)*(OFFSET(CÁLCULO!$AA$15:$AA$240,0,J$13))),2),0)</f>
        <v>0</v>
      </c>
      <c r="K60" s="620" cm="1">
        <f t="array" aca="1" ref="K60" ca="1">IF(AUTOEVENTO="Manual",ROUND(SUMPRODUCT((CÁLCULO!$M$15:$M$240=EVENTOS!$C60)*(OFFSET(CÁLCULO!$AA$15:$AA$240,0,K$13))),2),0)</f>
        <v>0</v>
      </c>
      <c r="L60" s="620" cm="1">
        <f t="array" aca="1" ref="L60" ca="1">IF(AUTOEVENTO="Manual",ROUND(SUMPRODUCT((CÁLCULO!$M$15:$M$240=EVENTOS!$C60)*(OFFSET(CÁLCULO!$AA$15:$AA$240,0,L$13))),2),0)</f>
        <v>0</v>
      </c>
      <c r="M60" s="620" cm="1">
        <f t="array" aca="1" ref="M60" ca="1">IF(AUTOEVENTO="Manual",ROUND(SUMPRODUCT((CÁLCULO!$M$15:$M$240=EVENTOS!$C60)*(OFFSET(CÁLCULO!$AA$15:$AA$240,0,M$13))),2),0)</f>
        <v>0</v>
      </c>
      <c r="N60" s="620" cm="1">
        <f t="array" aca="1" ref="N60" ca="1">IF(AUTOEVENTO="Manual",ROUND(SUMPRODUCT((CÁLCULO!$M$15:$M$240=EVENTOS!$C60)*(OFFSET(CÁLCULO!$AA$15:$AA$240,0,N$13))),2),0)</f>
        <v>0</v>
      </c>
      <c r="O60" s="620" cm="1">
        <f t="array" aca="1" ref="O60" ca="1">IF(AUTOEVENTO="Manual",ROUND(SUMPRODUCT((CÁLCULO!$M$15:$M$240=EVENTOS!$C60)*(OFFSET(CÁLCULO!$AA$15:$AA$240,0,O$13))),2),0)</f>
        <v>0</v>
      </c>
      <c r="P60" s="620" cm="1">
        <f t="array" aca="1" ref="P60" ca="1">IF(AUTOEVENTO="Manual",ROUND(SUMPRODUCT((CÁLCULO!$M$15:$M$240=EVENTOS!$C60)*(OFFSET(CÁLCULO!$AA$15:$AA$240,0,P$13))),2),0)</f>
        <v>0</v>
      </c>
      <c r="Q60" s="620" cm="1">
        <f t="array" aca="1" ref="Q60" ca="1">IF(AUTOEVENTO="Manual",ROUND(SUMPRODUCT((CÁLCULO!$M$15:$M$240=EVENTOS!$C60)*(OFFSET(CÁLCULO!$AA$15:$AA$240,0,Q$13))),2),0)</f>
        <v>0</v>
      </c>
      <c r="R60" s="620" cm="1">
        <f t="array" aca="1" ref="R60" ca="1">IF(AUTOEVENTO="Manual",ROUND(SUMPRODUCT((CÁLCULO!$M$15:$M$240=EVENTOS!$C60)*(OFFSET(CÁLCULO!$AA$15:$AA$240,0,R$13))),2),0)</f>
        <v>0</v>
      </c>
      <c r="S60" s="620" cm="1">
        <f t="array" aca="1" ref="S60" ca="1">IF(AUTOEVENTO="Manual",ROUND(SUMPRODUCT((CÁLCULO!$M$15:$M$240=EVENTOS!$C60)*(OFFSET(CÁLCULO!$AA$15:$AA$240,0,S$13))),2),0)</f>
        <v>0</v>
      </c>
      <c r="T60" s="620" cm="1">
        <f t="array" aca="1" ref="T60" ca="1">IF(AUTOEVENTO="Manual",ROUND(SUMPRODUCT((CÁLCULO!$M$15:$M$240=EVENTOS!$C60)*(OFFSET(CÁLCULO!$AA$15:$AA$240,0,T$13))),2),0)</f>
        <v>0</v>
      </c>
      <c r="U60" s="620" cm="1">
        <f t="array" aca="1" ref="U60" ca="1">IF(AUTOEVENTO="Manual",ROUND(SUMPRODUCT((CÁLCULO!$M$15:$M$240=EVENTOS!$C60)*(OFFSET(CÁLCULO!$AA$15:$AA$240,0,U$13))),2),0)</f>
        <v>0</v>
      </c>
      <c r="V60" s="620" cm="1">
        <f t="array" aca="1" ref="V60" ca="1">IF(AUTOEVENTO="Manual",ROUND(SUMPRODUCT((CÁLCULO!$M$15:$M$240=EVENTOS!$C60)*(OFFSET(CÁLCULO!$AA$15:$AA$240,0,V$13))),2),0)</f>
        <v>0</v>
      </c>
      <c r="W60" s="620" cm="1">
        <f t="array" aca="1" ref="W60" ca="1">IF(AUTOEVENTO="Manual",ROUND(SUMPRODUCT((CÁLCULO!$M$15:$M$240=EVENTOS!$C60)*(OFFSET(CÁLCULO!$AA$15:$AA$240,0,W$13))),2),0)</f>
        <v>0</v>
      </c>
      <c r="X60" s="620" cm="1">
        <f t="array" aca="1" ref="X60" ca="1">IF(AUTOEVENTO="Manual",ROUND(SUMPRODUCT((CÁLCULO!$M$15:$M$240=EVENTOS!$C60)*(OFFSET(CÁLCULO!$AA$15:$AA$240,0,X$13))),2),0)</f>
        <v>0</v>
      </c>
      <c r="Y60" s="620" cm="1">
        <f t="array" aca="1" ref="Y60" ca="1">IF(AUTOEVENTO="Manual",ROUND(SUMPRODUCT((CÁLCULO!$M$15:$M$240=EVENTOS!$C60)*(OFFSET(CÁLCULO!$AA$15:$AA$240,0,Y$13))),2),0)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IF(AUTOEVENTO="Manual",ROUND(SUMPRODUCT((CÁLCULO!$M$15:$M$240=EVENTOS!$C61)*(OFFSET(CÁLCULO!$AA$15:$AA$240,0,E$13))),2),0)</f>
        <v>0</v>
      </c>
      <c r="F61" s="183">
        <f ca="1">IF(AUTOEVENTO="Manual",ROUND(SUMPRODUCT((CÁLCULO!$M$15:$M$240=EVENTOS!$C61)*(OFFSET(CÁLCULO!$AA$15,0,1):OFFSET(CÁLCULO!$AL$240,0,-1))),2),0)</f>
        <v>0</v>
      </c>
      <c r="G61" s="621" t="str">
        <f t="shared" ca="1" si="6"/>
        <v/>
      </c>
      <c r="H61" s="620" cm="1">
        <f t="array" aca="1" ref="H61" ca="1">IF(AUTOEVENTO="Manual",ROUND(SUMPRODUCT((CÁLCULO!$M$15:$M$240=EVENTOS!$C61)*(OFFSET(CÁLCULO!$AA$15:$AA$240,0,H$13))),2),0)</f>
        <v>0</v>
      </c>
      <c r="I61" s="620" cm="1">
        <f t="array" aca="1" ref="I61" ca="1">IF(AUTOEVENTO="Manual",ROUND(SUMPRODUCT((CÁLCULO!$M$15:$M$240=EVENTOS!$C61)*(OFFSET(CÁLCULO!$AA$15:$AA$240,0,I$13))),2),0)</f>
        <v>0</v>
      </c>
      <c r="J61" s="620" cm="1">
        <f t="array" aca="1" ref="J61" ca="1">IF(AUTOEVENTO="Manual",ROUND(SUMPRODUCT((CÁLCULO!$M$15:$M$240=EVENTOS!$C61)*(OFFSET(CÁLCULO!$AA$15:$AA$240,0,J$13))),2),0)</f>
        <v>0</v>
      </c>
      <c r="K61" s="620" cm="1">
        <f t="array" aca="1" ref="K61" ca="1">IF(AUTOEVENTO="Manual",ROUND(SUMPRODUCT((CÁLCULO!$M$15:$M$240=EVENTOS!$C61)*(OFFSET(CÁLCULO!$AA$15:$AA$240,0,K$13))),2),0)</f>
        <v>0</v>
      </c>
      <c r="L61" s="620" cm="1">
        <f t="array" aca="1" ref="L61" ca="1">IF(AUTOEVENTO="Manual",ROUND(SUMPRODUCT((CÁLCULO!$M$15:$M$240=EVENTOS!$C61)*(OFFSET(CÁLCULO!$AA$15:$AA$240,0,L$13))),2),0)</f>
        <v>0</v>
      </c>
      <c r="M61" s="620" cm="1">
        <f t="array" aca="1" ref="M61" ca="1">IF(AUTOEVENTO="Manual",ROUND(SUMPRODUCT((CÁLCULO!$M$15:$M$240=EVENTOS!$C61)*(OFFSET(CÁLCULO!$AA$15:$AA$240,0,M$13))),2),0)</f>
        <v>0</v>
      </c>
      <c r="N61" s="620" cm="1">
        <f t="array" aca="1" ref="N61" ca="1">IF(AUTOEVENTO="Manual",ROUND(SUMPRODUCT((CÁLCULO!$M$15:$M$240=EVENTOS!$C61)*(OFFSET(CÁLCULO!$AA$15:$AA$240,0,N$13))),2),0)</f>
        <v>0</v>
      </c>
      <c r="O61" s="620" cm="1">
        <f t="array" aca="1" ref="O61" ca="1">IF(AUTOEVENTO="Manual",ROUND(SUMPRODUCT((CÁLCULO!$M$15:$M$240=EVENTOS!$C61)*(OFFSET(CÁLCULO!$AA$15:$AA$240,0,O$13))),2),0)</f>
        <v>0</v>
      </c>
      <c r="P61" s="620" cm="1">
        <f t="array" aca="1" ref="P61" ca="1">IF(AUTOEVENTO="Manual",ROUND(SUMPRODUCT((CÁLCULO!$M$15:$M$240=EVENTOS!$C61)*(OFFSET(CÁLCULO!$AA$15:$AA$240,0,P$13))),2),0)</f>
        <v>0</v>
      </c>
      <c r="Q61" s="620" cm="1">
        <f t="array" aca="1" ref="Q61" ca="1">IF(AUTOEVENTO="Manual",ROUND(SUMPRODUCT((CÁLCULO!$M$15:$M$240=EVENTOS!$C61)*(OFFSET(CÁLCULO!$AA$15:$AA$240,0,Q$13))),2),0)</f>
        <v>0</v>
      </c>
      <c r="R61" s="620" cm="1">
        <f t="array" aca="1" ref="R61" ca="1">IF(AUTOEVENTO="Manual",ROUND(SUMPRODUCT((CÁLCULO!$M$15:$M$240=EVENTOS!$C61)*(OFFSET(CÁLCULO!$AA$15:$AA$240,0,R$13))),2),0)</f>
        <v>0</v>
      </c>
      <c r="S61" s="620" cm="1">
        <f t="array" aca="1" ref="S61" ca="1">IF(AUTOEVENTO="Manual",ROUND(SUMPRODUCT((CÁLCULO!$M$15:$M$240=EVENTOS!$C61)*(OFFSET(CÁLCULO!$AA$15:$AA$240,0,S$13))),2),0)</f>
        <v>0</v>
      </c>
      <c r="T61" s="620" cm="1">
        <f t="array" aca="1" ref="T61" ca="1">IF(AUTOEVENTO="Manual",ROUND(SUMPRODUCT((CÁLCULO!$M$15:$M$240=EVENTOS!$C61)*(OFFSET(CÁLCULO!$AA$15:$AA$240,0,T$13))),2),0)</f>
        <v>0</v>
      </c>
      <c r="U61" s="620" cm="1">
        <f t="array" aca="1" ref="U61" ca="1">IF(AUTOEVENTO="Manual",ROUND(SUMPRODUCT((CÁLCULO!$M$15:$M$240=EVENTOS!$C61)*(OFFSET(CÁLCULO!$AA$15:$AA$240,0,U$13))),2),0)</f>
        <v>0</v>
      </c>
      <c r="V61" s="620" cm="1">
        <f t="array" aca="1" ref="V61" ca="1">IF(AUTOEVENTO="Manual",ROUND(SUMPRODUCT((CÁLCULO!$M$15:$M$240=EVENTOS!$C61)*(OFFSET(CÁLCULO!$AA$15:$AA$240,0,V$13))),2),0)</f>
        <v>0</v>
      </c>
      <c r="W61" s="620" cm="1">
        <f t="array" aca="1" ref="W61" ca="1">IF(AUTOEVENTO="Manual",ROUND(SUMPRODUCT((CÁLCULO!$M$15:$M$240=EVENTOS!$C61)*(OFFSET(CÁLCULO!$AA$15:$AA$240,0,W$13))),2),0)</f>
        <v>0</v>
      </c>
      <c r="X61" s="620" cm="1">
        <f t="array" aca="1" ref="X61" ca="1">IF(AUTOEVENTO="Manual",ROUND(SUMPRODUCT((CÁLCULO!$M$15:$M$240=EVENTOS!$C61)*(OFFSET(CÁLCULO!$AA$15:$AA$240,0,X$13))),2),0)</f>
        <v>0</v>
      </c>
      <c r="Y61" s="620" cm="1">
        <f t="array" aca="1" ref="Y61" ca="1">IF(AUTOEVENTO="Manual",ROUND(SUMPRODUCT((CÁLCULO!$M$15:$M$240=EVENTOS!$C61)*(OFFSET(CÁLCULO!$AA$15:$AA$240,0,Y$13))),2),0)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IF(AUTOEVENTO="Manual",ROUND(SUMPRODUCT((CÁLCULO!$M$15:$M$240=EVENTOS!$C62)*(OFFSET(CÁLCULO!$AA$15:$AA$240,0,E$13))),2),0)</f>
        <v>0</v>
      </c>
      <c r="F62" s="183">
        <f ca="1">IF(AUTOEVENTO="Manual",ROUND(SUMPRODUCT((CÁLCULO!$M$15:$M$240=EVENTOS!$C62)*(OFFSET(CÁLCULO!$AA$15,0,1):OFFSET(CÁLCULO!$AL$240,0,-1))),2),0)</f>
        <v>0</v>
      </c>
      <c r="G62" s="621" t="str">
        <f t="shared" ca="1" si="6"/>
        <v/>
      </c>
      <c r="H62" s="620" cm="1">
        <f t="array" aca="1" ref="H62" ca="1">IF(AUTOEVENTO="Manual",ROUND(SUMPRODUCT((CÁLCULO!$M$15:$M$240=EVENTOS!$C62)*(OFFSET(CÁLCULO!$AA$15:$AA$240,0,H$13))),2),0)</f>
        <v>0</v>
      </c>
      <c r="I62" s="620" cm="1">
        <f t="array" aca="1" ref="I62" ca="1">IF(AUTOEVENTO="Manual",ROUND(SUMPRODUCT((CÁLCULO!$M$15:$M$240=EVENTOS!$C62)*(OFFSET(CÁLCULO!$AA$15:$AA$240,0,I$13))),2),0)</f>
        <v>0</v>
      </c>
      <c r="J62" s="620" cm="1">
        <f t="array" aca="1" ref="J62" ca="1">IF(AUTOEVENTO="Manual",ROUND(SUMPRODUCT((CÁLCULO!$M$15:$M$240=EVENTOS!$C62)*(OFFSET(CÁLCULO!$AA$15:$AA$240,0,J$13))),2),0)</f>
        <v>0</v>
      </c>
      <c r="K62" s="620" cm="1">
        <f t="array" aca="1" ref="K62" ca="1">IF(AUTOEVENTO="Manual",ROUND(SUMPRODUCT((CÁLCULO!$M$15:$M$240=EVENTOS!$C62)*(OFFSET(CÁLCULO!$AA$15:$AA$240,0,K$13))),2),0)</f>
        <v>0</v>
      </c>
      <c r="L62" s="620" cm="1">
        <f t="array" aca="1" ref="L62" ca="1">IF(AUTOEVENTO="Manual",ROUND(SUMPRODUCT((CÁLCULO!$M$15:$M$240=EVENTOS!$C62)*(OFFSET(CÁLCULO!$AA$15:$AA$240,0,L$13))),2),0)</f>
        <v>0</v>
      </c>
      <c r="M62" s="620" cm="1">
        <f t="array" aca="1" ref="M62" ca="1">IF(AUTOEVENTO="Manual",ROUND(SUMPRODUCT((CÁLCULO!$M$15:$M$240=EVENTOS!$C62)*(OFFSET(CÁLCULO!$AA$15:$AA$240,0,M$13))),2),0)</f>
        <v>0</v>
      </c>
      <c r="N62" s="620" cm="1">
        <f t="array" aca="1" ref="N62" ca="1">IF(AUTOEVENTO="Manual",ROUND(SUMPRODUCT((CÁLCULO!$M$15:$M$240=EVENTOS!$C62)*(OFFSET(CÁLCULO!$AA$15:$AA$240,0,N$13))),2),0)</f>
        <v>0</v>
      </c>
      <c r="O62" s="620" cm="1">
        <f t="array" aca="1" ref="O62" ca="1">IF(AUTOEVENTO="Manual",ROUND(SUMPRODUCT((CÁLCULO!$M$15:$M$240=EVENTOS!$C62)*(OFFSET(CÁLCULO!$AA$15:$AA$240,0,O$13))),2),0)</f>
        <v>0</v>
      </c>
      <c r="P62" s="620" cm="1">
        <f t="array" aca="1" ref="P62" ca="1">IF(AUTOEVENTO="Manual",ROUND(SUMPRODUCT((CÁLCULO!$M$15:$M$240=EVENTOS!$C62)*(OFFSET(CÁLCULO!$AA$15:$AA$240,0,P$13))),2),0)</f>
        <v>0</v>
      </c>
      <c r="Q62" s="620" cm="1">
        <f t="array" aca="1" ref="Q62" ca="1">IF(AUTOEVENTO="Manual",ROUND(SUMPRODUCT((CÁLCULO!$M$15:$M$240=EVENTOS!$C62)*(OFFSET(CÁLCULO!$AA$15:$AA$240,0,Q$13))),2),0)</f>
        <v>0</v>
      </c>
      <c r="R62" s="620" cm="1">
        <f t="array" aca="1" ref="R62" ca="1">IF(AUTOEVENTO="Manual",ROUND(SUMPRODUCT((CÁLCULO!$M$15:$M$240=EVENTOS!$C62)*(OFFSET(CÁLCULO!$AA$15:$AA$240,0,R$13))),2),0)</f>
        <v>0</v>
      </c>
      <c r="S62" s="620" cm="1">
        <f t="array" aca="1" ref="S62" ca="1">IF(AUTOEVENTO="Manual",ROUND(SUMPRODUCT((CÁLCULO!$M$15:$M$240=EVENTOS!$C62)*(OFFSET(CÁLCULO!$AA$15:$AA$240,0,S$13))),2),0)</f>
        <v>0</v>
      </c>
      <c r="T62" s="620" cm="1">
        <f t="array" aca="1" ref="T62" ca="1">IF(AUTOEVENTO="Manual",ROUND(SUMPRODUCT((CÁLCULO!$M$15:$M$240=EVENTOS!$C62)*(OFFSET(CÁLCULO!$AA$15:$AA$240,0,T$13))),2),0)</f>
        <v>0</v>
      </c>
      <c r="U62" s="620" cm="1">
        <f t="array" aca="1" ref="U62" ca="1">IF(AUTOEVENTO="Manual",ROUND(SUMPRODUCT((CÁLCULO!$M$15:$M$240=EVENTOS!$C62)*(OFFSET(CÁLCULO!$AA$15:$AA$240,0,U$13))),2),0)</f>
        <v>0</v>
      </c>
      <c r="V62" s="620" cm="1">
        <f t="array" aca="1" ref="V62" ca="1">IF(AUTOEVENTO="Manual",ROUND(SUMPRODUCT((CÁLCULO!$M$15:$M$240=EVENTOS!$C62)*(OFFSET(CÁLCULO!$AA$15:$AA$240,0,V$13))),2),0)</f>
        <v>0</v>
      </c>
      <c r="W62" s="620" cm="1">
        <f t="array" aca="1" ref="W62" ca="1">IF(AUTOEVENTO="Manual",ROUND(SUMPRODUCT((CÁLCULO!$M$15:$M$240=EVENTOS!$C62)*(OFFSET(CÁLCULO!$AA$15:$AA$240,0,W$13))),2),0)</f>
        <v>0</v>
      </c>
      <c r="X62" s="620" cm="1">
        <f t="array" aca="1" ref="X62" ca="1">IF(AUTOEVENTO="Manual",ROUND(SUMPRODUCT((CÁLCULO!$M$15:$M$240=EVENTOS!$C62)*(OFFSET(CÁLCULO!$AA$15:$AA$240,0,X$13))),2),0)</f>
        <v>0</v>
      </c>
      <c r="Y62" s="620" cm="1">
        <f t="array" aca="1" ref="Y62" ca="1">IF(AUTOEVENTO="Manual",ROUND(SUMPRODUCT((CÁLCULO!$M$15:$M$240=EVENTOS!$C62)*(OFFSET(CÁLCULO!$AA$15:$AA$240,0,Y$13))),2),0)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IF(AUTOEVENTO="Manual",ROUND(SUMPRODUCT((CÁLCULO!$M$15:$M$240=EVENTOS!$C63)*(OFFSET(CÁLCULO!$AA$15:$AA$240,0,E$13))),2),0)</f>
        <v>0</v>
      </c>
      <c r="F63" s="183">
        <f ca="1">IF(AUTOEVENTO="Manual",ROUND(SUMPRODUCT((CÁLCULO!$M$15:$M$240=EVENTOS!$C63)*(OFFSET(CÁLCULO!$AA$15,0,1):OFFSET(CÁLCULO!$AL$240,0,-1))),2),0)</f>
        <v>0</v>
      </c>
      <c r="G63" s="621" t="str">
        <f t="shared" ca="1" si="6"/>
        <v/>
      </c>
      <c r="H63" s="620" cm="1">
        <f t="array" aca="1" ref="H63" ca="1">IF(AUTOEVENTO="Manual",ROUND(SUMPRODUCT((CÁLCULO!$M$15:$M$240=EVENTOS!$C63)*(OFFSET(CÁLCULO!$AA$15:$AA$240,0,H$13))),2),0)</f>
        <v>0</v>
      </c>
      <c r="I63" s="620" cm="1">
        <f t="array" aca="1" ref="I63" ca="1">IF(AUTOEVENTO="Manual",ROUND(SUMPRODUCT((CÁLCULO!$M$15:$M$240=EVENTOS!$C63)*(OFFSET(CÁLCULO!$AA$15:$AA$240,0,I$13))),2),0)</f>
        <v>0</v>
      </c>
      <c r="J63" s="620" cm="1">
        <f t="array" aca="1" ref="J63" ca="1">IF(AUTOEVENTO="Manual",ROUND(SUMPRODUCT((CÁLCULO!$M$15:$M$240=EVENTOS!$C63)*(OFFSET(CÁLCULO!$AA$15:$AA$240,0,J$13))),2),0)</f>
        <v>0</v>
      </c>
      <c r="K63" s="620" cm="1">
        <f t="array" aca="1" ref="K63" ca="1">IF(AUTOEVENTO="Manual",ROUND(SUMPRODUCT((CÁLCULO!$M$15:$M$240=EVENTOS!$C63)*(OFFSET(CÁLCULO!$AA$15:$AA$240,0,K$13))),2),0)</f>
        <v>0</v>
      </c>
      <c r="L63" s="620" cm="1">
        <f t="array" aca="1" ref="L63" ca="1">IF(AUTOEVENTO="Manual",ROUND(SUMPRODUCT((CÁLCULO!$M$15:$M$240=EVENTOS!$C63)*(OFFSET(CÁLCULO!$AA$15:$AA$240,0,L$13))),2),0)</f>
        <v>0</v>
      </c>
      <c r="M63" s="620" cm="1">
        <f t="array" aca="1" ref="M63" ca="1">IF(AUTOEVENTO="Manual",ROUND(SUMPRODUCT((CÁLCULO!$M$15:$M$240=EVENTOS!$C63)*(OFFSET(CÁLCULO!$AA$15:$AA$240,0,M$13))),2),0)</f>
        <v>0</v>
      </c>
      <c r="N63" s="620" cm="1">
        <f t="array" aca="1" ref="N63" ca="1">IF(AUTOEVENTO="Manual",ROUND(SUMPRODUCT((CÁLCULO!$M$15:$M$240=EVENTOS!$C63)*(OFFSET(CÁLCULO!$AA$15:$AA$240,0,N$13))),2),0)</f>
        <v>0</v>
      </c>
      <c r="O63" s="620" cm="1">
        <f t="array" aca="1" ref="O63" ca="1">IF(AUTOEVENTO="Manual",ROUND(SUMPRODUCT((CÁLCULO!$M$15:$M$240=EVENTOS!$C63)*(OFFSET(CÁLCULO!$AA$15:$AA$240,0,O$13))),2),0)</f>
        <v>0</v>
      </c>
      <c r="P63" s="620" cm="1">
        <f t="array" aca="1" ref="P63" ca="1">IF(AUTOEVENTO="Manual",ROUND(SUMPRODUCT((CÁLCULO!$M$15:$M$240=EVENTOS!$C63)*(OFFSET(CÁLCULO!$AA$15:$AA$240,0,P$13))),2),0)</f>
        <v>0</v>
      </c>
      <c r="Q63" s="620" cm="1">
        <f t="array" aca="1" ref="Q63" ca="1">IF(AUTOEVENTO="Manual",ROUND(SUMPRODUCT((CÁLCULO!$M$15:$M$240=EVENTOS!$C63)*(OFFSET(CÁLCULO!$AA$15:$AA$240,0,Q$13))),2),0)</f>
        <v>0</v>
      </c>
      <c r="R63" s="620" cm="1">
        <f t="array" aca="1" ref="R63" ca="1">IF(AUTOEVENTO="Manual",ROUND(SUMPRODUCT((CÁLCULO!$M$15:$M$240=EVENTOS!$C63)*(OFFSET(CÁLCULO!$AA$15:$AA$240,0,R$13))),2),0)</f>
        <v>0</v>
      </c>
      <c r="S63" s="620" cm="1">
        <f t="array" aca="1" ref="S63" ca="1">IF(AUTOEVENTO="Manual",ROUND(SUMPRODUCT((CÁLCULO!$M$15:$M$240=EVENTOS!$C63)*(OFFSET(CÁLCULO!$AA$15:$AA$240,0,S$13))),2),0)</f>
        <v>0</v>
      </c>
      <c r="T63" s="620" cm="1">
        <f t="array" aca="1" ref="T63" ca="1">IF(AUTOEVENTO="Manual",ROUND(SUMPRODUCT((CÁLCULO!$M$15:$M$240=EVENTOS!$C63)*(OFFSET(CÁLCULO!$AA$15:$AA$240,0,T$13))),2),0)</f>
        <v>0</v>
      </c>
      <c r="U63" s="620" cm="1">
        <f t="array" aca="1" ref="U63" ca="1">IF(AUTOEVENTO="Manual",ROUND(SUMPRODUCT((CÁLCULO!$M$15:$M$240=EVENTOS!$C63)*(OFFSET(CÁLCULO!$AA$15:$AA$240,0,U$13))),2),0)</f>
        <v>0</v>
      </c>
      <c r="V63" s="620" cm="1">
        <f t="array" aca="1" ref="V63" ca="1">IF(AUTOEVENTO="Manual",ROUND(SUMPRODUCT((CÁLCULO!$M$15:$M$240=EVENTOS!$C63)*(OFFSET(CÁLCULO!$AA$15:$AA$240,0,V$13))),2),0)</f>
        <v>0</v>
      </c>
      <c r="W63" s="620" cm="1">
        <f t="array" aca="1" ref="W63" ca="1">IF(AUTOEVENTO="Manual",ROUND(SUMPRODUCT((CÁLCULO!$M$15:$M$240=EVENTOS!$C63)*(OFFSET(CÁLCULO!$AA$15:$AA$240,0,W$13))),2),0)</f>
        <v>0</v>
      </c>
      <c r="X63" s="620" cm="1">
        <f t="array" aca="1" ref="X63" ca="1">IF(AUTOEVENTO="Manual",ROUND(SUMPRODUCT((CÁLCULO!$M$15:$M$240=EVENTOS!$C63)*(OFFSET(CÁLCULO!$AA$15:$AA$240,0,X$13))),2),0)</f>
        <v>0</v>
      </c>
      <c r="Y63" s="620" cm="1">
        <f t="array" aca="1" ref="Y63" ca="1">IF(AUTOEVENTO="Manual",ROUND(SUMPRODUCT((CÁLCULO!$M$15:$M$240=EVENTOS!$C63)*(OFFSET(CÁLCULO!$AA$15:$AA$240,0,Y$13))),2),0)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IF(AUTOEVENTO="Manual",ROUND(SUMPRODUCT((CÁLCULO!$M$15:$M$240=EVENTOS!$C64)*(OFFSET(CÁLCULO!$AA$15:$AA$240,0,E$13))),2),0)</f>
        <v>0</v>
      </c>
      <c r="F64" s="183">
        <f ca="1">IF(AUTOEVENTO="Manual",ROUND(SUMPRODUCT((CÁLCULO!$M$15:$M$240=EVENTOS!$C64)*(OFFSET(CÁLCULO!$AA$15,0,1):OFFSET(CÁLCULO!$AL$240,0,-1))),2),0)</f>
        <v>0</v>
      </c>
      <c r="G64" s="621" t="str">
        <f t="shared" ca="1" si="6"/>
        <v/>
      </c>
      <c r="H64" s="620" cm="1">
        <f t="array" aca="1" ref="H64" ca="1">IF(AUTOEVENTO="Manual",ROUND(SUMPRODUCT((CÁLCULO!$M$15:$M$240=EVENTOS!$C64)*(OFFSET(CÁLCULO!$AA$15:$AA$240,0,H$13))),2),0)</f>
        <v>0</v>
      </c>
      <c r="I64" s="620" cm="1">
        <f t="array" aca="1" ref="I64" ca="1">IF(AUTOEVENTO="Manual",ROUND(SUMPRODUCT((CÁLCULO!$M$15:$M$240=EVENTOS!$C64)*(OFFSET(CÁLCULO!$AA$15:$AA$240,0,I$13))),2),0)</f>
        <v>0</v>
      </c>
      <c r="J64" s="620" cm="1">
        <f t="array" aca="1" ref="J64" ca="1">IF(AUTOEVENTO="Manual",ROUND(SUMPRODUCT((CÁLCULO!$M$15:$M$240=EVENTOS!$C64)*(OFFSET(CÁLCULO!$AA$15:$AA$240,0,J$13))),2),0)</f>
        <v>0</v>
      </c>
      <c r="K64" s="620" cm="1">
        <f t="array" aca="1" ref="K64" ca="1">IF(AUTOEVENTO="Manual",ROUND(SUMPRODUCT((CÁLCULO!$M$15:$M$240=EVENTOS!$C64)*(OFFSET(CÁLCULO!$AA$15:$AA$240,0,K$13))),2),0)</f>
        <v>0</v>
      </c>
      <c r="L64" s="620" cm="1">
        <f t="array" aca="1" ref="L64" ca="1">IF(AUTOEVENTO="Manual",ROUND(SUMPRODUCT((CÁLCULO!$M$15:$M$240=EVENTOS!$C64)*(OFFSET(CÁLCULO!$AA$15:$AA$240,0,L$13))),2),0)</f>
        <v>0</v>
      </c>
      <c r="M64" s="620" cm="1">
        <f t="array" aca="1" ref="M64" ca="1">IF(AUTOEVENTO="Manual",ROUND(SUMPRODUCT((CÁLCULO!$M$15:$M$240=EVENTOS!$C64)*(OFFSET(CÁLCULO!$AA$15:$AA$240,0,M$13))),2),0)</f>
        <v>0</v>
      </c>
      <c r="N64" s="620" cm="1">
        <f t="array" aca="1" ref="N64" ca="1">IF(AUTOEVENTO="Manual",ROUND(SUMPRODUCT((CÁLCULO!$M$15:$M$240=EVENTOS!$C64)*(OFFSET(CÁLCULO!$AA$15:$AA$240,0,N$13))),2),0)</f>
        <v>0</v>
      </c>
      <c r="O64" s="620" cm="1">
        <f t="array" aca="1" ref="O64" ca="1">IF(AUTOEVENTO="Manual",ROUND(SUMPRODUCT((CÁLCULO!$M$15:$M$240=EVENTOS!$C64)*(OFFSET(CÁLCULO!$AA$15:$AA$240,0,O$13))),2),0)</f>
        <v>0</v>
      </c>
      <c r="P64" s="620" cm="1">
        <f t="array" aca="1" ref="P64" ca="1">IF(AUTOEVENTO="Manual",ROUND(SUMPRODUCT((CÁLCULO!$M$15:$M$240=EVENTOS!$C64)*(OFFSET(CÁLCULO!$AA$15:$AA$240,0,P$13))),2),0)</f>
        <v>0</v>
      </c>
      <c r="Q64" s="620" cm="1">
        <f t="array" aca="1" ref="Q64" ca="1">IF(AUTOEVENTO="Manual",ROUND(SUMPRODUCT((CÁLCULO!$M$15:$M$240=EVENTOS!$C64)*(OFFSET(CÁLCULO!$AA$15:$AA$240,0,Q$13))),2),0)</f>
        <v>0</v>
      </c>
      <c r="R64" s="620" cm="1">
        <f t="array" aca="1" ref="R64" ca="1">IF(AUTOEVENTO="Manual",ROUND(SUMPRODUCT((CÁLCULO!$M$15:$M$240=EVENTOS!$C64)*(OFFSET(CÁLCULO!$AA$15:$AA$240,0,R$13))),2),0)</f>
        <v>0</v>
      </c>
      <c r="S64" s="620" cm="1">
        <f t="array" aca="1" ref="S64" ca="1">IF(AUTOEVENTO="Manual",ROUND(SUMPRODUCT((CÁLCULO!$M$15:$M$240=EVENTOS!$C64)*(OFFSET(CÁLCULO!$AA$15:$AA$240,0,S$13))),2),0)</f>
        <v>0</v>
      </c>
      <c r="T64" s="620" cm="1">
        <f t="array" aca="1" ref="T64" ca="1">IF(AUTOEVENTO="Manual",ROUND(SUMPRODUCT((CÁLCULO!$M$15:$M$240=EVENTOS!$C64)*(OFFSET(CÁLCULO!$AA$15:$AA$240,0,T$13))),2),0)</f>
        <v>0</v>
      </c>
      <c r="U64" s="620" cm="1">
        <f t="array" aca="1" ref="U64" ca="1">IF(AUTOEVENTO="Manual",ROUND(SUMPRODUCT((CÁLCULO!$M$15:$M$240=EVENTOS!$C64)*(OFFSET(CÁLCULO!$AA$15:$AA$240,0,U$13))),2),0)</f>
        <v>0</v>
      </c>
      <c r="V64" s="620" cm="1">
        <f t="array" aca="1" ref="V64" ca="1">IF(AUTOEVENTO="Manual",ROUND(SUMPRODUCT((CÁLCULO!$M$15:$M$240=EVENTOS!$C64)*(OFFSET(CÁLCULO!$AA$15:$AA$240,0,V$13))),2),0)</f>
        <v>0</v>
      </c>
      <c r="W64" s="620" cm="1">
        <f t="array" aca="1" ref="W64" ca="1">IF(AUTOEVENTO="Manual",ROUND(SUMPRODUCT((CÁLCULO!$M$15:$M$240=EVENTOS!$C64)*(OFFSET(CÁLCULO!$AA$15:$AA$240,0,W$13))),2),0)</f>
        <v>0</v>
      </c>
      <c r="X64" s="620" cm="1">
        <f t="array" aca="1" ref="X64" ca="1">IF(AUTOEVENTO="Manual",ROUND(SUMPRODUCT((CÁLCULO!$M$15:$M$240=EVENTOS!$C64)*(OFFSET(CÁLCULO!$AA$15:$AA$240,0,X$13))),2),0)</f>
        <v>0</v>
      </c>
      <c r="Y64" s="620" cm="1">
        <f t="array" aca="1" ref="Y64" ca="1">IF(AUTOEVENTO="Manual",ROUND(SUMPRODUCT((CÁLCULO!$M$15:$M$240=EVENTOS!$C64)*(OFFSET(CÁLCULO!$AA$15:$AA$240,0,Y$13))),2),0)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SARANDI/RS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RENATA CENCI SIGNOR</v>
      </c>
      <c r="V70" s="398" t="str">
        <f t="array" aca="1" ref="V70:V72" ca="1">OFFSET(Import.RespOrçamento,0,-1) &amp; " " &amp; Import.RespOrçamento</f>
        <v>Nome: RENATA CENCI SIGNOR</v>
      </c>
    </row>
    <row r="71" spans="1:25" x14ac:dyDescent="0.2">
      <c r="A71" s="506" t="s">
        <v>536</v>
      </c>
      <c r="D71" s="494">
        <f ca="1">DADOS!$C$25</f>
        <v>46190</v>
      </c>
      <c r="L71" s="398" t="str">
        <f ca="1"/>
        <v>CREA/CAU: 093177</v>
      </c>
      <c r="V71" s="398" t="str">
        <f ca="1"/>
        <v>CREA/CAU: 093177</v>
      </c>
    </row>
    <row r="72" spans="1:25" x14ac:dyDescent="0.2">
      <c r="A72" s="506" t="s">
        <v>536</v>
      </c>
      <c r="D72" s="9" t="s">
        <v>694</v>
      </c>
      <c r="L72" s="398" t="str">
        <f ca="1"/>
        <v>ART/RRT: 14426537</v>
      </c>
      <c r="V72" s="398" t="str">
        <f ca="1"/>
        <v>ART/RRT: 14426537</v>
      </c>
    </row>
  </sheetData>
  <sheetProtection algorithmName="SHA-512" hashValue="hJpSXo8PHhr0zn14ZwoQbCyDrmXukStC0oPk+CMPVLZyYpDiu1Jsm6+HHjI13C3npH144ubmgVMLlCLjVHMy/w==" saltValue="THkgssOAeRLyUx6Z6OJaqg=="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653" priority="1" stopIfTrue="1">
      <formula>OR(AUTOEVENTO&lt;&gt;"Manual",ACOMPANHAMENTO="BM",C$10=0,C$13=0,$C1=" ")</formula>
    </cfRule>
  </conditionalFormatting>
  <conditionalFormatting sqref="A15 C15:XFD15">
    <cfRule type="expression" dxfId="652"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508"/>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49" t="str" cm="1">
        <f t="array" ref="F6">IF(ACOMPANHAMENTO="BM","MEMÓRIA DE CÁLCULO","PLQ - PLANILHA DE LEVANTAMENTO DE QUANTIDADES")</f>
        <v>MEMÓRIA DE CÁLCULO</v>
      </c>
      <c r="G6" s="749"/>
      <c r="H6" s="749"/>
      <c r="I6" s="141"/>
      <c r="K6" s="141"/>
      <c r="L6" s="141"/>
      <c r="M6" s="142"/>
      <c r="N6" s="141"/>
      <c r="P6" s="141"/>
      <c r="Q6" s="750" t="s">
        <v>644</v>
      </c>
      <c r="R6" s="751"/>
      <c r="Y6" s="692" t="s">
        <v>644</v>
      </c>
      <c r="Z6" s="692"/>
    </row>
    <row r="7" spans="1:59" ht="15" customHeight="1" x14ac:dyDescent="0.2">
      <c r="F7" s="752" t="str" cm="1">
        <f t="array" ref="F7">IF(ACOMPANHAMENTO="BM","","Memória de Cálculo")&amp;" - "&amp;import.recurso</f>
        <v xml:space="preserve"> - (SELECIONAR)</v>
      </c>
      <c r="G7" s="752"/>
      <c r="H7" s="752"/>
      <c r="I7" s="143"/>
      <c r="K7" s="143"/>
      <c r="L7" s="143"/>
      <c r="M7" s="144"/>
      <c r="N7" s="143"/>
      <c r="P7" s="143"/>
      <c r="Q7" s="753" t="s">
        <v>647</v>
      </c>
      <c r="R7" s="754"/>
      <c r="Y7" s="693" t="s">
        <v>647</v>
      </c>
      <c r="Z7" s="693"/>
    </row>
    <row r="8" spans="1:59" ht="12.75" customHeight="1" x14ac:dyDescent="0.2">
      <c r="AE8" s="476"/>
    </row>
    <row r="9" spans="1:59" ht="12.75" customHeight="1" x14ac:dyDescent="0.2">
      <c r="E9" s="718" t="s">
        <v>708</v>
      </c>
      <c r="F9" s="718"/>
      <c r="G9" s="718" t="s">
        <v>707</v>
      </c>
      <c r="H9" s="718"/>
      <c r="I9" s="87" t="s">
        <v>650</v>
      </c>
      <c r="K9" s="145" t="s">
        <v>652</v>
      </c>
      <c r="L9" s="146"/>
      <c r="M9" s="146"/>
      <c r="N9" s="146"/>
      <c r="O9" s="146"/>
      <c r="P9" s="146"/>
      <c r="Q9" s="146"/>
      <c r="R9" s="147"/>
      <c r="S9" s="718" t="s">
        <v>650</v>
      </c>
      <c r="T9" s="718"/>
      <c r="U9" s="718" t="s">
        <v>652</v>
      </c>
      <c r="V9" s="718"/>
      <c r="W9" s="718"/>
      <c r="X9" s="718"/>
      <c r="Y9" s="718"/>
      <c r="Z9" s="718"/>
    </row>
    <row r="10" spans="1:59" ht="12.75" customHeight="1" x14ac:dyDescent="0.2">
      <c r="A10" s="601" t="s">
        <v>768</v>
      </c>
      <c r="E10" s="721" t="str">
        <f>Import.Apelido</f>
        <v>A CASA É SUA</v>
      </c>
      <c r="F10" s="721"/>
      <c r="G10" s="721" cm="1">
        <f t="array" ref="G10">Import.TransfereGOV</f>
        <v>0</v>
      </c>
      <c r="H10" s="721"/>
      <c r="I10" s="90">
        <f>Import.CR</f>
        <v>0</v>
      </c>
      <c r="K10" s="148" t="str">
        <f>Import.Proponente</f>
        <v>MUNICIPIO DE SARANDI/RS</v>
      </c>
      <c r="L10" s="149"/>
      <c r="M10" s="100"/>
      <c r="N10" s="149"/>
      <c r="O10" s="149"/>
      <c r="P10" s="149"/>
      <c r="Q10" s="149"/>
      <c r="R10" s="91"/>
      <c r="S10" s="721">
        <f>Import.CR</f>
        <v>0</v>
      </c>
      <c r="T10" s="721"/>
      <c r="U10" s="721" t="str">
        <f>Import.Proponente</f>
        <v>MUNICIPIO DE SARANDI/RS</v>
      </c>
      <c r="V10" s="721"/>
      <c r="W10" s="721"/>
      <c r="X10" s="721"/>
      <c r="Y10" s="721"/>
      <c r="Z10" s="721"/>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IF(COUNTIF($J$15:$J$240,"►E")&gt;0,"Não pode haver serviços sem agrupador de eventos",
  IF(COUNTIF($P$11:$AA$11,"▼")&gt;0,"Não pode haver frentes de obra sem quantidades",
  IF(COUNTIF($P$11:$AA$11,"Nome &gt;100")&gt;0,"Nome da frente de obra com mais de 100 caracteres","")))))</f>
        <v/>
      </c>
      <c r="N11" s="573" t="str">
        <f ca="1">IF(OR(COUNTIF($J$15:$J$240,"►E")&gt;0,COUNTIF($J$15:$J$240,"►Q")&gt;0),"",
IF(COUNTIF($J$15:$J$240,"►S")&gt;0,"Preencha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IF(COUNTIF($J$15:$J$240,"►E")&gt;0,"Falta Definir o Agrupador de Evento na linha "&amp;MATCH("►E",$J$15:$J$240,0)+ROW($J$14),
  IF(COUNTIF($J$15:$J$240,"►Q")&gt;0,"Falta preencher a quantidade do serviço na linha "&amp;MATCH("►Q",$J$15:$J$240,0)+ROW($J$14),
  IF(COUNTIF($J$15:$J$240,"►S")&gt;0,"Verifique as quantidades preenchidas na linha "&amp;MATCH("►S",$J$15:$J$240,0)+ROW($J$14),
  IF(AND(COUNTIF($P$11:$AA$11,"▼")=0,COUNTIF($J$15:$J$240,"◄")&gt;0),"Falta Preencher o Memorial de Cálculo na linha "&amp;MATCH("◄",$J$15:$J$240,0)+ROW($J$14),"")))))</f>
        <v/>
      </c>
      <c r="J12" s="151" t="s">
        <v>764</v>
      </c>
      <c r="K12" s="152" t="s">
        <v>770</v>
      </c>
      <c r="L12" s="151" t="s">
        <v>764</v>
      </c>
      <c r="M12" s="570" cm="1">
        <f t="array" ref="M12">IF(ACOMPANHAMENTO="BM",0,MAX($M$15:$M$240))</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CASA PADRÃO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8" t="str">
        <f>Import.DescLote</f>
        <v>PROGRAMA "A CASA É SUA" (30 UH)</v>
      </c>
      <c r="F15" s="748"/>
      <c r="G15" s="748"/>
      <c r="H15" s="748"/>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ROUND(SUM(OFFSET(AB$15,1,0):AB$240),2)</f>
        <v>0</v>
      </c>
      <c r="AC15" s="177">
        <f ca="1">SUM(OFFSET(AC$15,1,0):AC$240)</f>
        <v>0</v>
      </c>
      <c r="AD15" s="177">
        <f ca="1">SUM(OFFSET(AD$15,1,0):AD$240)</f>
        <v>0</v>
      </c>
      <c r="AE15" s="177">
        <f ca="1">SUM(OFFSET(AE$15,1,0):AE$240)</f>
        <v>0</v>
      </c>
      <c r="AF15" s="177">
        <f ca="1">SUM(OFFSET(AF$15,1,0):AF$240)</f>
        <v>0</v>
      </c>
      <c r="AG15" s="177">
        <f ca="1">SUM(OFFSET(AG$15,1,0):AG$240)</f>
        <v>0</v>
      </c>
      <c r="AH15" s="177">
        <f ca="1">SUM(OFFSET(AH$15,1,0):AH$240)</f>
        <v>0</v>
      </c>
      <c r="AI15" s="177">
        <f ca="1">SUM(OFFSET(AI$15,1,0):AI$240)</f>
        <v>0</v>
      </c>
      <c r="AJ15" s="177">
        <f ca="1">SUM(OFFSET(AJ$15,1,0):AJ$240)</f>
        <v>0</v>
      </c>
      <c r="AK15" s="177">
        <f ca="1">SUM(OFFSET(AK$15,1,0):AK$240)</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239"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CASA PADRÃO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239"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DE OBRA</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F</v>
      </c>
      <c r="D18" s="116" t="str">
        <f ca="1">OFFSET(ORÇAMENTO!N$15,$L18,0)</f>
        <v>Serviço</v>
      </c>
      <c r="E18" s="117" t="str">
        <f ca="1">OFFSET(ORÇAMENTO!O$15,$L18,0)</f>
        <v>1.1.0.0.1.</v>
      </c>
      <c r="F18" s="163" t="str">
        <f ca="1">OFFSET(ORÇAMENTO!R$15,$L18,0)</f>
        <v>ENGENHEIRO CIVIL DE OBRA JUNIOR COM ENCARGOS COMPLEMENTARES</v>
      </c>
      <c r="G18" s="164" t="str">
        <f ca="1">IF($D18&lt;&gt;"Serviço","",OFFSET(ORÇAMENTO!S$15,$L18,0))</f>
        <v>H</v>
      </c>
      <c r="H18" s="122" cm="1">
        <f t="array" aca="1" ref="H18" ca="1">IF($D18&lt;&gt;"Serviço",0,IF(ACOMPANHAMENTO="BM",ROUND(OFFSET(ORÇAMENTO!AJ$15,$L18,0),15-13*ORÇAMENTO!$AF$7),IF(IFERROR(CÁLCULO.FrentesPreenchidas,0)=0,0,SUM(ROUND(OFFSET($P18,0,1,1,CÁLCULO.FrentesPreenchidas),15-13*ORÇAMENTO!$AF$7)))))</f>
        <v>96</v>
      </c>
      <c r="I18" s="468" t="s">
        <v>1194</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DE OBRA</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F</v>
      </c>
      <c r="D19" s="116" t="str">
        <f ca="1">OFFSET(ORÇAMENTO!N$15,$L19,0)</f>
        <v>Serviço</v>
      </c>
      <c r="E19" s="117" t="str">
        <f ca="1">OFFSET(ORÇAMENTO!O$15,$L19,0)</f>
        <v>1.1.0.0.2.</v>
      </c>
      <c r="F19" s="163" t="str">
        <f ca="1">OFFSET(ORÇAMENTO!R$15,$L19,0)</f>
        <v>TÉCNICO EM SEGURANÇA DO TRABALHO COM ENCARGOS COMPLEMENTARES</v>
      </c>
      <c r="G19" s="164" t="str">
        <f ca="1">IF($D19&lt;&gt;"Serviço","",OFFSET(ORÇAMENTO!S$15,$L19,0))</f>
        <v>H</v>
      </c>
      <c r="H19" s="122" cm="1">
        <f t="array" aca="1" ref="H19" ca="1">IF($D19&lt;&gt;"Serviço",0,IF(ACOMPANHAMENTO="BM",ROUND(OFFSET(ORÇAMENTO!AJ$15,$L19,0),15-13*ORÇAMENTO!$AF$7),IF(IFERROR(CÁLCULO.FrentesPreenchidas,0)=0,0,SUM(ROUND(OFFSET($P19,0,1,1,CÁLCULO.FrentesPreenchidas),15-13*ORÇAMENTO!$AF$7)))))</f>
        <v>96</v>
      </c>
      <c r="I19" s="468" t="s">
        <v>1194</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DE OBRA</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12.75" x14ac:dyDescent="0.2">
      <c r="A20" s="7" t="str">
        <f t="shared" ca="1" si="8"/>
        <v>5.</v>
      </c>
      <c r="B20" s="7">
        <f ca="1">OFFSET(ORÇAMENTO!C$15,$L20,0)</f>
        <v>2</v>
      </c>
      <c r="C20" s="7" t="str">
        <f ca="1">OFFSET(ORÇAMENTO!L$15,$L20,0)</f>
        <v>F</v>
      </c>
      <c r="D20" s="116" t="str">
        <f ca="1">OFFSET(ORÇAMENTO!N$15,$L20,0)</f>
        <v>Nível 2</v>
      </c>
      <c r="E20" s="117" t="str">
        <f ca="1">OFFSET(ORÇAMENTO!O$15,$L20,0)</f>
        <v>1.2.</v>
      </c>
      <c r="F20" s="163" t="str">
        <f ca="1">OFFSET(ORÇAMENTO!R$15,$L20,0)</f>
        <v>PLACA DE OBRA</v>
      </c>
      <c r="G20" s="164" t="str">
        <f ca="1">IF($D20&lt;&gt;"Serviço","",OFFSET(ORÇAMENTO!S$15,$L20,0))</f>
        <v/>
      </c>
      <c r="H20" s="122" cm="1">
        <f t="array" aca="1" ref="H20" ca="1">IF($D20&lt;&gt;"Serviço",0,IF(ACOMPANHAMENTO="BM",ROUND(OFFSET(ORÇAMENTO!AJ$15,$L20,0),15-13*ORÇAMENTO!$AF$7),IF(IFERROR(CÁLCULO.FrentesPreenchidas,0)=0,0,SUM(ROUND(OFFSET($P20,0,1,1,CÁLCULO.FrentesPreenchidas),15-13*ORÇAMENTO!$AF$7)))))</f>
        <v>0</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t="str">
        <f ca="1">IF($D20&lt;&gt;"Serviço","",
          IF(AUTOEVENTO="manual",$A20,
                IF(ISERROR(MATCH($A20,$A$15:OFFSET($A20,-1,0),0)),MAX($M$15:OFFSET(M20,-1,0))+1,
                      INDEX($M$15:OFFSET(M20,-1,0),MATCH($A20,$A$15:OFFSET($A20,-1,0),0)))))</f>
        <v/>
      </c>
      <c r="N20" s="167" t="str">
        <f ca="1">IF($D20&lt;&gt;"Serviço","",
         IF(AUTOEVENTO="Manual",
                IF($A20=0,"&lt;-- defina o número do agrupador",
                       OFFSET(EVENTOS!$D$15,$A20-$A$15,0)),
                OFFSET($F$15,$A20,0)))</f>
        <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0</v>
      </c>
      <c r="AN20" s="171">
        <f ca="1">IF(OR($D20&lt;&gt;"Serviço",AND(AUTOEVENTO="Manual",$M20=$A$15)),0,
         IF(OFFSET(CRONOPLE!$F$15,$M20-$A$15,AN$13)=0,10^12,OFFSET(CRONOPLE!$F$15,$M20-$A$15,AN$13)))</f>
        <v>0</v>
      </c>
      <c r="AO20" s="171">
        <f ca="1">IF(OR($D20&lt;&gt;"Serviço",AND(AUTOEVENTO="Manual",$M20=$A$15)),0,
         IF(OFFSET(CRONOPLE!$F$15,$M20-$A$15,AO$13)=0,10^12,OFFSET(CRONOPLE!$F$15,$M20-$A$15,AO$13)))</f>
        <v>0</v>
      </c>
      <c r="AP20" s="171">
        <f ca="1">IF(OR($D20&lt;&gt;"Serviço",AND(AUTOEVENTO="Manual",$M20=$A$15)),0,
         IF(OFFSET(CRONOPLE!$F$15,$M20-$A$15,AP$13)=0,10^12,OFFSET(CRONOPLE!$F$15,$M20-$A$15,AP$13)))</f>
        <v>0</v>
      </c>
      <c r="AQ20" s="171">
        <f ca="1">IF(OR($D20&lt;&gt;"Serviço",AND(AUTOEVENTO="Manual",$M20=$A$15)),0,
         IF(OFFSET(CRONOPLE!$F$15,$M20-$A$15,AQ$13)=0,10^12,OFFSET(CRONOPLE!$F$15,$M20-$A$15,AQ$13)))</f>
        <v>0</v>
      </c>
      <c r="AR20" s="171">
        <f ca="1">IF(OR($D20&lt;&gt;"Serviço",AND(AUTOEVENTO="Manual",$M20=$A$15)),0,
         IF(OFFSET(CRONOPLE!$F$15,$M20-$A$15,AR$13)=0,10^12,OFFSET(CRONOPLE!$F$15,$M20-$A$15,AR$13)))</f>
        <v>0</v>
      </c>
      <c r="AS20" s="171">
        <f ca="1">IF(OR($D20&lt;&gt;"Serviço",AND(AUTOEVENTO="Manual",$M20=$A$15)),0,
         IF(OFFSET(CRONOPLE!$F$15,$M20-$A$15,AS$13)=0,10^12,OFFSET(CRONOPLE!$F$15,$M20-$A$15,AS$13)))</f>
        <v>0</v>
      </c>
      <c r="AT20" s="171">
        <f ca="1">IF(OR($D20&lt;&gt;"Serviço",AND(AUTOEVENTO="Manual",$M20=$A$15)),0,
         IF(OFFSET(CRONOPLE!$F$15,$M20-$A$15,AT$13)=0,10^12,OFFSET(CRONOPLE!$F$15,$M20-$A$15,AT$13)))</f>
        <v>0</v>
      </c>
      <c r="AU20" s="171">
        <f ca="1">IF(OR($D20&lt;&gt;"Serviço",AND(AUTOEVENTO="Manual",$M20=$A$15)),0,
         IF(OFFSET(CRONOPLE!$F$15,$M20-$A$15,AU$13)=0,10^12,OFFSET(CRONOPLE!$F$15,$M20-$A$15,AU$13)))</f>
        <v>0</v>
      </c>
      <c r="AV20" s="171">
        <f ca="1">IF(OR($D20&lt;&gt;"Serviço",AND(AUTOEVENTO="Manual",$M20=$A$15)),0,
         IF(OFFSET(CRONOPLE!$F$15,$M20-$A$15,AV$13)=0,10^12,OFFSET(CRONOPLE!$F$15,$M20-$A$15,AV$13)))</f>
        <v>0</v>
      </c>
      <c r="AX20" s="172" cm="1">
        <f t="array" aca="1" ref="AX20" ca="1">IF(OR($D20&lt;&gt;"Serviço",AND(AUTOEVENTO="Manual",$M20=$A$15),$M20&gt;(ROW(PLE.lastrow)-ROW(PLE.firstrow))),0,
           IF(OFFSET(PLE!$G$15,$M20-$A$15,AX$13)="",10^12,OFFSET(PLE!$G$15,$M20-$A$15,AX$13)))</f>
        <v>0</v>
      </c>
      <c r="AY20" s="172" cm="1">
        <f t="array" aca="1" ref="AY20" ca="1">IF(OR($D20&lt;&gt;"Serviço",AND(AUTOEVENTO="Manual",$M20=$A$15),$M20&gt;(ROW(PLE.lastrow)-ROW(PLE.firstrow))),0,
           IF(OFFSET(PLE!$G$15,$M20-$A$15,AY$13)="",10^12,OFFSET(PLE!$G$15,$M20-$A$15,AY$13)))</f>
        <v>0</v>
      </c>
      <c r="AZ20" s="172" cm="1">
        <f t="array" aca="1" ref="AZ20" ca="1">IF(OR($D20&lt;&gt;"Serviço",AND(AUTOEVENTO="Manual",$M20=$A$15),$M20&gt;(ROW(PLE.lastrow)-ROW(PLE.firstrow))),0,
           IF(OFFSET(PLE!$G$15,$M20-$A$15,AZ$13)="",10^12,OFFSET(PLE!$G$15,$M20-$A$15,AZ$13)))</f>
        <v>0</v>
      </c>
      <c r="BA20" s="172" cm="1">
        <f t="array" aca="1" ref="BA20" ca="1">IF(OR($D20&lt;&gt;"Serviço",AND(AUTOEVENTO="Manual",$M20=$A$15),$M20&gt;(ROW(PLE.lastrow)-ROW(PLE.firstrow))),0,
           IF(OFFSET(PLE!$G$15,$M20-$A$15,BA$13)="",10^12,OFFSET(PLE!$G$15,$M20-$A$15,BA$13)))</f>
        <v>0</v>
      </c>
      <c r="BB20" s="172" cm="1">
        <f t="array" aca="1" ref="BB20" ca="1">IF(OR($D20&lt;&gt;"Serviço",AND(AUTOEVENTO="Manual",$M20=$A$15),$M20&gt;(ROW(PLE.lastrow)-ROW(PLE.firstrow))),0,
           IF(OFFSET(PLE!$G$15,$M20-$A$15,BB$13)="",10^12,OFFSET(PLE!$G$15,$M20-$A$15,BB$13)))</f>
        <v>0</v>
      </c>
      <c r="BC20" s="172" cm="1">
        <f t="array" aca="1" ref="BC20" ca="1">IF(OR($D20&lt;&gt;"Serviço",AND(AUTOEVENTO="Manual",$M20=$A$15),$M20&gt;(ROW(PLE.lastrow)-ROW(PLE.firstrow))),0,
           IF(OFFSET(PLE!$G$15,$M20-$A$15,BC$13)="",10^12,OFFSET(PLE!$G$15,$M20-$A$15,BC$13)))</f>
        <v>0</v>
      </c>
      <c r="BD20" s="172" cm="1">
        <f t="array" aca="1" ref="BD20" ca="1">IF(OR($D20&lt;&gt;"Serviço",AND(AUTOEVENTO="Manual",$M20=$A$15),$M20&gt;(ROW(PLE.lastrow)-ROW(PLE.firstrow))),0,
           IF(OFFSET(PLE!$G$15,$M20-$A$15,BD$13)="",10^12,OFFSET(PLE!$G$15,$M20-$A$15,BD$13)))</f>
        <v>0</v>
      </c>
      <c r="BE20" s="172" cm="1">
        <f t="array" aca="1" ref="BE20" ca="1">IF(OR($D20&lt;&gt;"Serviço",AND(AUTOEVENTO="Manual",$M20=$A$15),$M20&gt;(ROW(PLE.lastrow)-ROW(PLE.firstrow))),0,
           IF(OFFSET(PLE!$G$15,$M20-$A$15,BE$13)="",10^12,OFFSET(PLE!$G$15,$M20-$A$15,BE$13)))</f>
        <v>0</v>
      </c>
      <c r="BF20" s="172" cm="1">
        <f t="array" aca="1" ref="BF20" ca="1">IF(OR($D20&lt;&gt;"Serviço",AND(AUTOEVENTO="Manual",$M20=$A$15),$M20&gt;(ROW(PLE.lastrow)-ROW(PLE.firstrow))),0,
           IF(OFFSET(PLE!$G$15,$M20-$A$15,BF$13)="",10^12,OFFSET(PLE!$G$15,$M20-$A$15,BF$13)))</f>
        <v>0</v>
      </c>
      <c r="BG20" s="172" cm="1">
        <f t="array" aca="1" ref="BG20" ca="1">IF(OR($D20&lt;&gt;"Serviço",AND(AUTOEVENTO="Manual",$M20=$A$15),$M20&gt;(ROW(PLE.lastrow)-ROW(PLE.firstrow))),0,
           IF(OFFSET(PLE!$G$15,$M20-$A$15,BG$13)="",10^12,OFFSET(PLE!$G$15,$M20-$A$15,BG$13)))</f>
        <v>0</v>
      </c>
    </row>
    <row r="21" spans="1:59" ht="25.5" x14ac:dyDescent="0.2">
      <c r="A21" s="7" t="str">
        <f t="shared" ca="1" si="8"/>
        <v>5</v>
      </c>
      <c r="B21" s="7" t="str">
        <f ca="1">OFFSET(ORÇAMENTO!C$15,$L21,0)</f>
        <v>S</v>
      </c>
      <c r="C21" s="7" t="str">
        <f ca="1">OFFSET(ORÇAMENTO!L$15,$L21,0)</f>
        <v>F</v>
      </c>
      <c r="D21" s="116" t="str">
        <f ca="1">OFFSET(ORÇAMENTO!N$15,$L21,0)</f>
        <v>Serviço</v>
      </c>
      <c r="E21" s="117" t="str">
        <f ca="1">OFFSET(ORÇAMENTO!O$15,$L21,0)</f>
        <v>1.2.0.0.1.</v>
      </c>
      <c r="F21" s="163" t="str">
        <f ca="1">OFFSET(ORÇAMENTO!R$15,$L21,0)</f>
        <v>FORNECIMENTO E INSTALAÇÃO DE PLACA DE OBRA COM CHAPA GALVANIZADA E ESTRUTURA DE MADEIRA. AF_03/2022_PS</v>
      </c>
      <c r="G21" s="164" t="str">
        <f ca="1">IF($D21&lt;&gt;"Serviço","",OFFSET(ORÇAMENTO!S$15,$L21,0))</f>
        <v>M2</v>
      </c>
      <c r="H21" s="122" cm="1">
        <f t="array" aca="1" ref="H21" ca="1">IF($D21&lt;&gt;"Serviço",0,IF(ACOMPANHAMENTO="BM",ROUND(OFFSET(ORÇAMENTO!AJ$15,$L21,0),15-13*ORÇAMENTO!$AF$7),IF(IFERROR(CÁLCULO.FrentesPreenchidas,0)=0,0,SUM(ROUND(OFFSET($P21,0,1,1,CÁLCULO.FrentesPreenchidas),15-13*ORÇAMENTO!$AF$7)))))</f>
        <v>6</v>
      </c>
      <c r="I21" s="468" t="s">
        <v>1196</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PLACA DE OBRA</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12.75" x14ac:dyDescent="0.2">
      <c r="A22" s="7" t="str">
        <f t="shared" ca="1" si="8"/>
        <v>7.</v>
      </c>
      <c r="B22" s="7">
        <f ca="1">OFFSET(ORÇAMENTO!C$15,$L22,0)</f>
        <v>2</v>
      </c>
      <c r="C22" s="7" t="str">
        <f ca="1">OFFSET(ORÇAMENTO!L$15,$L22,0)</f>
        <v>F</v>
      </c>
      <c r="D22" s="116" t="str">
        <f ca="1">OFFSET(ORÇAMENTO!N$15,$L22,0)</f>
        <v>Nível 2</v>
      </c>
      <c r="E22" s="117" t="str">
        <f ca="1">OFFSET(ORÇAMENTO!O$15,$L22,0)</f>
        <v>1.3.</v>
      </c>
      <c r="F22" s="163" t="str">
        <f ca="1">OFFSET(ORÇAMENTO!R$15,$L22,0)</f>
        <v>SERVIÇOS PRELIMINARES</v>
      </c>
      <c r="G22" s="164" t="str">
        <f ca="1">IF($D22&lt;&gt;"Serviço","",OFFSET(ORÇAMENTO!S$15,$L22,0))</f>
        <v/>
      </c>
      <c r="H22" s="122" cm="1">
        <f t="array" aca="1" ref="H22" ca="1">IF($D22&lt;&gt;"Serviço",0,IF(ACOMPANHAMENTO="BM",ROUND(OFFSET(ORÇAMENTO!AJ$15,$L22,0),15-13*ORÇAMENTO!$AF$7),IF(IFERROR(CÁLCULO.FrentesPreenchidas,0)=0,0,SUM(ROUND(OFFSET($P22,0,1,1,CÁLCULO.FrentesPreenchidas),15-13*ORÇAMENTO!$AF$7)))))</f>
        <v>0</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t="str">
        <f ca="1">IF($D22&lt;&gt;"Serviço","",
          IF(AUTOEVENTO="manual",$A22,
                IF(ISERROR(MATCH($A22,$A$15:OFFSET($A22,-1,0),0)),MAX($M$15:OFFSET(M22,-1,0))+1,
                      INDEX($M$15:OFFSET(M22,-1,0),MATCH($A22,$A$15:OFFSET($A22,-1,0),0)))))</f>
        <v/>
      </c>
      <c r="N22" s="167" t="str">
        <f ca="1">IF($D22&lt;&gt;"Serviço","",
         IF(AUTOEVENTO="Manual",
                IF($A22=0,"&lt;-- defina o número do agrupador",
                       OFFSET(EVENTOS!$D$15,$A22-$A$15,0)),
                OFFSET($F$15,$A22,0)))</f>
        <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0</v>
      </c>
      <c r="AN22" s="171">
        <f ca="1">IF(OR($D22&lt;&gt;"Serviço",AND(AUTOEVENTO="Manual",$M22=$A$15)),0,
         IF(OFFSET(CRONOPLE!$F$15,$M22-$A$15,AN$13)=0,10^12,OFFSET(CRONOPLE!$F$15,$M22-$A$15,AN$13)))</f>
        <v>0</v>
      </c>
      <c r="AO22" s="171">
        <f ca="1">IF(OR($D22&lt;&gt;"Serviço",AND(AUTOEVENTO="Manual",$M22=$A$15)),0,
         IF(OFFSET(CRONOPLE!$F$15,$M22-$A$15,AO$13)=0,10^12,OFFSET(CRONOPLE!$F$15,$M22-$A$15,AO$13)))</f>
        <v>0</v>
      </c>
      <c r="AP22" s="171">
        <f ca="1">IF(OR($D22&lt;&gt;"Serviço",AND(AUTOEVENTO="Manual",$M22=$A$15)),0,
         IF(OFFSET(CRONOPLE!$F$15,$M22-$A$15,AP$13)=0,10^12,OFFSET(CRONOPLE!$F$15,$M22-$A$15,AP$13)))</f>
        <v>0</v>
      </c>
      <c r="AQ22" s="171">
        <f ca="1">IF(OR($D22&lt;&gt;"Serviço",AND(AUTOEVENTO="Manual",$M22=$A$15)),0,
         IF(OFFSET(CRONOPLE!$F$15,$M22-$A$15,AQ$13)=0,10^12,OFFSET(CRONOPLE!$F$15,$M22-$A$15,AQ$13)))</f>
        <v>0</v>
      </c>
      <c r="AR22" s="171">
        <f ca="1">IF(OR($D22&lt;&gt;"Serviço",AND(AUTOEVENTO="Manual",$M22=$A$15)),0,
         IF(OFFSET(CRONOPLE!$F$15,$M22-$A$15,AR$13)=0,10^12,OFFSET(CRONOPLE!$F$15,$M22-$A$15,AR$13)))</f>
        <v>0</v>
      </c>
      <c r="AS22" s="171">
        <f ca="1">IF(OR($D22&lt;&gt;"Serviço",AND(AUTOEVENTO="Manual",$M22=$A$15)),0,
         IF(OFFSET(CRONOPLE!$F$15,$M22-$A$15,AS$13)=0,10^12,OFFSET(CRONOPLE!$F$15,$M22-$A$15,AS$13)))</f>
        <v>0</v>
      </c>
      <c r="AT22" s="171">
        <f ca="1">IF(OR($D22&lt;&gt;"Serviço",AND(AUTOEVENTO="Manual",$M22=$A$15)),0,
         IF(OFFSET(CRONOPLE!$F$15,$M22-$A$15,AT$13)=0,10^12,OFFSET(CRONOPLE!$F$15,$M22-$A$15,AT$13)))</f>
        <v>0</v>
      </c>
      <c r="AU22" s="171">
        <f ca="1">IF(OR($D22&lt;&gt;"Serviço",AND(AUTOEVENTO="Manual",$M22=$A$15)),0,
         IF(OFFSET(CRONOPLE!$F$15,$M22-$A$15,AU$13)=0,10^12,OFFSET(CRONOPLE!$F$15,$M22-$A$15,AU$13)))</f>
        <v>0</v>
      </c>
      <c r="AV22" s="171">
        <f ca="1">IF(OR($D22&lt;&gt;"Serviço",AND(AUTOEVENTO="Manual",$M22=$A$15)),0,
         IF(OFFSET(CRONOPLE!$F$15,$M22-$A$15,AV$13)=0,10^12,OFFSET(CRONOPLE!$F$15,$M22-$A$15,AV$13)))</f>
        <v>0</v>
      </c>
      <c r="AX22" s="172" cm="1">
        <f t="array" aca="1" ref="AX22" ca="1">IF(OR($D22&lt;&gt;"Serviço",AND(AUTOEVENTO="Manual",$M22=$A$15),$M22&gt;(ROW(PLE.lastrow)-ROW(PLE.firstrow))),0,
           IF(OFFSET(PLE!$G$15,$M22-$A$15,AX$13)="",10^12,OFFSET(PLE!$G$15,$M22-$A$15,AX$13)))</f>
        <v>0</v>
      </c>
      <c r="AY22" s="172" cm="1">
        <f t="array" aca="1" ref="AY22" ca="1">IF(OR($D22&lt;&gt;"Serviço",AND(AUTOEVENTO="Manual",$M22=$A$15),$M22&gt;(ROW(PLE.lastrow)-ROW(PLE.firstrow))),0,
           IF(OFFSET(PLE!$G$15,$M22-$A$15,AY$13)="",10^12,OFFSET(PLE!$G$15,$M22-$A$15,AY$13)))</f>
        <v>0</v>
      </c>
      <c r="AZ22" s="172" cm="1">
        <f t="array" aca="1" ref="AZ22" ca="1">IF(OR($D22&lt;&gt;"Serviço",AND(AUTOEVENTO="Manual",$M22=$A$15),$M22&gt;(ROW(PLE.lastrow)-ROW(PLE.firstrow))),0,
           IF(OFFSET(PLE!$G$15,$M22-$A$15,AZ$13)="",10^12,OFFSET(PLE!$G$15,$M22-$A$15,AZ$13)))</f>
        <v>0</v>
      </c>
      <c r="BA22" s="172" cm="1">
        <f t="array" aca="1" ref="BA22" ca="1">IF(OR($D22&lt;&gt;"Serviço",AND(AUTOEVENTO="Manual",$M22=$A$15),$M22&gt;(ROW(PLE.lastrow)-ROW(PLE.firstrow))),0,
           IF(OFFSET(PLE!$G$15,$M22-$A$15,BA$13)="",10^12,OFFSET(PLE!$G$15,$M22-$A$15,BA$13)))</f>
        <v>0</v>
      </c>
      <c r="BB22" s="172" cm="1">
        <f t="array" aca="1" ref="BB22" ca="1">IF(OR($D22&lt;&gt;"Serviço",AND(AUTOEVENTO="Manual",$M22=$A$15),$M22&gt;(ROW(PLE.lastrow)-ROW(PLE.firstrow))),0,
           IF(OFFSET(PLE!$G$15,$M22-$A$15,BB$13)="",10^12,OFFSET(PLE!$G$15,$M22-$A$15,BB$13)))</f>
        <v>0</v>
      </c>
      <c r="BC22" s="172" cm="1">
        <f t="array" aca="1" ref="BC22" ca="1">IF(OR($D22&lt;&gt;"Serviço",AND(AUTOEVENTO="Manual",$M22=$A$15),$M22&gt;(ROW(PLE.lastrow)-ROW(PLE.firstrow))),0,
           IF(OFFSET(PLE!$G$15,$M22-$A$15,BC$13)="",10^12,OFFSET(PLE!$G$15,$M22-$A$15,BC$13)))</f>
        <v>0</v>
      </c>
      <c r="BD22" s="172" cm="1">
        <f t="array" aca="1" ref="BD22" ca="1">IF(OR($D22&lt;&gt;"Serviço",AND(AUTOEVENTO="Manual",$M22=$A$15),$M22&gt;(ROW(PLE.lastrow)-ROW(PLE.firstrow))),0,
           IF(OFFSET(PLE!$G$15,$M22-$A$15,BD$13)="",10^12,OFFSET(PLE!$G$15,$M22-$A$15,BD$13)))</f>
        <v>0</v>
      </c>
      <c r="BE22" s="172" cm="1">
        <f t="array" aca="1" ref="BE22" ca="1">IF(OR($D22&lt;&gt;"Serviço",AND(AUTOEVENTO="Manual",$M22=$A$15),$M22&gt;(ROW(PLE.lastrow)-ROW(PLE.firstrow))),0,
           IF(OFFSET(PLE!$G$15,$M22-$A$15,BE$13)="",10^12,OFFSET(PLE!$G$15,$M22-$A$15,BE$13)))</f>
        <v>0</v>
      </c>
      <c r="BF22" s="172" cm="1">
        <f t="array" aca="1" ref="BF22" ca="1">IF(OR($D22&lt;&gt;"Serviço",AND(AUTOEVENTO="Manual",$M22=$A$15),$M22&gt;(ROW(PLE.lastrow)-ROW(PLE.firstrow))),0,
           IF(OFFSET(PLE!$G$15,$M22-$A$15,BF$13)="",10^12,OFFSET(PLE!$G$15,$M22-$A$15,BF$13)))</f>
        <v>0</v>
      </c>
      <c r="BG22" s="172" cm="1">
        <f t="array" aca="1" ref="BG22" ca="1">IF(OR($D22&lt;&gt;"Serviço",AND(AUTOEVENTO="Manual",$M22=$A$15),$M22&gt;(ROW(PLE.lastrow)-ROW(PLE.firstrow))),0,
           IF(OFFSET(PLE!$G$15,$M22-$A$15,BG$13)="",10^12,OFFSET(PLE!$G$15,$M22-$A$15,BG$13)))</f>
        <v>0</v>
      </c>
    </row>
    <row r="23" spans="1:59" ht="38.25" x14ac:dyDescent="0.2">
      <c r="A23" s="7" t="str">
        <f t="shared" ca="1" si="8"/>
        <v>7</v>
      </c>
      <c r="B23" s="7" t="str">
        <f ca="1">OFFSET(ORÇAMENTO!C$15,$L23,0)</f>
        <v>S</v>
      </c>
      <c r="C23" s="7" t="str">
        <f ca="1">OFFSET(ORÇAMENTO!L$15,$L23,0)</f>
        <v>F</v>
      </c>
      <c r="D23" s="116" t="str">
        <f ca="1">OFFSET(ORÇAMENTO!N$15,$L23,0)</f>
        <v>Serviço</v>
      </c>
      <c r="E23" s="117" t="str">
        <f ca="1">OFFSET(ORÇAMENTO!O$15,$L23,0)</f>
        <v>1.3.0.0.1.</v>
      </c>
      <c r="F23" s="163" t="str">
        <f ca="1">OFFSET(ORÇAMENTO!R$15,$L23,0)</f>
        <v>LOCAÇÃO CONVENCIONAL DE OBRA, UTILIZANDO GABARITO DE TÁBUAS CORRIDAS PONTALETADAS A CADA 2,00M - 2 UTILIZAÇÕES. AF_03/2024</v>
      </c>
      <c r="G23" s="164" t="str">
        <f ca="1">IF($D23&lt;&gt;"Serviço","",OFFSET(ORÇAMENTO!S$15,$L23,0))</f>
        <v>M</v>
      </c>
      <c r="H23" s="122" cm="1">
        <f t="array" aca="1" ref="H23" ca="1">IF($D23&lt;&gt;"Serviço",0,IF(ACOMPANHAMENTO="BM",ROUND(OFFSET(ORÇAMENTO!AJ$15,$L23,0),15-13*ORÇAMENTO!$AF$7),IF(IFERROR(CÁLCULO.FrentesPreenchidas,0)=0,0,SUM(ROUND(OFFSET($P23,0,1,1,CÁLCULO.FrentesPreenchidas),15-13*ORÇAMENTO!$AF$7)))))</f>
        <v>909</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3</v>
      </c>
      <c r="N23" s="167" t="str">
        <f ca="1">IF($D23&lt;&gt;"Serviço","",
         IF(AUTOEVENTO="Manual",
                IF($A23=0,"&lt;-- defina o número do agrupador",
                       OFFSET(EVENTOS!$D$15,$A23-$A$15,0)),
                OFFSET($F$15,$A23,0)))</f>
        <v>SERVIÇOS PRELIMINARES</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12.75" x14ac:dyDescent="0.2">
      <c r="A24" s="7" t="str">
        <f t="shared" ca="1" si="8"/>
        <v>9.</v>
      </c>
      <c r="B24" s="7">
        <f ca="1">OFFSET(ORÇAMENTO!C$15,$L24,0)</f>
        <v>2</v>
      </c>
      <c r="C24" s="7" t="str">
        <f ca="1">OFFSET(ORÇAMENTO!L$15,$L24,0)</f>
        <v>F</v>
      </c>
      <c r="D24" s="116" t="str">
        <f ca="1">OFFSET(ORÇAMENTO!N$15,$L24,0)</f>
        <v>Nível 2</v>
      </c>
      <c r="E24" s="117" t="str">
        <f ca="1">OFFSET(ORÇAMENTO!O$15,$L24,0)</f>
        <v>1.4.</v>
      </c>
      <c r="F24" s="163" t="str">
        <f ca="1">OFFSET(ORÇAMENTO!R$15,$L24,0)</f>
        <v>INFRAESTRUTURA</v>
      </c>
      <c r="G24" s="164" t="str">
        <f ca="1">IF($D24&lt;&gt;"Serviço","",OFFSET(ORÇAMENTO!S$15,$L24,0))</f>
        <v/>
      </c>
      <c r="H24" s="122" cm="1">
        <f t="array" aca="1" ref="H24" ca="1">IF($D24&lt;&gt;"Serviço",0,IF(ACOMPANHAMENTO="BM",ROUND(OFFSET(ORÇAMENTO!AJ$15,$L24,0),15-13*ORÇAMENTO!$AF$7),IF(IFERROR(CÁLCULO.FrentesPreenchidas,0)=0,0,SUM(ROUND(OFFSET($P24,0,1,1,CÁLCULO.FrentesPreenchidas),15-13*ORÇAMENTO!$AF$7)))))</f>
        <v>0</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t="str">
        <f ca="1">IF($D24&lt;&gt;"Serviço","",
          IF(AUTOEVENTO="manual",$A24,
                IF(ISERROR(MATCH($A24,$A$15:OFFSET($A24,-1,0),0)),MAX($M$15:OFFSET(M24,-1,0))+1,
                      INDEX($M$15:OFFSET(M24,-1,0),MATCH($A24,$A$15:OFFSET($A24,-1,0),0)))))</f>
        <v/>
      </c>
      <c r="N24" s="167" t="str">
        <f ca="1">IF($D24&lt;&gt;"Serviço","",
         IF(AUTOEVENTO="Manual",
                IF($A24=0,"&lt;-- defina o número do agrupador",
                       OFFSET(EVENTOS!$D$15,$A24-$A$15,0)),
                OFFSET($F$15,$A24,0)))</f>
        <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0</v>
      </c>
      <c r="AN24" s="171">
        <f ca="1">IF(OR($D24&lt;&gt;"Serviço",AND(AUTOEVENTO="Manual",$M24=$A$15)),0,
         IF(OFFSET(CRONOPLE!$F$15,$M24-$A$15,AN$13)=0,10^12,OFFSET(CRONOPLE!$F$15,$M24-$A$15,AN$13)))</f>
        <v>0</v>
      </c>
      <c r="AO24" s="171">
        <f ca="1">IF(OR($D24&lt;&gt;"Serviço",AND(AUTOEVENTO="Manual",$M24=$A$15)),0,
         IF(OFFSET(CRONOPLE!$F$15,$M24-$A$15,AO$13)=0,10^12,OFFSET(CRONOPLE!$F$15,$M24-$A$15,AO$13)))</f>
        <v>0</v>
      </c>
      <c r="AP24" s="171">
        <f ca="1">IF(OR($D24&lt;&gt;"Serviço",AND(AUTOEVENTO="Manual",$M24=$A$15)),0,
         IF(OFFSET(CRONOPLE!$F$15,$M24-$A$15,AP$13)=0,10^12,OFFSET(CRONOPLE!$F$15,$M24-$A$15,AP$13)))</f>
        <v>0</v>
      </c>
      <c r="AQ24" s="171">
        <f ca="1">IF(OR($D24&lt;&gt;"Serviço",AND(AUTOEVENTO="Manual",$M24=$A$15)),0,
         IF(OFFSET(CRONOPLE!$F$15,$M24-$A$15,AQ$13)=0,10^12,OFFSET(CRONOPLE!$F$15,$M24-$A$15,AQ$13)))</f>
        <v>0</v>
      </c>
      <c r="AR24" s="171">
        <f ca="1">IF(OR($D24&lt;&gt;"Serviço",AND(AUTOEVENTO="Manual",$M24=$A$15)),0,
         IF(OFFSET(CRONOPLE!$F$15,$M24-$A$15,AR$13)=0,10^12,OFFSET(CRONOPLE!$F$15,$M24-$A$15,AR$13)))</f>
        <v>0</v>
      </c>
      <c r="AS24" s="171">
        <f ca="1">IF(OR($D24&lt;&gt;"Serviço",AND(AUTOEVENTO="Manual",$M24=$A$15)),0,
         IF(OFFSET(CRONOPLE!$F$15,$M24-$A$15,AS$13)=0,10^12,OFFSET(CRONOPLE!$F$15,$M24-$A$15,AS$13)))</f>
        <v>0</v>
      </c>
      <c r="AT24" s="171">
        <f ca="1">IF(OR($D24&lt;&gt;"Serviço",AND(AUTOEVENTO="Manual",$M24=$A$15)),0,
         IF(OFFSET(CRONOPLE!$F$15,$M24-$A$15,AT$13)=0,10^12,OFFSET(CRONOPLE!$F$15,$M24-$A$15,AT$13)))</f>
        <v>0</v>
      </c>
      <c r="AU24" s="171">
        <f ca="1">IF(OR($D24&lt;&gt;"Serviço",AND(AUTOEVENTO="Manual",$M24=$A$15)),0,
         IF(OFFSET(CRONOPLE!$F$15,$M24-$A$15,AU$13)=0,10^12,OFFSET(CRONOPLE!$F$15,$M24-$A$15,AU$13)))</f>
        <v>0</v>
      </c>
      <c r="AV24" s="171">
        <f ca="1">IF(OR($D24&lt;&gt;"Serviço",AND(AUTOEVENTO="Manual",$M24=$A$15)),0,
         IF(OFFSET(CRONOPLE!$F$15,$M24-$A$15,AV$13)=0,10^12,OFFSET(CRONOPLE!$F$15,$M24-$A$15,AV$13)))</f>
        <v>0</v>
      </c>
      <c r="AX24" s="172" cm="1">
        <f t="array" aca="1" ref="AX24" ca="1">IF(OR($D24&lt;&gt;"Serviço",AND(AUTOEVENTO="Manual",$M24=$A$15),$M24&gt;(ROW(PLE.lastrow)-ROW(PLE.firstrow))),0,
           IF(OFFSET(PLE!$G$15,$M24-$A$15,AX$13)="",10^12,OFFSET(PLE!$G$15,$M24-$A$15,AX$13)))</f>
        <v>0</v>
      </c>
      <c r="AY24" s="172" cm="1">
        <f t="array" aca="1" ref="AY24" ca="1">IF(OR($D24&lt;&gt;"Serviço",AND(AUTOEVENTO="Manual",$M24=$A$15),$M24&gt;(ROW(PLE.lastrow)-ROW(PLE.firstrow))),0,
           IF(OFFSET(PLE!$G$15,$M24-$A$15,AY$13)="",10^12,OFFSET(PLE!$G$15,$M24-$A$15,AY$13)))</f>
        <v>0</v>
      </c>
      <c r="AZ24" s="172" cm="1">
        <f t="array" aca="1" ref="AZ24" ca="1">IF(OR($D24&lt;&gt;"Serviço",AND(AUTOEVENTO="Manual",$M24=$A$15),$M24&gt;(ROW(PLE.lastrow)-ROW(PLE.firstrow))),0,
           IF(OFFSET(PLE!$G$15,$M24-$A$15,AZ$13)="",10^12,OFFSET(PLE!$G$15,$M24-$A$15,AZ$13)))</f>
        <v>0</v>
      </c>
      <c r="BA24" s="172" cm="1">
        <f t="array" aca="1" ref="BA24" ca="1">IF(OR($D24&lt;&gt;"Serviço",AND(AUTOEVENTO="Manual",$M24=$A$15),$M24&gt;(ROW(PLE.lastrow)-ROW(PLE.firstrow))),0,
           IF(OFFSET(PLE!$G$15,$M24-$A$15,BA$13)="",10^12,OFFSET(PLE!$G$15,$M24-$A$15,BA$13)))</f>
        <v>0</v>
      </c>
      <c r="BB24" s="172" cm="1">
        <f t="array" aca="1" ref="BB24" ca="1">IF(OR($D24&lt;&gt;"Serviço",AND(AUTOEVENTO="Manual",$M24=$A$15),$M24&gt;(ROW(PLE.lastrow)-ROW(PLE.firstrow))),0,
           IF(OFFSET(PLE!$G$15,$M24-$A$15,BB$13)="",10^12,OFFSET(PLE!$G$15,$M24-$A$15,BB$13)))</f>
        <v>0</v>
      </c>
      <c r="BC24" s="172" cm="1">
        <f t="array" aca="1" ref="BC24" ca="1">IF(OR($D24&lt;&gt;"Serviço",AND(AUTOEVENTO="Manual",$M24=$A$15),$M24&gt;(ROW(PLE.lastrow)-ROW(PLE.firstrow))),0,
           IF(OFFSET(PLE!$G$15,$M24-$A$15,BC$13)="",10^12,OFFSET(PLE!$G$15,$M24-$A$15,BC$13)))</f>
        <v>0</v>
      </c>
      <c r="BD24" s="172" cm="1">
        <f t="array" aca="1" ref="BD24" ca="1">IF(OR($D24&lt;&gt;"Serviço",AND(AUTOEVENTO="Manual",$M24=$A$15),$M24&gt;(ROW(PLE.lastrow)-ROW(PLE.firstrow))),0,
           IF(OFFSET(PLE!$G$15,$M24-$A$15,BD$13)="",10^12,OFFSET(PLE!$G$15,$M24-$A$15,BD$13)))</f>
        <v>0</v>
      </c>
      <c r="BE24" s="172" cm="1">
        <f t="array" aca="1" ref="BE24" ca="1">IF(OR($D24&lt;&gt;"Serviço",AND(AUTOEVENTO="Manual",$M24=$A$15),$M24&gt;(ROW(PLE.lastrow)-ROW(PLE.firstrow))),0,
           IF(OFFSET(PLE!$G$15,$M24-$A$15,BE$13)="",10^12,OFFSET(PLE!$G$15,$M24-$A$15,BE$13)))</f>
        <v>0</v>
      </c>
      <c r="BF24" s="172" cm="1">
        <f t="array" aca="1" ref="BF24" ca="1">IF(OR($D24&lt;&gt;"Serviço",AND(AUTOEVENTO="Manual",$M24=$A$15),$M24&gt;(ROW(PLE.lastrow)-ROW(PLE.firstrow))),0,
           IF(OFFSET(PLE!$G$15,$M24-$A$15,BF$13)="",10^12,OFFSET(PLE!$G$15,$M24-$A$15,BF$13)))</f>
        <v>0</v>
      </c>
      <c r="BG24" s="172" cm="1">
        <f t="array" aca="1" ref="BG24" ca="1">IF(OR($D24&lt;&gt;"Serviço",AND(AUTOEVENTO="Manual",$M24=$A$15),$M24&gt;(ROW(PLE.lastrow)-ROW(PLE.firstrow))),0,
           IF(OFFSET(PLE!$G$15,$M24-$A$15,BG$13)="",10^12,OFFSET(PLE!$G$15,$M24-$A$15,BG$13)))</f>
        <v>0</v>
      </c>
    </row>
    <row r="25" spans="1:59" ht="12.75" x14ac:dyDescent="0.2">
      <c r="A25" s="7" t="str">
        <f t="shared" ca="1" si="8"/>
        <v>9.</v>
      </c>
      <c r="B25" s="7">
        <f ca="1">OFFSET(ORÇAMENTO!C$15,$L25,0)</f>
        <v>3</v>
      </c>
      <c r="C25" s="7" t="str">
        <f ca="1">OFFSET(ORÇAMENTO!L$15,$L25,0)</f>
        <v>F</v>
      </c>
      <c r="D25" s="116" t="str">
        <f ca="1">OFFSET(ORÇAMENTO!N$15,$L25,0)</f>
        <v>Nível 3</v>
      </c>
      <c r="E25" s="117" t="str">
        <f ca="1">OFFSET(ORÇAMENTO!O$15,$L25,0)</f>
        <v>1.4.1.</v>
      </c>
      <c r="F25" s="163" t="str">
        <f ca="1">OFFSET(ORÇAMENTO!R$15,$L25,0)</f>
        <v>SAPATAS ISOLADAS</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0</v>
      </c>
      <c r="AN25" s="171">
        <f ca="1">IF(OR($D25&lt;&gt;"Serviço",AND(AUTOEVENTO="Manual",$M25=$A$15)),0,
         IF(OFFSET(CRONOPLE!$F$15,$M25-$A$15,AN$13)=0,10^12,OFFSET(CRONOPLE!$F$15,$M25-$A$15,AN$13)))</f>
        <v>0</v>
      </c>
      <c r="AO25" s="171">
        <f ca="1">IF(OR($D25&lt;&gt;"Serviço",AND(AUTOEVENTO="Manual",$M25=$A$15)),0,
         IF(OFFSET(CRONOPLE!$F$15,$M25-$A$15,AO$13)=0,10^12,OFFSET(CRONOPLE!$F$15,$M25-$A$15,AO$13)))</f>
        <v>0</v>
      </c>
      <c r="AP25" s="171">
        <f ca="1">IF(OR($D25&lt;&gt;"Serviço",AND(AUTOEVENTO="Manual",$M25=$A$15)),0,
         IF(OFFSET(CRONOPLE!$F$15,$M25-$A$15,AP$13)=0,10^12,OFFSET(CRONOPLE!$F$15,$M25-$A$15,AP$13)))</f>
        <v>0</v>
      </c>
      <c r="AQ25" s="171">
        <f ca="1">IF(OR($D25&lt;&gt;"Serviço",AND(AUTOEVENTO="Manual",$M25=$A$15)),0,
         IF(OFFSET(CRONOPLE!$F$15,$M25-$A$15,AQ$13)=0,10^12,OFFSET(CRONOPLE!$F$15,$M25-$A$15,AQ$13)))</f>
        <v>0</v>
      </c>
      <c r="AR25" s="171">
        <f ca="1">IF(OR($D25&lt;&gt;"Serviço",AND(AUTOEVENTO="Manual",$M25=$A$15)),0,
         IF(OFFSET(CRONOPLE!$F$15,$M25-$A$15,AR$13)=0,10^12,OFFSET(CRONOPLE!$F$15,$M25-$A$15,AR$13)))</f>
        <v>0</v>
      </c>
      <c r="AS25" s="171">
        <f ca="1">IF(OR($D25&lt;&gt;"Serviço",AND(AUTOEVENTO="Manual",$M25=$A$15)),0,
         IF(OFFSET(CRONOPLE!$F$15,$M25-$A$15,AS$13)=0,10^12,OFFSET(CRONOPLE!$F$15,$M25-$A$15,AS$13)))</f>
        <v>0</v>
      </c>
      <c r="AT25" s="171">
        <f ca="1">IF(OR($D25&lt;&gt;"Serviço",AND(AUTOEVENTO="Manual",$M25=$A$15)),0,
         IF(OFFSET(CRONOPLE!$F$15,$M25-$A$15,AT$13)=0,10^12,OFFSET(CRONOPLE!$F$15,$M25-$A$15,AT$13)))</f>
        <v>0</v>
      </c>
      <c r="AU25" s="171">
        <f ca="1">IF(OR($D25&lt;&gt;"Serviço",AND(AUTOEVENTO="Manual",$M25=$A$15)),0,
         IF(OFFSET(CRONOPLE!$F$15,$M25-$A$15,AU$13)=0,10^12,OFFSET(CRONOPLE!$F$15,$M25-$A$15,AU$13)))</f>
        <v>0</v>
      </c>
      <c r="AV25" s="171">
        <f ca="1">IF(OR($D25&lt;&gt;"Serviço",AND(AUTOEVENTO="Manual",$M25=$A$15)),0,
         IF(OFFSET(CRONOPLE!$F$15,$M25-$A$15,AV$13)=0,10^12,OFFSET(CRONOPLE!$F$15,$M25-$A$15,AV$13)))</f>
        <v>0</v>
      </c>
      <c r="AX25" s="172" cm="1">
        <f t="array" aca="1" ref="AX25" ca="1">IF(OR($D25&lt;&gt;"Serviço",AND(AUTOEVENTO="Manual",$M25=$A$15),$M25&gt;(ROW(PLE.lastrow)-ROW(PLE.firstrow))),0,
           IF(OFFSET(PLE!$G$15,$M25-$A$15,AX$13)="",10^12,OFFSET(PLE!$G$15,$M25-$A$15,AX$13)))</f>
        <v>0</v>
      </c>
      <c r="AY25" s="172" cm="1">
        <f t="array" aca="1" ref="AY25" ca="1">IF(OR($D25&lt;&gt;"Serviço",AND(AUTOEVENTO="Manual",$M25=$A$15),$M25&gt;(ROW(PLE.lastrow)-ROW(PLE.firstrow))),0,
           IF(OFFSET(PLE!$G$15,$M25-$A$15,AY$13)="",10^12,OFFSET(PLE!$G$15,$M25-$A$15,AY$13)))</f>
        <v>0</v>
      </c>
      <c r="AZ25" s="172" cm="1">
        <f t="array" aca="1" ref="AZ25" ca="1">IF(OR($D25&lt;&gt;"Serviço",AND(AUTOEVENTO="Manual",$M25=$A$15),$M25&gt;(ROW(PLE.lastrow)-ROW(PLE.firstrow))),0,
           IF(OFFSET(PLE!$G$15,$M25-$A$15,AZ$13)="",10^12,OFFSET(PLE!$G$15,$M25-$A$15,AZ$13)))</f>
        <v>0</v>
      </c>
      <c r="BA25" s="172" cm="1">
        <f t="array" aca="1" ref="BA25" ca="1">IF(OR($D25&lt;&gt;"Serviço",AND(AUTOEVENTO="Manual",$M25=$A$15),$M25&gt;(ROW(PLE.lastrow)-ROW(PLE.firstrow))),0,
           IF(OFFSET(PLE!$G$15,$M25-$A$15,BA$13)="",10^12,OFFSET(PLE!$G$15,$M25-$A$15,BA$13)))</f>
        <v>0</v>
      </c>
      <c r="BB25" s="172" cm="1">
        <f t="array" aca="1" ref="BB25" ca="1">IF(OR($D25&lt;&gt;"Serviço",AND(AUTOEVENTO="Manual",$M25=$A$15),$M25&gt;(ROW(PLE.lastrow)-ROW(PLE.firstrow))),0,
           IF(OFFSET(PLE!$G$15,$M25-$A$15,BB$13)="",10^12,OFFSET(PLE!$G$15,$M25-$A$15,BB$13)))</f>
        <v>0</v>
      </c>
      <c r="BC25" s="172" cm="1">
        <f t="array" aca="1" ref="BC25" ca="1">IF(OR($D25&lt;&gt;"Serviço",AND(AUTOEVENTO="Manual",$M25=$A$15),$M25&gt;(ROW(PLE.lastrow)-ROW(PLE.firstrow))),0,
           IF(OFFSET(PLE!$G$15,$M25-$A$15,BC$13)="",10^12,OFFSET(PLE!$G$15,$M25-$A$15,BC$13)))</f>
        <v>0</v>
      </c>
      <c r="BD25" s="172" cm="1">
        <f t="array" aca="1" ref="BD25" ca="1">IF(OR($D25&lt;&gt;"Serviço",AND(AUTOEVENTO="Manual",$M25=$A$15),$M25&gt;(ROW(PLE.lastrow)-ROW(PLE.firstrow))),0,
           IF(OFFSET(PLE!$G$15,$M25-$A$15,BD$13)="",10^12,OFFSET(PLE!$G$15,$M25-$A$15,BD$13)))</f>
        <v>0</v>
      </c>
      <c r="BE25" s="172" cm="1">
        <f t="array" aca="1" ref="BE25" ca="1">IF(OR($D25&lt;&gt;"Serviço",AND(AUTOEVENTO="Manual",$M25=$A$15),$M25&gt;(ROW(PLE.lastrow)-ROW(PLE.firstrow))),0,
           IF(OFFSET(PLE!$G$15,$M25-$A$15,BE$13)="",10^12,OFFSET(PLE!$G$15,$M25-$A$15,BE$13)))</f>
        <v>0</v>
      </c>
      <c r="BF25" s="172" cm="1">
        <f t="array" aca="1" ref="BF25" ca="1">IF(OR($D25&lt;&gt;"Serviço",AND(AUTOEVENTO="Manual",$M25=$A$15),$M25&gt;(ROW(PLE.lastrow)-ROW(PLE.firstrow))),0,
           IF(OFFSET(PLE!$G$15,$M25-$A$15,BF$13)="",10^12,OFFSET(PLE!$G$15,$M25-$A$15,BF$13)))</f>
        <v>0</v>
      </c>
      <c r="BG25" s="172" cm="1">
        <f t="array" aca="1" ref="BG25" ca="1">IF(OR($D25&lt;&gt;"Serviço",AND(AUTOEVENTO="Manual",$M25=$A$15),$M25&gt;(ROW(PLE.lastrow)-ROW(PLE.firstrow))),0,
           IF(OFFSET(PLE!$G$15,$M25-$A$15,BG$13)="",10^12,OFFSET(PLE!$G$15,$M25-$A$15,BG$13)))</f>
        <v>0</v>
      </c>
    </row>
    <row r="26" spans="1:59" ht="38.25" x14ac:dyDescent="0.2">
      <c r="A26" s="7" t="str">
        <f t="shared" ca="1" si="8"/>
        <v>9</v>
      </c>
      <c r="B26" s="7" t="str">
        <f ca="1">OFFSET(ORÇAMENTO!C$15,$L26,0)</f>
        <v>S</v>
      </c>
      <c r="C26" s="7" t="str">
        <f ca="1">OFFSET(ORÇAMENTO!L$15,$L26,0)</f>
        <v>F</v>
      </c>
      <c r="D26" s="116" t="str">
        <f ca="1">OFFSET(ORÇAMENTO!N$15,$L26,0)</f>
        <v>Serviço</v>
      </c>
      <c r="E26" s="117" t="str">
        <f ca="1">OFFSET(ORÇAMENTO!O$15,$L26,0)</f>
        <v>1.4.1.0.1.</v>
      </c>
      <c r="F26" s="163" t="str">
        <f ca="1">OFFSET(ORÇAMENTO!R$15,$L26,0)</f>
        <v>ESCAVAÇÃO MECANIZADA PARA BLOCO DE COROAMENTO OU SAPATA COM RETROESCAVADEIRA (INCLUINDO ESCAVAÇÃO PARA COLOCAÇÃO DE FÔRMAS). AF_01/2024</v>
      </c>
      <c r="G26" s="164" t="str">
        <f ca="1">IF($D26&lt;&gt;"Serviço","",OFFSET(ORÇAMENTO!S$15,$L26,0))</f>
        <v>M3</v>
      </c>
      <c r="H26" s="122" cm="1">
        <f t="array" aca="1" ref="H26" ca="1">IF($D26&lt;&gt;"Serviço",0,IF(ACOMPANHAMENTO="BM",ROUND(OFFSET(ORÇAMENTO!AJ$15,$L26,0),15-13*ORÇAMENTO!$AF$7),IF(IFERROR(CÁLCULO.FrentesPreenchidas,0)=0,0,SUM(ROUND(OFFSET($P26,0,1,1,CÁLCULO.FrentesPreenchidas),15-13*ORÇAMENTO!$AF$7)))))</f>
        <v>18.559999999999999</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4</v>
      </c>
      <c r="N26" s="167" t="str">
        <f ca="1">IF($D26&lt;&gt;"Serviço","",
         IF(AUTOEVENTO="Manual",
                IF($A26=0,"&lt;-- defina o número do agrupador",
                       OFFSET(EVENTOS!$D$15,$A26-$A$15,0)),
                OFFSET($F$15,$A26,0)))</f>
        <v>INFRAESTRUTURA</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25.5" x14ac:dyDescent="0.2">
      <c r="A27" s="7" t="str">
        <f t="shared" ca="1" si="8"/>
        <v>9</v>
      </c>
      <c r="B27" s="7" t="str">
        <f ca="1">OFFSET(ORÇAMENTO!C$15,$L27,0)</f>
        <v>S</v>
      </c>
      <c r="C27" s="7" t="str">
        <f ca="1">OFFSET(ORÇAMENTO!L$15,$L27,0)</f>
        <v>F</v>
      </c>
      <c r="D27" s="116" t="str">
        <f ca="1">OFFSET(ORÇAMENTO!N$15,$L27,0)</f>
        <v>Serviço</v>
      </c>
      <c r="E27" s="117" t="str">
        <f ca="1">OFFSET(ORÇAMENTO!O$15,$L27,0)</f>
        <v>1.4.1.0.2.</v>
      </c>
      <c r="F27" s="163" t="str">
        <f ca="1">OFFSET(ORÇAMENTO!R$15,$L27,0)</f>
        <v>PREPARO DE FUNDO DE VALA COM LARGURA MENOR QUE 1,5 M, COM CAMADA DE BRITA, LANÇAMENTO MANUAL. AF_01/2026</v>
      </c>
      <c r="G27" s="164" t="str">
        <f ca="1">IF($D27&lt;&gt;"Serviço","",OFFSET(ORÇAMENTO!S$15,$L27,0))</f>
        <v>M3</v>
      </c>
      <c r="H27" s="122" cm="1">
        <f t="array" aca="1" ref="H27" ca="1">IF($D27&lt;&gt;"Serviço",0,IF(ACOMPANHAMENTO="BM",ROUND(OFFSET(ORÇAMENTO!AJ$15,$L27,0),15-13*ORÇAMENTO!$AF$7),IF(IFERROR(CÁLCULO.FrentesPreenchidas,0)=0,0,SUM(ROUND(OFFSET($P27,0,1,1,CÁLCULO.FrentesPreenchidas),15-13*ORÇAMENTO!$AF$7)))))</f>
        <v>0.67</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4</v>
      </c>
      <c r="N27" s="167" t="str">
        <f ca="1">IF($D27&lt;&gt;"Serviço","",
         IF(AUTOEVENTO="Manual",
                IF($A27=0,"&lt;-- defina o número do agrupador",
                       OFFSET(EVENTOS!$D$15,$A27-$A$15,0)),
                OFFSET($F$15,$A27,0)))</f>
        <v>INFRAESTRUTURA</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38.25" x14ac:dyDescent="0.2">
      <c r="A28" s="7" t="str">
        <f t="shared" ca="1" si="8"/>
        <v>9</v>
      </c>
      <c r="B28" s="7" t="str">
        <f ca="1">OFFSET(ORÇAMENTO!C$15,$L28,0)</f>
        <v>S</v>
      </c>
      <c r="C28" s="7" t="str">
        <f ca="1">OFFSET(ORÇAMENTO!L$15,$L28,0)</f>
        <v>F</v>
      </c>
      <c r="D28" s="116" t="str">
        <f ca="1">OFFSET(ORÇAMENTO!N$15,$L28,0)</f>
        <v>Serviço</v>
      </c>
      <c r="E28" s="117" t="str">
        <f ca="1">OFFSET(ORÇAMENTO!O$15,$L28,0)</f>
        <v>1.4.1.0.3.</v>
      </c>
      <c r="F28" s="163" t="str">
        <f ca="1">OFFSET(ORÇAMENTO!R$15,$L28,0)</f>
        <v>FABRICAÇÃO, MONTAGEM E DESMONTAGEM DE FÔRMA PARA SAPATA, EM MADEIRA SERRADA, E=25 MM, 4 UTILIZAÇÕES. AF_01/2024</v>
      </c>
      <c r="G28" s="164" t="str">
        <f ca="1">IF($D28&lt;&gt;"Serviço","",OFFSET(ORÇAMENTO!S$15,$L28,0))</f>
        <v>M2</v>
      </c>
      <c r="H28" s="122" cm="1">
        <f t="array" aca="1" ref="H28" ca="1">IF($D28&lt;&gt;"Serviço",0,IF(ACOMPANHAMENTO="BM",ROUND(OFFSET(ORÇAMENTO!AJ$15,$L28,0),15-13*ORÇAMENTO!$AF$7),IF(IFERROR(CÁLCULO.FrentesPreenchidas,0)=0,0,SUM(ROUND(OFFSET($P28,0,1,1,CÁLCULO.FrentesPreenchidas),15-13*ORÇAMENTO!$AF$7)))))</f>
        <v>56.29</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4</v>
      </c>
      <c r="N28" s="167" t="str">
        <f ca="1">IF($D28&lt;&gt;"Serviço","",
         IF(AUTOEVENTO="Manual",
                IF($A28=0,"&lt;-- defina o número do agrupador",
                       OFFSET(EVENTOS!$D$15,$A28-$A$15,0)),
                OFFSET($F$15,$A28,0)))</f>
        <v>INFRAESTRUTURA</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t="str">
        <f t="shared" ca="1" si="8"/>
        <v>9</v>
      </c>
      <c r="B29" s="7" t="str">
        <f ca="1">OFFSET(ORÇAMENTO!C$15,$L29,0)</f>
        <v>S</v>
      </c>
      <c r="C29" s="7" t="str">
        <f ca="1">OFFSET(ORÇAMENTO!L$15,$L29,0)</f>
        <v>F</v>
      </c>
      <c r="D29" s="116" t="str">
        <f ca="1">OFFSET(ORÇAMENTO!N$15,$L29,0)</f>
        <v>Serviço</v>
      </c>
      <c r="E29" s="117" t="str">
        <f ca="1">OFFSET(ORÇAMENTO!O$15,$L29,0)</f>
        <v>1.4.1.0.4.</v>
      </c>
      <c r="F29" s="163" t="str">
        <f ca="1">OFFSET(ORÇAMENTO!R$15,$L29,0)</f>
        <v>ARMAÇÃO DE SAPATA ISOLADA, VIGA BALDRAME E SAPATA CORRIDA UTILIZANDO AÇO CA-50 DE 10 MM - MONTAGEM. AF_01/2024</v>
      </c>
      <c r="G29" s="164" t="str">
        <f ca="1">IF($D29&lt;&gt;"Serviço","",OFFSET(ORÇAMENTO!S$15,$L29,0))</f>
        <v>KG</v>
      </c>
      <c r="H29" s="122" cm="1">
        <f t="array" aca="1" ref="H29" ca="1">IF($D29&lt;&gt;"Serviço",0,IF(ACOMPANHAMENTO="BM",ROUND(OFFSET(ORÇAMENTO!AJ$15,$L29,0),15-13*ORÇAMENTO!$AF$7),IF(IFERROR(CÁLCULO.FrentesPreenchidas,0)=0,0,SUM(ROUND(OFFSET($P29,0,1,1,CÁLCULO.FrentesPreenchidas),15-13*ORÇAMENTO!$AF$7)))))</f>
        <v>149.65</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4</v>
      </c>
      <c r="N29" s="167" t="str">
        <f ca="1">IF($D29&lt;&gt;"Serviço","",
         IF(AUTOEVENTO="Manual",
                IF($A29=0,"&lt;-- defina o número do agrupador",
                       OFFSET(EVENTOS!$D$15,$A29-$A$15,0)),
                OFFSET($F$15,$A29,0)))</f>
        <v>INFRAESTRUTURA</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5.5" x14ac:dyDescent="0.2">
      <c r="A30" s="7" t="str">
        <f t="shared" ca="1" si="8"/>
        <v>9</v>
      </c>
      <c r="B30" s="7" t="str">
        <f ca="1">OFFSET(ORÇAMENTO!C$15,$L30,0)</f>
        <v>S</v>
      </c>
      <c r="C30" s="7" t="str">
        <f ca="1">OFFSET(ORÇAMENTO!L$15,$L30,0)</f>
        <v>F</v>
      </c>
      <c r="D30" s="116" t="str">
        <f ca="1">OFFSET(ORÇAMENTO!N$15,$L30,0)</f>
        <v>Serviço</v>
      </c>
      <c r="E30" s="117" t="str">
        <f ca="1">OFFSET(ORÇAMENTO!O$15,$L30,0)</f>
        <v>1.4.1.0.5.</v>
      </c>
      <c r="F30" s="163" t="str">
        <f ca="1">OFFSET(ORÇAMENTO!R$15,$L30,0)</f>
        <v>CONCRETAGEM DE SAPATA, FCK 25 MPA, COM USO DE BOMBA - LANÇAMENTO, ADENSAMENTO E ACABAMENTO.</v>
      </c>
      <c r="G30" s="164" t="str">
        <f ca="1">IF($D30&lt;&gt;"Serviço","",OFFSET(ORÇAMENTO!S$15,$L30,0))</f>
        <v>M3</v>
      </c>
      <c r="H30" s="122" cm="1">
        <f t="array" aca="1" ref="H30" ca="1">IF($D30&lt;&gt;"Serviço",0,IF(ACOMPANHAMENTO="BM",ROUND(OFFSET(ORÇAMENTO!AJ$15,$L30,0),15-13*ORÇAMENTO!$AF$7),IF(IFERROR(CÁLCULO.FrentesPreenchidas,0)=0,0,SUM(ROUND(OFFSET($P30,0,1,1,CÁLCULO.FrentesPreenchidas),15-13*ORÇAMENTO!$AF$7)))))</f>
        <v>43.15</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f ca="1">IF($D30&lt;&gt;"Serviço","",
          IF(AUTOEVENTO="manual",$A30,
                IF(ISERROR(MATCH($A30,$A$15:OFFSET($A30,-1,0),0)),MAX($M$15:OFFSET(M30,-1,0))+1,
                      INDEX($M$15:OFFSET(M30,-1,0),MATCH($A30,$A$15:OFFSET($A30,-1,0),0)))))</f>
        <v>4</v>
      </c>
      <c r="N30" s="167" t="str">
        <f ca="1">IF($D30&lt;&gt;"Serviço","",
         IF(AUTOEVENTO="Manual",
                IF($A30=0,"&lt;-- defina o número do agrupador",
                       OFFSET(EVENTOS!$D$15,$A30-$A$15,0)),
                OFFSET($F$15,$A30,0)))</f>
        <v>INFRAESTRUTURA</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12.75" x14ac:dyDescent="0.2">
      <c r="A31" s="7" t="str">
        <f t="shared" ca="1" si="8"/>
        <v>9</v>
      </c>
      <c r="B31" s="7">
        <f ca="1">OFFSET(ORÇAMENTO!C$15,$L31,0)</f>
        <v>3</v>
      </c>
      <c r="C31" s="7" t="str">
        <f ca="1">OFFSET(ORÇAMENTO!L$15,$L31,0)</f>
        <v>F</v>
      </c>
      <c r="D31" s="116" t="str">
        <f ca="1">OFFSET(ORÇAMENTO!N$15,$L31,0)</f>
        <v>Nível 3</v>
      </c>
      <c r="E31" s="117" t="str">
        <f ca="1">OFFSET(ORÇAMENTO!O$15,$L31,0)</f>
        <v>1.4.2.</v>
      </c>
      <c r="F31" s="163" t="str">
        <f ca="1">OFFSET(ORÇAMENTO!R$15,$L31,0)</f>
        <v>ESTACAS</v>
      </c>
      <c r="G31" s="164" t="str">
        <f ca="1">IF($D31&lt;&gt;"Serviço","",OFFSET(ORÇAMENTO!S$15,$L31,0))</f>
        <v/>
      </c>
      <c r="H31" s="122" cm="1">
        <f t="array" aca="1" ref="H31" ca="1">IF($D31&lt;&gt;"Serviço",0,IF(ACOMPANHAMENTO="BM",ROUND(OFFSET(ORÇAMENTO!AJ$15,$L31,0),15-13*ORÇAMENTO!$AF$7),IF(IFERROR(CÁLCULO.FrentesPreenchidas,0)=0,0,SUM(ROUND(OFFSET($P31,0,1,1,CÁLCULO.FrentesPreenchidas),15-13*ORÇAMENTO!$AF$7)))))</f>
        <v>0</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t="str">
        <f ca="1">IF($D31&lt;&gt;"Serviço","",
          IF(AUTOEVENTO="manual",$A31,
                IF(ISERROR(MATCH($A31,$A$15:OFFSET($A31,-1,0),0)),MAX($M$15:OFFSET(M31,-1,0))+1,
                      INDEX($M$15:OFFSET(M31,-1,0),MATCH($A31,$A$15:OFFSET($A31,-1,0),0)))))</f>
        <v/>
      </c>
      <c r="N31" s="167" t="str">
        <f ca="1">IF($D31&lt;&gt;"Serviço","",
         IF(AUTOEVENTO="Manual",
                IF($A31=0,"&lt;-- defina o número do agrupador",
                       OFFSET(EVENTOS!$D$15,$A31-$A$15,0)),
                OFFSET($F$15,$A31,0)))</f>
        <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0</v>
      </c>
      <c r="AN31" s="171">
        <f ca="1">IF(OR($D31&lt;&gt;"Serviço",AND(AUTOEVENTO="Manual",$M31=$A$15)),0,
         IF(OFFSET(CRONOPLE!$F$15,$M31-$A$15,AN$13)=0,10^12,OFFSET(CRONOPLE!$F$15,$M31-$A$15,AN$13)))</f>
        <v>0</v>
      </c>
      <c r="AO31" s="171">
        <f ca="1">IF(OR($D31&lt;&gt;"Serviço",AND(AUTOEVENTO="Manual",$M31=$A$15)),0,
         IF(OFFSET(CRONOPLE!$F$15,$M31-$A$15,AO$13)=0,10^12,OFFSET(CRONOPLE!$F$15,$M31-$A$15,AO$13)))</f>
        <v>0</v>
      </c>
      <c r="AP31" s="171">
        <f ca="1">IF(OR($D31&lt;&gt;"Serviço",AND(AUTOEVENTO="Manual",$M31=$A$15)),0,
         IF(OFFSET(CRONOPLE!$F$15,$M31-$A$15,AP$13)=0,10^12,OFFSET(CRONOPLE!$F$15,$M31-$A$15,AP$13)))</f>
        <v>0</v>
      </c>
      <c r="AQ31" s="171">
        <f ca="1">IF(OR($D31&lt;&gt;"Serviço",AND(AUTOEVENTO="Manual",$M31=$A$15)),0,
         IF(OFFSET(CRONOPLE!$F$15,$M31-$A$15,AQ$13)=0,10^12,OFFSET(CRONOPLE!$F$15,$M31-$A$15,AQ$13)))</f>
        <v>0</v>
      </c>
      <c r="AR31" s="171">
        <f ca="1">IF(OR($D31&lt;&gt;"Serviço",AND(AUTOEVENTO="Manual",$M31=$A$15)),0,
         IF(OFFSET(CRONOPLE!$F$15,$M31-$A$15,AR$13)=0,10^12,OFFSET(CRONOPLE!$F$15,$M31-$A$15,AR$13)))</f>
        <v>0</v>
      </c>
      <c r="AS31" s="171">
        <f ca="1">IF(OR($D31&lt;&gt;"Serviço",AND(AUTOEVENTO="Manual",$M31=$A$15)),0,
         IF(OFFSET(CRONOPLE!$F$15,$M31-$A$15,AS$13)=0,10^12,OFFSET(CRONOPLE!$F$15,$M31-$A$15,AS$13)))</f>
        <v>0</v>
      </c>
      <c r="AT31" s="171">
        <f ca="1">IF(OR($D31&lt;&gt;"Serviço",AND(AUTOEVENTO="Manual",$M31=$A$15)),0,
         IF(OFFSET(CRONOPLE!$F$15,$M31-$A$15,AT$13)=0,10^12,OFFSET(CRONOPLE!$F$15,$M31-$A$15,AT$13)))</f>
        <v>0</v>
      </c>
      <c r="AU31" s="171">
        <f ca="1">IF(OR($D31&lt;&gt;"Serviço",AND(AUTOEVENTO="Manual",$M31=$A$15)),0,
         IF(OFFSET(CRONOPLE!$F$15,$M31-$A$15,AU$13)=0,10^12,OFFSET(CRONOPLE!$F$15,$M31-$A$15,AU$13)))</f>
        <v>0</v>
      </c>
      <c r="AV31" s="171">
        <f ca="1">IF(OR($D31&lt;&gt;"Serviço",AND(AUTOEVENTO="Manual",$M31=$A$15)),0,
         IF(OFFSET(CRONOPLE!$F$15,$M31-$A$15,AV$13)=0,10^12,OFFSET(CRONOPLE!$F$15,$M31-$A$15,AV$13)))</f>
        <v>0</v>
      </c>
      <c r="AX31" s="172" cm="1">
        <f t="array" aca="1" ref="AX31" ca="1">IF(OR($D31&lt;&gt;"Serviço",AND(AUTOEVENTO="Manual",$M31=$A$15),$M31&gt;(ROW(PLE.lastrow)-ROW(PLE.firstrow))),0,
           IF(OFFSET(PLE!$G$15,$M31-$A$15,AX$13)="",10^12,OFFSET(PLE!$G$15,$M31-$A$15,AX$13)))</f>
        <v>0</v>
      </c>
      <c r="AY31" s="172" cm="1">
        <f t="array" aca="1" ref="AY31" ca="1">IF(OR($D31&lt;&gt;"Serviço",AND(AUTOEVENTO="Manual",$M31=$A$15),$M31&gt;(ROW(PLE.lastrow)-ROW(PLE.firstrow))),0,
           IF(OFFSET(PLE!$G$15,$M31-$A$15,AY$13)="",10^12,OFFSET(PLE!$G$15,$M31-$A$15,AY$13)))</f>
        <v>0</v>
      </c>
      <c r="AZ31" s="172" cm="1">
        <f t="array" aca="1" ref="AZ31" ca="1">IF(OR($D31&lt;&gt;"Serviço",AND(AUTOEVENTO="Manual",$M31=$A$15),$M31&gt;(ROW(PLE.lastrow)-ROW(PLE.firstrow))),0,
           IF(OFFSET(PLE!$G$15,$M31-$A$15,AZ$13)="",10^12,OFFSET(PLE!$G$15,$M31-$A$15,AZ$13)))</f>
        <v>0</v>
      </c>
      <c r="BA31" s="172" cm="1">
        <f t="array" aca="1" ref="BA31" ca="1">IF(OR($D31&lt;&gt;"Serviço",AND(AUTOEVENTO="Manual",$M31=$A$15),$M31&gt;(ROW(PLE.lastrow)-ROW(PLE.firstrow))),0,
           IF(OFFSET(PLE!$G$15,$M31-$A$15,BA$13)="",10^12,OFFSET(PLE!$G$15,$M31-$A$15,BA$13)))</f>
        <v>0</v>
      </c>
      <c r="BB31" s="172" cm="1">
        <f t="array" aca="1" ref="BB31" ca="1">IF(OR($D31&lt;&gt;"Serviço",AND(AUTOEVENTO="Manual",$M31=$A$15),$M31&gt;(ROW(PLE.lastrow)-ROW(PLE.firstrow))),0,
           IF(OFFSET(PLE!$G$15,$M31-$A$15,BB$13)="",10^12,OFFSET(PLE!$G$15,$M31-$A$15,BB$13)))</f>
        <v>0</v>
      </c>
      <c r="BC31" s="172" cm="1">
        <f t="array" aca="1" ref="BC31" ca="1">IF(OR($D31&lt;&gt;"Serviço",AND(AUTOEVENTO="Manual",$M31=$A$15),$M31&gt;(ROW(PLE.lastrow)-ROW(PLE.firstrow))),0,
           IF(OFFSET(PLE!$G$15,$M31-$A$15,BC$13)="",10^12,OFFSET(PLE!$G$15,$M31-$A$15,BC$13)))</f>
        <v>0</v>
      </c>
      <c r="BD31" s="172" cm="1">
        <f t="array" aca="1" ref="BD31" ca="1">IF(OR($D31&lt;&gt;"Serviço",AND(AUTOEVENTO="Manual",$M31=$A$15),$M31&gt;(ROW(PLE.lastrow)-ROW(PLE.firstrow))),0,
           IF(OFFSET(PLE!$G$15,$M31-$A$15,BD$13)="",10^12,OFFSET(PLE!$G$15,$M31-$A$15,BD$13)))</f>
        <v>0</v>
      </c>
      <c r="BE31" s="172" cm="1">
        <f t="array" aca="1" ref="BE31" ca="1">IF(OR($D31&lt;&gt;"Serviço",AND(AUTOEVENTO="Manual",$M31=$A$15),$M31&gt;(ROW(PLE.lastrow)-ROW(PLE.firstrow))),0,
           IF(OFFSET(PLE!$G$15,$M31-$A$15,BE$13)="",10^12,OFFSET(PLE!$G$15,$M31-$A$15,BE$13)))</f>
        <v>0</v>
      </c>
      <c r="BF31" s="172" cm="1">
        <f t="array" aca="1" ref="BF31" ca="1">IF(OR($D31&lt;&gt;"Serviço",AND(AUTOEVENTO="Manual",$M31=$A$15),$M31&gt;(ROW(PLE.lastrow)-ROW(PLE.firstrow))),0,
           IF(OFFSET(PLE!$G$15,$M31-$A$15,BF$13)="",10^12,OFFSET(PLE!$G$15,$M31-$A$15,BF$13)))</f>
        <v>0</v>
      </c>
      <c r="BG31" s="172" cm="1">
        <f t="array" aca="1" ref="BG31" ca="1">IF(OR($D31&lt;&gt;"Serviço",AND(AUTOEVENTO="Manual",$M31=$A$15),$M31&gt;(ROW(PLE.lastrow)-ROW(PLE.firstrow))),0,
           IF(OFFSET(PLE!$G$15,$M31-$A$15,BG$13)="",10^12,OFFSET(PLE!$G$15,$M31-$A$15,BG$13)))</f>
        <v>0</v>
      </c>
    </row>
    <row r="32" spans="1:59" ht="38.25" x14ac:dyDescent="0.2">
      <c r="A32" s="7" t="str">
        <f t="shared" ca="1" si="8"/>
        <v>9</v>
      </c>
      <c r="B32" s="7" t="str">
        <f ca="1">OFFSET(ORÇAMENTO!C$15,$L32,0)</f>
        <v>S</v>
      </c>
      <c r="C32" s="7" t="str">
        <f ca="1">OFFSET(ORÇAMENTO!L$15,$L32,0)</f>
        <v>F</v>
      </c>
      <c r="D32" s="116" t="str">
        <f ca="1">OFFSET(ORÇAMENTO!N$15,$L32,0)</f>
        <v>Serviço</v>
      </c>
      <c r="E32" s="117" t="str">
        <f ca="1">OFFSET(ORÇAMENTO!O$15,$L32,0)</f>
        <v>1.4.2.0.1.</v>
      </c>
      <c r="F32" s="163" t="str">
        <f ca="1">OFFSET(ORÇAMENTO!R$15,$L32,0)</f>
        <v>ESTACA BROCA DE CONCRETO, DIÂMETRO DE 30CM, ESCAVAÇÃO MANUAL COM TRADO CONCHA, COM ARMADURA DE ARRANQUE. AF_05/2020</v>
      </c>
      <c r="G32" s="164" t="str">
        <f ca="1">IF($D32&lt;&gt;"Serviço","",OFFSET(ORÇAMENTO!S$15,$L32,0))</f>
        <v>M</v>
      </c>
      <c r="H32" s="122" cm="1">
        <f t="array" aca="1" ref="H32" ca="1">IF($D32&lt;&gt;"Serviço",0,IF(ACOMPANHAMENTO="BM",ROUND(OFFSET(ORÇAMENTO!AJ$15,$L32,0),15-13*ORÇAMENTO!$AF$7),IF(IFERROR(CÁLCULO.FrentesPreenchidas,0)=0,0,SUM(ROUND(OFFSET($P32,0,1,1,CÁLCULO.FrentesPreenchidas),15-13*ORÇAMENTO!$AF$7)))))</f>
        <v>12.37</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INFRAESTRUTURA</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25.5" x14ac:dyDescent="0.2">
      <c r="A33" s="7" t="str">
        <f t="shared" ca="1" si="8"/>
        <v>9</v>
      </c>
      <c r="B33" s="7" t="str">
        <f ca="1">OFFSET(ORÇAMENTO!C$15,$L33,0)</f>
        <v>S</v>
      </c>
      <c r="C33" s="7" t="str">
        <f ca="1">OFFSET(ORÇAMENTO!L$15,$L33,0)</f>
        <v>F</v>
      </c>
      <c r="D33" s="116" t="str">
        <f ca="1">OFFSET(ORÇAMENTO!N$15,$L33,0)</f>
        <v>Serviço</v>
      </c>
      <c r="E33" s="117" t="str">
        <f ca="1">OFFSET(ORÇAMENTO!O$15,$L33,0)</f>
        <v>1.4.2.0.2.</v>
      </c>
      <c r="F33" s="163" t="str">
        <f ca="1">OFFSET(ORÇAMENTO!R$15,$L33,0)</f>
        <v>MONTAGEM DE ARMADURA TRANSVERSAL DE ESTACAS DE SEÇÃO CIRCULAR, DIÂMETRO = 6,30 MM. AF_09/2021_PS</v>
      </c>
      <c r="G33" s="164" t="str">
        <f ca="1">IF($D33&lt;&gt;"Serviço","",OFFSET(ORÇAMENTO!S$15,$L33,0))</f>
        <v>KG</v>
      </c>
      <c r="H33" s="122" cm="1">
        <f t="array" aca="1" ref="H33" ca="1">IF($D33&lt;&gt;"Serviço",0,IF(ACOMPANHAMENTO="BM",ROUND(OFFSET(ORÇAMENTO!AJ$15,$L33,0),15-13*ORÇAMENTO!$AF$7),IF(IFERROR(CÁLCULO.FrentesPreenchidas,0)=0,0,SUM(ROUND(OFFSET($P33,0,1,1,CÁLCULO.FrentesPreenchidas),15-13*ORÇAMENTO!$AF$7)))))</f>
        <v>655</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INFRAESTRUTURA</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38.25" x14ac:dyDescent="0.2">
      <c r="A34" s="7" t="str">
        <f t="shared" ca="1" si="8"/>
        <v>9</v>
      </c>
      <c r="B34" s="7" t="str">
        <f ca="1">OFFSET(ORÇAMENTO!C$15,$L34,0)</f>
        <v>S</v>
      </c>
      <c r="C34" s="7" t="str">
        <f ca="1">OFFSET(ORÇAMENTO!L$15,$L34,0)</f>
        <v>F</v>
      </c>
      <c r="D34" s="116" t="str">
        <f ca="1">OFFSET(ORÇAMENTO!N$15,$L34,0)</f>
        <v>Serviço</v>
      </c>
      <c r="E34" s="117" t="str">
        <f ca="1">OFFSET(ORÇAMENTO!O$15,$L34,0)</f>
        <v>1.4.2.0.3.</v>
      </c>
      <c r="F34" s="163" t="str">
        <f ca="1">OFFSET(ORÇAMENTO!R$15,$L34,0)</f>
        <v>ESCAVAÇÃO MECANIZADA PARA BLOCO DE COROAMENTO OU SAPATA COM RETROESCAVADEIRA (INCLUINDO ESCAVAÇÃO PARA COLOCAÇÃO DE FÔRMAS). AF_01/2024</v>
      </c>
      <c r="G34" s="164" t="str">
        <f ca="1">IF($D34&lt;&gt;"Serviço","",OFFSET(ORÇAMENTO!S$15,$L34,0))</f>
        <v>M3</v>
      </c>
      <c r="H34" s="122" cm="1">
        <f t="array" aca="1" ref="H34" ca="1">IF($D34&lt;&gt;"Serviço",0,IF(ACOMPANHAMENTO="BM",ROUND(OFFSET(ORÇAMENTO!AJ$15,$L34,0),15-13*ORÇAMENTO!$AF$7),IF(IFERROR(CÁLCULO.FrentesPreenchidas,0)=0,0,SUM(ROUND(OFFSET($P34,0,1,1,CÁLCULO.FrentesPreenchidas),15-13*ORÇAMENTO!$AF$7)))))</f>
        <v>7.8</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INFRAESTRUTURA</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25.5" x14ac:dyDescent="0.2">
      <c r="A35" s="7" t="str">
        <f t="shared" ca="1" si="8"/>
        <v>9</v>
      </c>
      <c r="B35" s="7" t="str">
        <f ca="1">OFFSET(ORÇAMENTO!C$15,$L35,0)</f>
        <v>S</v>
      </c>
      <c r="C35" s="7" t="str">
        <f ca="1">OFFSET(ORÇAMENTO!L$15,$L35,0)</f>
        <v>F</v>
      </c>
      <c r="D35" s="116" t="str">
        <f ca="1">OFFSET(ORÇAMENTO!N$15,$L35,0)</f>
        <v>Serviço</v>
      </c>
      <c r="E35" s="117" t="str">
        <f ca="1">OFFSET(ORÇAMENTO!O$15,$L35,0)</f>
        <v>1.4.2.0.4.</v>
      </c>
      <c r="F35" s="163" t="str">
        <f ca="1">OFFSET(ORÇAMENTO!R$15,$L35,0)</f>
        <v>PREPARO DE FUNDO DE VALA COM LARGURA MENOR QUE 1,5 M, COM CAMADA DE BRITA, LANÇAMENTO MANUAL. AF_01/2026</v>
      </c>
      <c r="G35" s="164" t="str">
        <f ca="1">IF($D35&lt;&gt;"Serviço","",OFFSET(ORÇAMENTO!S$15,$L35,0))</f>
        <v>M3</v>
      </c>
      <c r="H35" s="122" cm="1">
        <f t="array" aca="1" ref="H35" ca="1">IF($D35&lt;&gt;"Serviço",0,IF(ACOMPANHAMENTO="BM",ROUND(OFFSET(ORÇAMENTO!AJ$15,$L35,0),15-13*ORÇAMENTO!$AF$7),IF(IFERROR(CÁLCULO.FrentesPreenchidas,0)=0,0,SUM(ROUND(OFFSET($P35,0,1,1,CÁLCULO.FrentesPreenchidas),15-13*ORÇAMENTO!$AF$7)))))</f>
        <v>0.27</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INFRAESTRUTURA</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38.25" x14ac:dyDescent="0.2">
      <c r="A36" s="7" t="str">
        <f t="shared" ca="1" si="8"/>
        <v>9</v>
      </c>
      <c r="B36" s="7" t="str">
        <f ca="1">OFFSET(ORÇAMENTO!C$15,$L36,0)</f>
        <v>S</v>
      </c>
      <c r="C36" s="7" t="str">
        <f ca="1">OFFSET(ORÇAMENTO!L$15,$L36,0)</f>
        <v>F</v>
      </c>
      <c r="D36" s="116" t="str">
        <f ca="1">OFFSET(ORÇAMENTO!N$15,$L36,0)</f>
        <v>Serviço</v>
      </c>
      <c r="E36" s="117" t="str">
        <f ca="1">OFFSET(ORÇAMENTO!O$15,$L36,0)</f>
        <v>1.4.2.0.5.</v>
      </c>
      <c r="F36" s="163" t="str">
        <f ca="1">OFFSET(ORÇAMENTO!R$15,$L36,0)</f>
        <v>FABRICAÇÃO, MONTAGEM E DESMONTAGEM DE FÔRMA PARA BLOCO DE COROAMENTO, EM MADEIRA SERRADA, E=25 MM, 4 UTILIZAÇÕES. AF_01/2024</v>
      </c>
      <c r="G36" s="164" t="str">
        <f ca="1">IF($D36&lt;&gt;"Serviço","",OFFSET(ORÇAMENTO!S$15,$L36,0))</f>
        <v>M2</v>
      </c>
      <c r="H36" s="122" cm="1">
        <f t="array" aca="1" ref="H36" ca="1">IF($D36&lt;&gt;"Serviço",0,IF(ACOMPANHAMENTO="BM",ROUND(OFFSET(ORÇAMENTO!AJ$15,$L36,0),15-13*ORÇAMENTO!$AF$7),IF(IFERROR(CÁLCULO.FrentesPreenchidas,0)=0,0,SUM(ROUND(OFFSET($P36,0,1,1,CÁLCULO.FrentesPreenchidas),15-13*ORÇAMENTO!$AF$7)))))</f>
        <v>111</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INFRAESTRUTURA</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t="str">
        <f t="shared" ca="1" si="8"/>
        <v>9</v>
      </c>
      <c r="B37" s="7" t="str">
        <f ca="1">OFFSET(ORÇAMENTO!C$15,$L37,0)</f>
        <v>S</v>
      </c>
      <c r="C37" s="7" t="str">
        <f ca="1">OFFSET(ORÇAMENTO!L$15,$L37,0)</f>
        <v>F</v>
      </c>
      <c r="D37" s="116" t="str">
        <f ca="1">OFFSET(ORÇAMENTO!N$15,$L37,0)</f>
        <v>Serviço</v>
      </c>
      <c r="E37" s="117" t="str">
        <f ca="1">OFFSET(ORÇAMENTO!O$15,$L37,0)</f>
        <v>1.4.2.0.6.</v>
      </c>
      <c r="F37" s="163" t="str">
        <f ca="1">OFFSET(ORÇAMENTO!R$15,$L37,0)</f>
        <v>ARMAÇÃO DE BLOCO UTILIZANDO AÇO CA-50 DE 10 MM - MONTAGEM. AF_01/2024</v>
      </c>
      <c r="G37" s="164" t="str">
        <f ca="1">IF($D37&lt;&gt;"Serviço","",OFFSET(ORÇAMENTO!S$15,$L37,0))</f>
        <v>KG</v>
      </c>
      <c r="H37" s="122" cm="1">
        <f t="array" aca="1" ref="H37" ca="1">IF($D37&lt;&gt;"Serviço",0,IF(ACOMPANHAMENTO="BM",ROUND(OFFSET(ORÇAMENTO!AJ$15,$L37,0),15-13*ORÇAMENTO!$AF$7),IF(IFERROR(CÁLCULO.FrentesPreenchidas,0)=0,0,SUM(ROUND(OFFSET($P37,0,1,1,CÁLCULO.FrentesPreenchidas),15-13*ORÇAMENTO!$AF$7)))))</f>
        <v>62.3</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INFRAESTRUTURA</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t="shared" ca="1" si="8"/>
        <v>9</v>
      </c>
      <c r="B38" s="7" t="str">
        <f ca="1">OFFSET(ORÇAMENTO!C$15,$L38,0)</f>
        <v>S</v>
      </c>
      <c r="C38" s="7" t="str">
        <f ca="1">OFFSET(ORÇAMENTO!L$15,$L38,0)</f>
        <v>F</v>
      </c>
      <c r="D38" s="116" t="str">
        <f ca="1">OFFSET(ORÇAMENTO!N$15,$L38,0)</f>
        <v>Serviço</v>
      </c>
      <c r="E38" s="117" t="str">
        <f ca="1">OFFSET(ORÇAMENTO!O$15,$L38,0)</f>
        <v>1.4.2.0.7.</v>
      </c>
      <c r="F38" s="163" t="str">
        <f ca="1">OFFSET(ORÇAMENTO!R$15,$L38,0)</f>
        <v>ARMAÇÃO DE BLOCO UTILIZANDO AÇO CA-60 DE 5 MM - MONTAGEM. AF_01/2024</v>
      </c>
      <c r="G38" s="164" t="str">
        <f ca="1">IF($D38&lt;&gt;"Serviço","",OFFSET(ORÇAMENTO!S$15,$L38,0))</f>
        <v>KG</v>
      </c>
      <c r="H38" s="122" cm="1">
        <f t="array" aca="1" ref="H38" ca="1">IF($D38&lt;&gt;"Serviço",0,IF(ACOMPANHAMENTO="BM",ROUND(OFFSET(ORÇAMENTO!AJ$15,$L38,0),15-13*ORÇAMENTO!$AF$7),IF(IFERROR(CÁLCULO.FrentesPreenchidas,0)=0,0,SUM(ROUND(OFFSET($P38,0,1,1,CÁLCULO.FrentesPreenchidas),15-13*ORÇAMENTO!$AF$7)))))</f>
        <v>357.77</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INFRAESTRUTURA</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38.25" x14ac:dyDescent="0.2">
      <c r="A39" s="7" t="str">
        <f t="shared" ca="1" si="8"/>
        <v>9</v>
      </c>
      <c r="B39" s="7" t="str">
        <f ca="1">OFFSET(ORÇAMENTO!C$15,$L39,0)</f>
        <v>S</v>
      </c>
      <c r="C39" s="7" t="str">
        <f ca="1">OFFSET(ORÇAMENTO!L$15,$L39,0)</f>
        <v>F</v>
      </c>
      <c r="D39" s="116" t="str">
        <f ca="1">OFFSET(ORÇAMENTO!N$15,$L39,0)</f>
        <v>Serviço</v>
      </c>
      <c r="E39" s="117" t="str">
        <f ca="1">OFFSET(ORÇAMENTO!O$15,$L39,0)</f>
        <v>1.4.2.0.8.</v>
      </c>
      <c r="F39" s="163" t="str">
        <f ca="1">OFFSET(ORÇAMENTO!R$15,$L39,0)</f>
        <v>CONCRETAGEM DE BLOCO DE COROAMENTO OU VIGA BALDRAME, FCK 30 MPA, COM USO DE BOMBA - LANÇAMENTO, ADENSAMENTO E ACABAMENTO. AF_01/2024</v>
      </c>
      <c r="G39" s="164" t="str">
        <f ca="1">IF($D39&lt;&gt;"Serviço","",OFFSET(ORÇAMENTO!S$15,$L39,0))</f>
        <v>M3</v>
      </c>
      <c r="H39" s="122" cm="1">
        <f t="array" aca="1" ref="H39" ca="1">IF($D39&lt;&gt;"Serviço",0,IF(ACOMPANHAMENTO="BM",ROUND(OFFSET(ORÇAMENTO!AJ$15,$L39,0),15-13*ORÇAMENTO!$AF$7),IF(IFERROR(CÁLCULO.FrentesPreenchidas,0)=0,0,SUM(ROUND(OFFSET($P39,0,1,1,CÁLCULO.FrentesPreenchidas),15-13*ORÇAMENTO!$AF$7)))))</f>
        <v>52</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INFRAESTRUTURA</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12.75" x14ac:dyDescent="0.2">
      <c r="A40" s="7" t="str">
        <f t="shared" ca="1" si="8"/>
        <v>9</v>
      </c>
      <c r="B40" s="7">
        <f ca="1">OFFSET(ORÇAMENTO!C$15,$L40,0)</f>
        <v>3</v>
      </c>
      <c r="C40" s="7" t="str">
        <f ca="1">OFFSET(ORÇAMENTO!L$15,$L40,0)</f>
        <v>F</v>
      </c>
      <c r="D40" s="116" t="str">
        <f ca="1">OFFSET(ORÇAMENTO!N$15,$L40,0)</f>
        <v>Nível 3</v>
      </c>
      <c r="E40" s="117" t="str">
        <f ca="1">OFFSET(ORÇAMENTO!O$15,$L40,0)</f>
        <v>1.4.3.</v>
      </c>
      <c r="F40" s="163" t="str">
        <f ca="1">OFFSET(ORÇAMENTO!R$15,$L40,0)</f>
        <v>PILARES DE ARRANQUE</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51" x14ac:dyDescent="0.2">
      <c r="A41" s="7" t="str">
        <f t="shared" ca="1" si="8"/>
        <v>9</v>
      </c>
      <c r="B41" s="7" t="str">
        <f ca="1">OFFSET(ORÇAMENTO!C$15,$L41,0)</f>
        <v>S</v>
      </c>
      <c r="C41" s="7" t="str">
        <f ca="1">OFFSET(ORÇAMENTO!L$15,$L41,0)</f>
        <v>F</v>
      </c>
      <c r="D41" s="116" t="str">
        <f ca="1">OFFSET(ORÇAMENTO!N$15,$L41,0)</f>
        <v>Serviço</v>
      </c>
      <c r="E41" s="117" t="str">
        <f ca="1">OFFSET(ORÇAMENTO!O$15,$L41,0)</f>
        <v>1.4.3.0.1.</v>
      </c>
      <c r="F41" s="163" t="str">
        <f ca="1">OFFSET(ORÇAMENTO!R$15,$L41,0)</f>
        <v>MONTAGEM E DESMONTAGEM DE FÔRMA DE PILARES RETANGULARES E ESTRUTURAS SIMILARES, PÉ-DIREITO SIMPLES, EM CHAPA DE MADEIRA COMPENSADA PLASTIFICADA, 14 UTILIZAÇÕES. AF_09/2020</v>
      </c>
      <c r="G41" s="164" t="str">
        <f ca="1">IF($D41&lt;&gt;"Serviço","",OFFSET(ORÇAMENTO!S$15,$L41,0))</f>
        <v>M2</v>
      </c>
      <c r="H41" s="122" cm="1">
        <f t="array" aca="1" ref="H41" ca="1">IF($D41&lt;&gt;"Serviço",0,IF(ACOMPANHAMENTO="BM",ROUND(OFFSET(ORÇAMENTO!AJ$15,$L41,0),15-13*ORÇAMENTO!$AF$7),IF(IFERROR(CÁLCULO.FrentesPreenchidas,0)=0,0,SUM(ROUND(OFFSET($P41,0,1,1,CÁLCULO.FrentesPreenchidas),15-13*ORÇAMENTO!$AF$7)))))</f>
        <v>21.9</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INFRAESTRUTURA</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38.25" x14ac:dyDescent="0.2">
      <c r="A42" s="7" t="str">
        <f t="shared" ca="1" si="8"/>
        <v>9</v>
      </c>
      <c r="B42" s="7" t="str">
        <f ca="1">OFFSET(ORÇAMENTO!C$15,$L42,0)</f>
        <v>S</v>
      </c>
      <c r="C42" s="7" t="str">
        <f ca="1">OFFSET(ORÇAMENTO!L$15,$L42,0)</f>
        <v>F</v>
      </c>
      <c r="D42" s="116" t="str">
        <f ca="1">OFFSET(ORÇAMENTO!N$15,$L42,0)</f>
        <v>Serviço</v>
      </c>
      <c r="E42" s="117" t="str">
        <f ca="1">OFFSET(ORÇAMENTO!O$15,$L42,0)</f>
        <v>1.4.3.0.2.</v>
      </c>
      <c r="F42" s="163" t="str">
        <f ca="1">OFFSET(ORÇAMENTO!R$15,$L42,0)</f>
        <v>ARMAÇÃO DE PILAR OU VIGA DE ESTRUTURA DE CONCRETO ARMADO EMBUTIDA EM ALVENARIA DE VEDAÇÃO UTILIZANDO AÇO CA-60 DE 5,0 MM - MONTAGEM. AF_06/2022</v>
      </c>
      <c r="G42" s="164" t="str">
        <f ca="1">IF($D42&lt;&gt;"Serviço","",OFFSET(ORÇAMENTO!S$15,$L42,0))</f>
        <v>KG</v>
      </c>
      <c r="H42" s="122" cm="1">
        <f t="array" aca="1" ref="H42" ca="1">IF($D42&lt;&gt;"Serviço",0,IF(ACOMPANHAMENTO="BM",ROUND(OFFSET(ORÇAMENTO!AJ$15,$L42,0),15-13*ORÇAMENTO!$AF$7),IF(IFERROR(CÁLCULO.FrentesPreenchidas,0)=0,0,SUM(ROUND(OFFSET($P42,0,1,1,CÁLCULO.FrentesPreenchidas),15-13*ORÇAMENTO!$AF$7)))))</f>
        <v>249.45</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4</v>
      </c>
      <c r="N42" s="167" t="str">
        <f ca="1">IF($D42&lt;&gt;"Serviço","",
         IF(AUTOEVENTO="Manual",
                IF($A42=0,"&lt;-- defina o número do agrupador",
                       OFFSET(EVENTOS!$D$15,$A42-$A$15,0)),
                OFFSET($F$15,$A42,0)))</f>
        <v>INFRAESTRUTURA</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38.25" x14ac:dyDescent="0.2">
      <c r="A43" s="7" t="str">
        <f t="shared" ca="1" si="8"/>
        <v>9</v>
      </c>
      <c r="B43" s="7" t="str">
        <f ca="1">OFFSET(ORÇAMENTO!C$15,$L43,0)</f>
        <v>S</v>
      </c>
      <c r="C43" s="7" t="str">
        <f ca="1">OFFSET(ORÇAMENTO!L$15,$L43,0)</f>
        <v>F</v>
      </c>
      <c r="D43" s="116" t="str">
        <f ca="1">OFFSET(ORÇAMENTO!N$15,$L43,0)</f>
        <v>Serviço</v>
      </c>
      <c r="E43" s="117" t="str">
        <f ca="1">OFFSET(ORÇAMENTO!O$15,$L43,0)</f>
        <v>1.4.3.0.3.</v>
      </c>
      <c r="F43" s="163" t="str">
        <f ca="1">OFFSET(ORÇAMENTO!R$15,$L43,0)</f>
        <v>ARMAÇÃO DE PILAR OU VIGA DE ESTRUTURA DE CONCRETO ARMADO EMBUTIDA EM ALVENARIA DE VEDAÇÃO UTILIZANDO AÇO CA-50 DE 10,0 MM - MONTAGEM. AF_06/2022</v>
      </c>
      <c r="G43" s="164" t="str">
        <f ca="1">IF($D43&lt;&gt;"Serviço","",OFFSET(ORÇAMENTO!S$15,$L43,0))</f>
        <v>KG</v>
      </c>
      <c r="H43" s="122" cm="1">
        <f t="array" aca="1" ref="H43" ca="1">IF($D43&lt;&gt;"Serviço",0,IF(ACOMPANHAMENTO="BM",ROUND(OFFSET(ORÇAMENTO!AJ$15,$L43,0),15-13*ORÇAMENTO!$AF$7),IF(IFERROR(CÁLCULO.FrentesPreenchidas,0)=0,0,SUM(ROUND(OFFSET($P43,0,1,1,CÁLCULO.FrentesPreenchidas),15-13*ORÇAMENTO!$AF$7)))))</f>
        <v>819.3</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4</v>
      </c>
      <c r="N43" s="167" t="str">
        <f ca="1">IF($D43&lt;&gt;"Serviço","",
         IF(AUTOEVENTO="Manual",
                IF($A43=0,"&lt;-- defina o número do agrupador",
                       OFFSET(EVENTOS!$D$15,$A43-$A$15,0)),
                OFFSET($F$15,$A43,0)))</f>
        <v>INFRAESTRUTURA</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25.5" x14ac:dyDescent="0.2">
      <c r="A44" s="7" t="str">
        <f t="shared" ca="1" si="8"/>
        <v>9</v>
      </c>
      <c r="B44" s="7" t="str">
        <f ca="1">OFFSET(ORÇAMENTO!C$15,$L44,0)</f>
        <v>S</v>
      </c>
      <c r="C44" s="7" t="str">
        <f ca="1">OFFSET(ORÇAMENTO!L$15,$L44,0)</f>
        <v>F</v>
      </c>
      <c r="D44" s="116" t="str">
        <f ca="1">OFFSET(ORÇAMENTO!N$15,$L44,0)</f>
        <v>Serviço</v>
      </c>
      <c r="E44" s="117" t="str">
        <f ca="1">OFFSET(ORÇAMENTO!O$15,$L44,0)</f>
        <v>1.4.3.0.4.</v>
      </c>
      <c r="F44" s="163" t="str">
        <f ca="1">OFFSET(ORÇAMENTO!R$15,$L44,0)</f>
        <v>CONCRETAGEM DE PILARES, FCK = 25 MPA, COM USO DE BOMBA - LANÇAMENTO, ADENSAMENTO E ACABAMENTO. AF_02/2022_PS</v>
      </c>
      <c r="G44" s="164" t="str">
        <f ca="1">IF($D44&lt;&gt;"Serviço","",OFFSET(ORÇAMENTO!S$15,$L44,0))</f>
        <v>M3</v>
      </c>
      <c r="H44" s="122" cm="1">
        <f t="array" aca="1" ref="H44" ca="1">IF($D44&lt;&gt;"Serviço",0,IF(ACOMPANHAMENTO="BM",ROUND(OFFSET(ORÇAMENTO!AJ$15,$L44,0),15-13*ORÇAMENTO!$AF$7),IF(IFERROR(CÁLCULO.FrentesPreenchidas,0)=0,0,SUM(ROUND(OFFSET($P44,0,1,1,CÁLCULO.FrentesPreenchidas),15-13*ORÇAMENTO!$AF$7)))))</f>
        <v>15.95</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4</v>
      </c>
      <c r="N44" s="167" t="str">
        <f ca="1">IF($D44&lt;&gt;"Serviço","",
         IF(AUTOEVENTO="Manual",
                IF($A44=0,"&lt;-- defina o número do agrupador",
                       OFFSET(EVENTOS!$D$15,$A44-$A$15,0)),
                OFFSET($F$15,$A44,0)))</f>
        <v>INFRAESTRUTURA</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12.75" x14ac:dyDescent="0.2">
      <c r="A45" s="7" t="str">
        <f t="shared" ca="1" si="8"/>
        <v>9</v>
      </c>
      <c r="B45" s="7">
        <f ca="1">OFFSET(ORÇAMENTO!C$15,$L45,0)</f>
        <v>3</v>
      </c>
      <c r="C45" s="7" t="str">
        <f ca="1">OFFSET(ORÇAMENTO!L$15,$L45,0)</f>
        <v>F</v>
      </c>
      <c r="D45" s="116" t="str">
        <f ca="1">OFFSET(ORÇAMENTO!N$15,$L45,0)</f>
        <v>Nível 3</v>
      </c>
      <c r="E45" s="117" t="str">
        <f ca="1">OFFSET(ORÇAMENTO!O$15,$L45,0)</f>
        <v>1.4.4.</v>
      </c>
      <c r="F45" s="163" t="str">
        <f ca="1">OFFSET(ORÇAMENTO!R$15,$L45,0)</f>
        <v>VIGAS DE AMARRAÇÃO - FUNDAÇÃO</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ht="38.25" x14ac:dyDescent="0.2">
      <c r="A46" s="7" t="str">
        <f t="shared" ca="1" si="8"/>
        <v>9</v>
      </c>
      <c r="B46" s="7" t="str">
        <f ca="1">OFFSET(ORÇAMENTO!C$15,$L46,0)</f>
        <v>S</v>
      </c>
      <c r="C46" s="7" t="str">
        <f ca="1">OFFSET(ORÇAMENTO!L$15,$L46,0)</f>
        <v>F</v>
      </c>
      <c r="D46" s="116" t="str">
        <f ca="1">OFFSET(ORÇAMENTO!N$15,$L46,0)</f>
        <v>Serviço</v>
      </c>
      <c r="E46" s="117" t="str">
        <f ca="1">OFFSET(ORÇAMENTO!O$15,$L46,0)</f>
        <v>1.4.4.0.1.</v>
      </c>
      <c r="F46" s="163" t="str">
        <f ca="1">OFFSET(ORÇAMENTO!R$15,$L46,0)</f>
        <v>MONTAGEM E DESMONTAGEM DE FÔRMA DE VIGA, ESCORAMENTO COM GARFO DE MADEIRA, PÉ-DIREITO SIMPLES, EM CHAPA DE MADEIRA PLASTIFICADA, 18 UTILIZAÇÕES. AF_09/2020</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26.13</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4</v>
      </c>
      <c r="N46" s="167" t="str">
        <f ca="1">IF($D46&lt;&gt;"Serviço","",
         IF(AUTOEVENTO="Manual",
                IF($A46=0,"&lt;-- defina o número do agrupador",
                       OFFSET(EVENTOS!$D$15,$A46-$A$15,0)),
                OFFSET($F$15,$A46,0)))</f>
        <v>INFRAESTRUTURA</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38.25" x14ac:dyDescent="0.2">
      <c r="A47" s="7" t="str">
        <f t="shared" ca="1" si="8"/>
        <v>9</v>
      </c>
      <c r="B47" s="7" t="str">
        <f ca="1">OFFSET(ORÇAMENTO!C$15,$L47,0)</f>
        <v>S</v>
      </c>
      <c r="C47" s="7" t="str">
        <f ca="1">OFFSET(ORÇAMENTO!L$15,$L47,0)</f>
        <v>F</v>
      </c>
      <c r="D47" s="116" t="str">
        <f ca="1">OFFSET(ORÇAMENTO!N$15,$L47,0)</f>
        <v>Serviço</v>
      </c>
      <c r="E47" s="117" t="str">
        <f ca="1">OFFSET(ORÇAMENTO!O$15,$L47,0)</f>
        <v>1.4.4.0.2.</v>
      </c>
      <c r="F47" s="163" t="str">
        <f ca="1">OFFSET(ORÇAMENTO!R$15,$L47,0)</f>
        <v>ARMAÇÃO DE PILAR OU VIGA DE ESTRUTURA CONVENCIONAL DE CONCRETO ARMADO UTILIZANDO AÇO CA-60 DE 5,0 MM - MONTAGEM. AF_06/2022</v>
      </c>
      <c r="G47" s="164" t="str">
        <f ca="1">IF($D47&lt;&gt;"Serviço","",OFFSET(ORÇAMENTO!S$15,$L47,0))</f>
        <v>KG</v>
      </c>
      <c r="H47" s="122" cm="1">
        <f t="array" aca="1" ref="H47" ca="1">IF($D47&lt;&gt;"Serviço",0,IF(ACOMPANHAMENTO="BM",ROUND(OFFSET(ORÇAMENTO!AJ$15,$L47,0),15-13*ORÇAMENTO!$AF$7),IF(IFERROR(CÁLCULO.FrentesPreenchidas,0)=0,0,SUM(ROUND(OFFSET($P47,0,1,1,CÁLCULO.FrentesPreenchidas),15-13*ORÇAMENTO!$AF$7)))))</f>
        <v>352</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f ca="1">IF($D47&lt;&gt;"Serviço","",
          IF(AUTOEVENTO="manual",$A47,
                IF(ISERROR(MATCH($A47,$A$15:OFFSET($A47,-1,0),0)),MAX($M$15:OFFSET(M47,-1,0))+1,
                      INDEX($M$15:OFFSET(M47,-1,0),MATCH($A47,$A$15:OFFSET($A47,-1,0),0)))))</f>
        <v>4</v>
      </c>
      <c r="N47" s="167" t="str">
        <f ca="1">IF($D47&lt;&gt;"Serviço","",
         IF(AUTOEVENTO="Manual",
                IF($A47=0,"&lt;-- defina o número do agrupador",
                       OFFSET(EVENTOS!$D$15,$A47-$A$15,0)),
                OFFSET($F$15,$A47,0)))</f>
        <v>INFRAESTRUTURA</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38.25" x14ac:dyDescent="0.2">
      <c r="A48" s="7" t="str">
        <f t="shared" ca="1" si="8"/>
        <v>9</v>
      </c>
      <c r="B48" s="7" t="str">
        <f ca="1">OFFSET(ORÇAMENTO!C$15,$L48,0)</f>
        <v>S</v>
      </c>
      <c r="C48" s="7" t="str">
        <f ca="1">OFFSET(ORÇAMENTO!L$15,$L48,0)</f>
        <v>F</v>
      </c>
      <c r="D48" s="116" t="str">
        <f ca="1">OFFSET(ORÇAMENTO!N$15,$L48,0)</f>
        <v>Serviço</v>
      </c>
      <c r="E48" s="117" t="str">
        <f ca="1">OFFSET(ORÇAMENTO!O$15,$L48,0)</f>
        <v>1.4.4.0.3.</v>
      </c>
      <c r="F48" s="163" t="str">
        <f ca="1">OFFSET(ORÇAMENTO!R$15,$L48,0)</f>
        <v>ARMAÇÃO DE PILAR OU VIGA DE ESTRUTURA CONVENCIONAL DE CONCRETO ARMADO UTILIZANDO AÇO CA-50 DE 10,0 MM - MONTAGEM. AF_06/2022</v>
      </c>
      <c r="G48" s="164" t="str">
        <f ca="1">IF($D48&lt;&gt;"Serviço","",OFFSET(ORÇAMENTO!S$15,$L48,0))</f>
        <v>KG</v>
      </c>
      <c r="H48" s="122" cm="1">
        <f t="array" aca="1" ref="H48" ca="1">IF($D48&lt;&gt;"Serviço",0,IF(ACOMPANHAMENTO="BM",ROUND(OFFSET(ORÇAMENTO!AJ$15,$L48,0),15-13*ORÇAMENTO!$AF$7),IF(IFERROR(CÁLCULO.FrentesPreenchidas,0)=0,0,SUM(ROUND(OFFSET($P48,0,1,1,CÁLCULO.FrentesPreenchidas),15-13*ORÇAMENTO!$AF$7)))))</f>
        <v>1354</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f ca="1">IF($D48&lt;&gt;"Serviço","",
          IF(AUTOEVENTO="manual",$A48,
                IF(ISERROR(MATCH($A48,$A$15:OFFSET($A48,-1,0),0)),MAX($M$15:OFFSET(M48,-1,0))+1,
                      INDEX($M$15:OFFSET(M48,-1,0),MATCH($A48,$A$15:OFFSET($A48,-1,0),0)))))</f>
        <v>4</v>
      </c>
      <c r="N48" s="167" t="str">
        <f ca="1">IF($D48&lt;&gt;"Serviço","",
         IF(AUTOEVENTO="Manual",
                IF($A48=0,"&lt;-- defina o número do agrupador",
                       OFFSET(EVENTOS!$D$15,$A48-$A$15,0)),
                OFFSET($F$15,$A48,0)))</f>
        <v>INFRAESTRUTURA</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38.25" x14ac:dyDescent="0.2">
      <c r="A49" s="7" t="str">
        <f t="shared" ca="1" si="8"/>
        <v>9</v>
      </c>
      <c r="B49" s="7" t="str">
        <f ca="1">OFFSET(ORÇAMENTO!C$15,$L49,0)</f>
        <v>S</v>
      </c>
      <c r="C49" s="7" t="str">
        <f ca="1">OFFSET(ORÇAMENTO!L$15,$L49,0)</f>
        <v>F</v>
      </c>
      <c r="D49" s="116" t="str">
        <f ca="1">OFFSET(ORÇAMENTO!N$15,$L49,0)</f>
        <v>Serviço</v>
      </c>
      <c r="E49" s="117" t="str">
        <f ca="1">OFFSET(ORÇAMENTO!O$15,$L49,0)</f>
        <v>1.4.4.0.4.</v>
      </c>
      <c r="F49" s="163" t="str">
        <f ca="1">OFFSET(ORÇAMENTO!R$15,$L49,0)</f>
        <v>CONCRETAGEM DE VIGAS E LAJES, FCK=25 MPA, PARA LAJES MACIÇAS OU NERVURADAS COM USO DE BOMBA - LANÇAMENTO, ADENSAMENTO E ACABAMENTO. AF_02/2022_PS</v>
      </c>
      <c r="G49" s="164" t="str">
        <f ca="1">IF($D49&lt;&gt;"Serviço","",OFFSET(ORÇAMENTO!S$15,$L49,0))</f>
        <v>M3</v>
      </c>
      <c r="H49" s="122" cm="1">
        <f t="array" aca="1" ref="H49" ca="1">IF($D49&lt;&gt;"Serviço",0,IF(ACOMPANHAMENTO="BM",ROUND(OFFSET(ORÇAMENTO!AJ$15,$L49,0),15-13*ORÇAMENTO!$AF$7),IF(IFERROR(CÁLCULO.FrentesPreenchidas,0)=0,0,SUM(ROUND(OFFSET($P49,0,1,1,CÁLCULO.FrentesPreenchidas),15-13*ORÇAMENTO!$AF$7)))))</f>
        <v>28.08</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4</v>
      </c>
      <c r="N49" s="167" t="str">
        <f ca="1">IF($D49&lt;&gt;"Serviço","",
         IF(AUTOEVENTO="Manual",
                IF($A49=0,"&lt;-- defina o número do agrupador",
                       OFFSET(EVENTOS!$D$15,$A49-$A$15,0)),
                OFFSET($F$15,$A49,0)))</f>
        <v>INFRAESTRUTURA</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12.75" x14ac:dyDescent="0.2">
      <c r="A50" s="7" t="str">
        <f t="shared" ca="1" si="8"/>
        <v>9</v>
      </c>
      <c r="B50" s="7">
        <f ca="1">OFFSET(ORÇAMENTO!C$15,$L50,0)</f>
        <v>3</v>
      </c>
      <c r="C50" s="7" t="str">
        <f ca="1">OFFSET(ORÇAMENTO!L$15,$L50,0)</f>
        <v>F</v>
      </c>
      <c r="D50" s="116" t="str">
        <f ca="1">OFFSET(ORÇAMENTO!N$15,$L50,0)</f>
        <v>Nível 3</v>
      </c>
      <c r="E50" s="117" t="str">
        <f ca="1">OFFSET(ORÇAMENTO!O$15,$L50,0)</f>
        <v>1.4.5.</v>
      </c>
      <c r="F50" s="163" t="str">
        <f ca="1">OFFSET(ORÇAMENTO!R$15,$L50,0)</f>
        <v>PILOTIS</v>
      </c>
      <c r="G50" s="164" t="str">
        <f ca="1">IF($D50&lt;&gt;"Serviço","",OFFSET(ORÇAMENTO!S$15,$L50,0))</f>
        <v/>
      </c>
      <c r="H50" s="122" cm="1">
        <f t="array" aca="1" ref="H50" ca="1">IF($D50&lt;&gt;"Serviço",0,IF(ACOMPANHAMENTO="BM",ROUND(OFFSET(ORÇAMENTO!AJ$15,$L50,0),15-13*ORÇAMENTO!$AF$7),IF(IFERROR(CÁLCULO.FrentesPreenchidas,0)=0,0,SUM(ROUND(OFFSET($P50,0,1,1,CÁLCULO.FrentesPreenchidas),15-13*ORÇAMENTO!$AF$7)))))</f>
        <v>0</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0</v>
      </c>
      <c r="AN50" s="171">
        <f ca="1">IF(OR($D50&lt;&gt;"Serviço",AND(AUTOEVENTO="Manual",$M50=$A$15)),0,
         IF(OFFSET(CRONOPLE!$F$15,$M50-$A$15,AN$13)=0,10^12,OFFSET(CRONOPLE!$F$15,$M50-$A$15,AN$13)))</f>
        <v>0</v>
      </c>
      <c r="AO50" s="171">
        <f ca="1">IF(OR($D50&lt;&gt;"Serviço",AND(AUTOEVENTO="Manual",$M50=$A$15)),0,
         IF(OFFSET(CRONOPLE!$F$15,$M50-$A$15,AO$13)=0,10^12,OFFSET(CRONOPLE!$F$15,$M50-$A$15,AO$13)))</f>
        <v>0</v>
      </c>
      <c r="AP50" s="171">
        <f ca="1">IF(OR($D50&lt;&gt;"Serviço",AND(AUTOEVENTO="Manual",$M50=$A$15)),0,
         IF(OFFSET(CRONOPLE!$F$15,$M50-$A$15,AP$13)=0,10^12,OFFSET(CRONOPLE!$F$15,$M50-$A$15,AP$13)))</f>
        <v>0</v>
      </c>
      <c r="AQ50" s="171">
        <f ca="1">IF(OR($D50&lt;&gt;"Serviço",AND(AUTOEVENTO="Manual",$M50=$A$15)),0,
         IF(OFFSET(CRONOPLE!$F$15,$M50-$A$15,AQ$13)=0,10^12,OFFSET(CRONOPLE!$F$15,$M50-$A$15,AQ$13)))</f>
        <v>0</v>
      </c>
      <c r="AR50" s="171">
        <f ca="1">IF(OR($D50&lt;&gt;"Serviço",AND(AUTOEVENTO="Manual",$M50=$A$15)),0,
         IF(OFFSET(CRONOPLE!$F$15,$M50-$A$15,AR$13)=0,10^12,OFFSET(CRONOPLE!$F$15,$M50-$A$15,AR$13)))</f>
        <v>0</v>
      </c>
      <c r="AS50" s="171">
        <f ca="1">IF(OR($D50&lt;&gt;"Serviço",AND(AUTOEVENTO="Manual",$M50=$A$15)),0,
         IF(OFFSET(CRONOPLE!$F$15,$M50-$A$15,AS$13)=0,10^12,OFFSET(CRONOPLE!$F$15,$M50-$A$15,AS$13)))</f>
        <v>0</v>
      </c>
      <c r="AT50" s="171">
        <f ca="1">IF(OR($D50&lt;&gt;"Serviço",AND(AUTOEVENTO="Manual",$M50=$A$15)),0,
         IF(OFFSET(CRONOPLE!$F$15,$M50-$A$15,AT$13)=0,10^12,OFFSET(CRONOPLE!$F$15,$M50-$A$15,AT$13)))</f>
        <v>0</v>
      </c>
      <c r="AU50" s="171">
        <f ca="1">IF(OR($D50&lt;&gt;"Serviço",AND(AUTOEVENTO="Manual",$M50=$A$15)),0,
         IF(OFFSET(CRONOPLE!$F$15,$M50-$A$15,AU$13)=0,10^12,OFFSET(CRONOPLE!$F$15,$M50-$A$15,AU$13)))</f>
        <v>0</v>
      </c>
      <c r="AV50" s="171">
        <f ca="1">IF(OR($D50&lt;&gt;"Serviço",AND(AUTOEVENTO="Manual",$M50=$A$15)),0,
         IF(OFFSET(CRONOPLE!$F$15,$M50-$A$15,AV$13)=0,10^12,OFFSET(CRONOPLE!$F$15,$M50-$A$15,AV$13)))</f>
        <v>0</v>
      </c>
      <c r="AX50" s="172" cm="1">
        <f t="array" aca="1" ref="AX50" ca="1">IF(OR($D50&lt;&gt;"Serviço",AND(AUTOEVENTO="Manual",$M50=$A$15),$M50&gt;(ROW(PLE.lastrow)-ROW(PLE.firstrow))),0,
           IF(OFFSET(PLE!$G$15,$M50-$A$15,AX$13)="",10^12,OFFSET(PLE!$G$15,$M50-$A$15,AX$13)))</f>
        <v>0</v>
      </c>
      <c r="AY50" s="172" cm="1">
        <f t="array" aca="1" ref="AY50" ca="1">IF(OR($D50&lt;&gt;"Serviço",AND(AUTOEVENTO="Manual",$M50=$A$15),$M50&gt;(ROW(PLE.lastrow)-ROW(PLE.firstrow))),0,
           IF(OFFSET(PLE!$G$15,$M50-$A$15,AY$13)="",10^12,OFFSET(PLE!$G$15,$M50-$A$15,AY$13)))</f>
        <v>0</v>
      </c>
      <c r="AZ50" s="172" cm="1">
        <f t="array" aca="1" ref="AZ50" ca="1">IF(OR($D50&lt;&gt;"Serviço",AND(AUTOEVENTO="Manual",$M50=$A$15),$M50&gt;(ROW(PLE.lastrow)-ROW(PLE.firstrow))),0,
           IF(OFFSET(PLE!$G$15,$M50-$A$15,AZ$13)="",10^12,OFFSET(PLE!$G$15,$M50-$A$15,AZ$13)))</f>
        <v>0</v>
      </c>
      <c r="BA50" s="172" cm="1">
        <f t="array" aca="1" ref="BA50" ca="1">IF(OR($D50&lt;&gt;"Serviço",AND(AUTOEVENTO="Manual",$M50=$A$15),$M50&gt;(ROW(PLE.lastrow)-ROW(PLE.firstrow))),0,
           IF(OFFSET(PLE!$G$15,$M50-$A$15,BA$13)="",10^12,OFFSET(PLE!$G$15,$M50-$A$15,BA$13)))</f>
        <v>0</v>
      </c>
      <c r="BB50" s="172" cm="1">
        <f t="array" aca="1" ref="BB50" ca="1">IF(OR($D50&lt;&gt;"Serviço",AND(AUTOEVENTO="Manual",$M50=$A$15),$M50&gt;(ROW(PLE.lastrow)-ROW(PLE.firstrow))),0,
           IF(OFFSET(PLE!$G$15,$M50-$A$15,BB$13)="",10^12,OFFSET(PLE!$G$15,$M50-$A$15,BB$13)))</f>
        <v>0</v>
      </c>
      <c r="BC50" s="172" cm="1">
        <f t="array" aca="1" ref="BC50" ca="1">IF(OR($D50&lt;&gt;"Serviço",AND(AUTOEVENTO="Manual",$M50=$A$15),$M50&gt;(ROW(PLE.lastrow)-ROW(PLE.firstrow))),0,
           IF(OFFSET(PLE!$G$15,$M50-$A$15,BC$13)="",10^12,OFFSET(PLE!$G$15,$M50-$A$15,BC$13)))</f>
        <v>0</v>
      </c>
      <c r="BD50" s="172" cm="1">
        <f t="array" aca="1" ref="BD50" ca="1">IF(OR($D50&lt;&gt;"Serviço",AND(AUTOEVENTO="Manual",$M50=$A$15),$M50&gt;(ROW(PLE.lastrow)-ROW(PLE.firstrow))),0,
           IF(OFFSET(PLE!$G$15,$M50-$A$15,BD$13)="",10^12,OFFSET(PLE!$G$15,$M50-$A$15,BD$13)))</f>
        <v>0</v>
      </c>
      <c r="BE50" s="172" cm="1">
        <f t="array" aca="1" ref="BE50" ca="1">IF(OR($D50&lt;&gt;"Serviço",AND(AUTOEVENTO="Manual",$M50=$A$15),$M50&gt;(ROW(PLE.lastrow)-ROW(PLE.firstrow))),0,
           IF(OFFSET(PLE!$G$15,$M50-$A$15,BE$13)="",10^12,OFFSET(PLE!$G$15,$M50-$A$15,BE$13)))</f>
        <v>0</v>
      </c>
      <c r="BF50" s="172" cm="1">
        <f t="array" aca="1" ref="BF50" ca="1">IF(OR($D50&lt;&gt;"Serviço",AND(AUTOEVENTO="Manual",$M50=$A$15),$M50&gt;(ROW(PLE.lastrow)-ROW(PLE.firstrow))),0,
           IF(OFFSET(PLE!$G$15,$M50-$A$15,BF$13)="",10^12,OFFSET(PLE!$G$15,$M50-$A$15,BF$13)))</f>
        <v>0</v>
      </c>
      <c r="BG50" s="172" cm="1">
        <f t="array" aca="1" ref="BG50" ca="1">IF(OR($D50&lt;&gt;"Serviço",AND(AUTOEVENTO="Manual",$M50=$A$15),$M50&gt;(ROW(PLE.lastrow)-ROW(PLE.firstrow))),0,
           IF(OFFSET(PLE!$G$15,$M50-$A$15,BG$13)="",10^12,OFFSET(PLE!$G$15,$M50-$A$15,BG$13)))</f>
        <v>0</v>
      </c>
    </row>
    <row r="51" spans="1:59" ht="51" x14ac:dyDescent="0.2">
      <c r="A51" s="7" t="str">
        <f t="shared" ca="1" si="8"/>
        <v>9</v>
      </c>
      <c r="B51" s="7" t="str">
        <f ca="1">OFFSET(ORÇAMENTO!C$15,$L51,0)</f>
        <v>S</v>
      </c>
      <c r="C51" s="7" t="str">
        <f ca="1">OFFSET(ORÇAMENTO!L$15,$L51,0)</f>
        <v>F</v>
      </c>
      <c r="D51" s="116" t="str">
        <f ca="1">OFFSET(ORÇAMENTO!N$15,$L51,0)</f>
        <v>Serviço</v>
      </c>
      <c r="E51" s="117" t="str">
        <f ca="1">OFFSET(ORÇAMENTO!O$15,$L51,0)</f>
        <v>1.4.5.0.1.</v>
      </c>
      <c r="F51" s="163" t="str">
        <f ca="1">OFFSET(ORÇAMENTO!R$15,$L51,0)</f>
        <v>MONTAGEM E DESMONTAGEM DE FÔRMA DE PILARES RETANGULARES E ESTRUTURAS SIMILARES, PÉ-DIREITO SIMPLES, EM CHAPA DE MADEIRA COMPENSADA PLASTIFICADA, 14 UTILIZAÇÕES. AF_09/2020</v>
      </c>
      <c r="G51" s="164" t="str">
        <f ca="1">IF($D51&lt;&gt;"Serviço","",OFFSET(ORÇAMENTO!S$15,$L51,0))</f>
        <v>M2</v>
      </c>
      <c r="H51" s="122" cm="1">
        <f t="array" aca="1" ref="H51" ca="1">IF($D51&lt;&gt;"Serviço",0,IF(ACOMPANHAMENTO="BM",ROUND(OFFSET(ORÇAMENTO!AJ$15,$L51,0),15-13*ORÇAMENTO!$AF$7),IF(IFERROR(CÁLCULO.FrentesPreenchidas,0)=0,0,SUM(ROUND(OFFSET($P51,0,1,1,CÁLCULO.FrentesPreenchidas),15-13*ORÇAMENTO!$AF$7)))))</f>
        <v>14.37</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f ca="1">IF($D51&lt;&gt;"Serviço","",
          IF(AUTOEVENTO="manual",$A51,
                IF(ISERROR(MATCH($A51,$A$15:OFFSET($A51,-1,0),0)),MAX($M$15:OFFSET(M51,-1,0))+1,
                      INDEX($M$15:OFFSET(M51,-1,0),MATCH($A51,$A$15:OFFSET($A51,-1,0),0)))))</f>
        <v>4</v>
      </c>
      <c r="N51" s="167" t="str">
        <f ca="1">IF($D51&lt;&gt;"Serviço","",
         IF(AUTOEVENTO="Manual",
                IF($A51=0,"&lt;-- defina o número do agrupador",
                       OFFSET(EVENTOS!$D$15,$A51-$A$15,0)),
                OFFSET($F$15,$A51,0)))</f>
        <v>INFRAESTRUTURA</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38.25" x14ac:dyDescent="0.2">
      <c r="A52" s="7" t="str">
        <f t="shared" ca="1" si="8"/>
        <v>9</v>
      </c>
      <c r="B52" s="7" t="str">
        <f ca="1">OFFSET(ORÇAMENTO!C$15,$L52,0)</f>
        <v>S</v>
      </c>
      <c r="C52" s="7" t="str">
        <f ca="1">OFFSET(ORÇAMENTO!L$15,$L52,0)</f>
        <v>F</v>
      </c>
      <c r="D52" s="116" t="str">
        <f ca="1">OFFSET(ORÇAMENTO!N$15,$L52,0)</f>
        <v>Serviço</v>
      </c>
      <c r="E52" s="117" t="str">
        <f ca="1">OFFSET(ORÇAMENTO!O$15,$L52,0)</f>
        <v>1.4.5.0.2.</v>
      </c>
      <c r="F52" s="163" t="str">
        <f ca="1">OFFSET(ORÇAMENTO!R$15,$L52,0)</f>
        <v>ARMAÇÃO DE PILAR OU VIGA DE ESTRUTURA DE CONCRETO ARMADO EMBUTIDA EM ALVENARIA DE VEDAÇÃO UTILIZANDO AÇO CA-60 DE 5,0 MM - MONTAGEM. AF_06/2022</v>
      </c>
      <c r="G52" s="164" t="str">
        <f ca="1">IF($D52&lt;&gt;"Serviço","",OFFSET(ORÇAMENTO!S$15,$L52,0))</f>
        <v>KG</v>
      </c>
      <c r="H52" s="122" cm="1">
        <f t="array" aca="1" ref="H52" ca="1">IF($D52&lt;&gt;"Serviço",0,IF(ACOMPANHAMENTO="BM",ROUND(OFFSET(ORÇAMENTO!AJ$15,$L52,0),15-13*ORÇAMENTO!$AF$7),IF(IFERROR(CÁLCULO.FrentesPreenchidas,0)=0,0,SUM(ROUND(OFFSET($P52,0,1,1,CÁLCULO.FrentesPreenchidas),15-13*ORÇAMENTO!$AF$7)))))</f>
        <v>212.13</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f ca="1">IF($D52&lt;&gt;"Serviço","",
          IF(AUTOEVENTO="manual",$A52,
                IF(ISERROR(MATCH($A52,$A$15:OFFSET($A52,-1,0),0)),MAX($M$15:OFFSET(M52,-1,0))+1,
                      INDEX($M$15:OFFSET(M52,-1,0),MATCH($A52,$A$15:OFFSET($A52,-1,0),0)))))</f>
        <v>4</v>
      </c>
      <c r="N52" s="167" t="str">
        <f ca="1">IF($D52&lt;&gt;"Serviço","",
         IF(AUTOEVENTO="Manual",
                IF($A52=0,"&lt;-- defina o número do agrupador",
                       OFFSET(EVENTOS!$D$15,$A52-$A$15,0)),
                OFFSET($F$15,$A52,0)))</f>
        <v>INFRAESTRUTURA</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38.25" x14ac:dyDescent="0.2">
      <c r="A53" s="7" t="str">
        <f t="shared" ca="1" si="8"/>
        <v>9</v>
      </c>
      <c r="B53" s="7" t="str">
        <f ca="1">OFFSET(ORÇAMENTO!C$15,$L53,0)</f>
        <v>S</v>
      </c>
      <c r="C53" s="7" t="str">
        <f ca="1">OFFSET(ORÇAMENTO!L$15,$L53,0)</f>
        <v>F</v>
      </c>
      <c r="D53" s="116" t="str">
        <f ca="1">OFFSET(ORÇAMENTO!N$15,$L53,0)</f>
        <v>Serviço</v>
      </c>
      <c r="E53" s="117" t="str">
        <f ca="1">OFFSET(ORÇAMENTO!O$15,$L53,0)</f>
        <v>1.4.5.0.3.</v>
      </c>
      <c r="F53" s="163" t="str">
        <f ca="1">OFFSET(ORÇAMENTO!R$15,$L53,0)</f>
        <v>ARMAÇÃO DE PILAR OU VIGA DE ESTRUTURA DE CONCRETO ARMADO EMBUTIDA EM ALVENARIA DE VEDAÇÃO UTILIZANDO AÇO CA-50 DE 10,0 MM - MONTAGEM. AF_06/2022</v>
      </c>
      <c r="G53" s="164" t="str">
        <f ca="1">IF($D53&lt;&gt;"Serviço","",OFFSET(ORÇAMENTO!S$15,$L53,0))</f>
        <v>KG</v>
      </c>
      <c r="H53" s="122" cm="1">
        <f t="array" aca="1" ref="H53" ca="1">IF($D53&lt;&gt;"Serviço",0,IF(ACOMPANHAMENTO="BM",ROUND(OFFSET(ORÇAMENTO!AJ$15,$L53,0),15-13*ORÇAMENTO!$AF$7),IF(IFERROR(CÁLCULO.FrentesPreenchidas,0)=0,0,SUM(ROUND(OFFSET($P53,0,1,1,CÁLCULO.FrentesPreenchidas),15-13*ORÇAMENTO!$AF$7)))))</f>
        <v>496.17</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4</v>
      </c>
      <c r="N53" s="167" t="str">
        <f ca="1">IF($D53&lt;&gt;"Serviço","",
         IF(AUTOEVENTO="Manual",
                IF($A53=0,"&lt;-- defina o número do agrupador",
                       OFFSET(EVENTOS!$D$15,$A53-$A$15,0)),
                OFFSET($F$15,$A53,0)))</f>
        <v>INFRAESTRUTURA</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25.5" x14ac:dyDescent="0.2">
      <c r="A54" s="7" t="str">
        <f t="shared" ca="1" si="8"/>
        <v>9</v>
      </c>
      <c r="B54" s="7" t="str">
        <f ca="1">OFFSET(ORÇAMENTO!C$15,$L54,0)</f>
        <v>S</v>
      </c>
      <c r="C54" s="7" t="str">
        <f ca="1">OFFSET(ORÇAMENTO!L$15,$L54,0)</f>
        <v>F</v>
      </c>
      <c r="D54" s="116" t="str">
        <f ca="1">OFFSET(ORÇAMENTO!N$15,$L54,0)</f>
        <v>Serviço</v>
      </c>
      <c r="E54" s="117" t="str">
        <f ca="1">OFFSET(ORÇAMENTO!O$15,$L54,0)</f>
        <v>1.4.5.0.4.</v>
      </c>
      <c r="F54" s="163" t="str">
        <f ca="1">OFFSET(ORÇAMENTO!R$15,$L54,0)</f>
        <v>CONCRETAGEM DE PILARES, FCK = 25 MPA, COM USO DE BOMBA - LANÇAMENTO, ADENSAMENTO E ACABAMENTO. AF_02/2022_PS</v>
      </c>
      <c r="G54" s="164" t="str">
        <f ca="1">IF($D54&lt;&gt;"Serviço","",OFFSET(ORÇAMENTO!S$15,$L54,0))</f>
        <v>M3</v>
      </c>
      <c r="H54" s="122" cm="1">
        <f t="array" aca="1" ref="H54" ca="1">IF($D54&lt;&gt;"Serviço",0,IF(ACOMPANHAMENTO="BM",ROUND(OFFSET(ORÇAMENTO!AJ$15,$L54,0),15-13*ORÇAMENTO!$AF$7),IF(IFERROR(CÁLCULO.FrentesPreenchidas,0)=0,0,SUM(ROUND(OFFSET($P54,0,1,1,CÁLCULO.FrentesPreenchidas),15-13*ORÇAMENTO!$AF$7)))))</f>
        <v>11.78</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f ca="1">IF($D54&lt;&gt;"Serviço","",
          IF(AUTOEVENTO="manual",$A54,
                IF(ISERROR(MATCH($A54,$A$15:OFFSET($A54,-1,0),0)),MAX($M$15:OFFSET(M54,-1,0))+1,
                      INDEX($M$15:OFFSET(M54,-1,0),MATCH($A54,$A$15:OFFSET($A54,-1,0),0)))))</f>
        <v>4</v>
      </c>
      <c r="N54" s="167" t="str">
        <f ca="1">IF($D54&lt;&gt;"Serviço","",
         IF(AUTOEVENTO="Manual",
                IF($A54=0,"&lt;-- defina o número do agrupador",
                       OFFSET(EVENTOS!$D$15,$A54-$A$15,0)),
                OFFSET($F$15,$A54,0)))</f>
        <v>INFRAESTRUTURA</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12.75" x14ac:dyDescent="0.2">
      <c r="A55" s="7" t="str">
        <f t="shared" ca="1" si="8"/>
        <v>9</v>
      </c>
      <c r="B55" s="7">
        <f ca="1">OFFSET(ORÇAMENTO!C$15,$L55,0)</f>
        <v>3</v>
      </c>
      <c r="C55" s="7" t="str">
        <f ca="1">OFFSET(ORÇAMENTO!L$15,$L55,0)</f>
        <v>F</v>
      </c>
      <c r="D55" s="116" t="str">
        <f ca="1">OFFSET(ORÇAMENTO!N$15,$L55,0)</f>
        <v>Nível 3</v>
      </c>
      <c r="E55" s="117" t="str">
        <f ca="1">OFFSET(ORÇAMENTO!O$15,$L55,0)</f>
        <v>1.4.6.</v>
      </c>
      <c r="F55" s="163" t="str">
        <f ca="1">OFFSET(ORÇAMENTO!R$15,$L55,0)</f>
        <v>VIGAS BALDRAME</v>
      </c>
      <c r="G55" s="164" t="str">
        <f ca="1">IF($D55&lt;&gt;"Serviço","",OFFSET(ORÇAMENTO!S$15,$L55,0))</f>
        <v/>
      </c>
      <c r="H55" s="122" cm="1">
        <f t="array" aca="1" ref="H55" ca="1">IF($D55&lt;&gt;"Serviço",0,IF(ACOMPANHAMENTO="BM",ROUND(OFFSET(ORÇAMENTO!AJ$15,$L55,0),15-13*ORÇAMENTO!$AF$7),IF(IFERROR(CÁLCULO.FrentesPreenchidas,0)=0,0,SUM(ROUND(OFFSET($P55,0,1,1,CÁLCULO.FrentesPreenchidas),15-13*ORÇAMENTO!$AF$7)))))</f>
        <v>0</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t="str">
        <f ca="1">IF($D55&lt;&gt;"Serviço","",
          IF(AUTOEVENTO="manual",$A55,
                IF(ISERROR(MATCH($A55,$A$15:OFFSET($A55,-1,0),0)),MAX($M$15:OFFSET(M55,-1,0))+1,
                      INDEX($M$15:OFFSET(M55,-1,0),MATCH($A55,$A$15:OFFSET($A55,-1,0),0)))))</f>
        <v/>
      </c>
      <c r="N55" s="167" t="str">
        <f ca="1">IF($D55&lt;&gt;"Serviço","",
         IF(AUTOEVENTO="Manual",
                IF($A55=0,"&lt;-- defina o número do agrupador",
                       OFFSET(EVENTOS!$D$15,$A55-$A$15,0)),
                OFFSET($F$15,$A55,0)))</f>
        <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0</v>
      </c>
      <c r="AN55" s="171">
        <f ca="1">IF(OR($D55&lt;&gt;"Serviço",AND(AUTOEVENTO="Manual",$M55=$A$15)),0,
         IF(OFFSET(CRONOPLE!$F$15,$M55-$A$15,AN$13)=0,10^12,OFFSET(CRONOPLE!$F$15,$M55-$A$15,AN$13)))</f>
        <v>0</v>
      </c>
      <c r="AO55" s="171">
        <f ca="1">IF(OR($D55&lt;&gt;"Serviço",AND(AUTOEVENTO="Manual",$M55=$A$15)),0,
         IF(OFFSET(CRONOPLE!$F$15,$M55-$A$15,AO$13)=0,10^12,OFFSET(CRONOPLE!$F$15,$M55-$A$15,AO$13)))</f>
        <v>0</v>
      </c>
      <c r="AP55" s="171">
        <f ca="1">IF(OR($D55&lt;&gt;"Serviço",AND(AUTOEVENTO="Manual",$M55=$A$15)),0,
         IF(OFFSET(CRONOPLE!$F$15,$M55-$A$15,AP$13)=0,10^12,OFFSET(CRONOPLE!$F$15,$M55-$A$15,AP$13)))</f>
        <v>0</v>
      </c>
      <c r="AQ55" s="171">
        <f ca="1">IF(OR($D55&lt;&gt;"Serviço",AND(AUTOEVENTO="Manual",$M55=$A$15)),0,
         IF(OFFSET(CRONOPLE!$F$15,$M55-$A$15,AQ$13)=0,10^12,OFFSET(CRONOPLE!$F$15,$M55-$A$15,AQ$13)))</f>
        <v>0</v>
      </c>
      <c r="AR55" s="171">
        <f ca="1">IF(OR($D55&lt;&gt;"Serviço",AND(AUTOEVENTO="Manual",$M55=$A$15)),0,
         IF(OFFSET(CRONOPLE!$F$15,$M55-$A$15,AR$13)=0,10^12,OFFSET(CRONOPLE!$F$15,$M55-$A$15,AR$13)))</f>
        <v>0</v>
      </c>
      <c r="AS55" s="171">
        <f ca="1">IF(OR($D55&lt;&gt;"Serviço",AND(AUTOEVENTO="Manual",$M55=$A$15)),0,
         IF(OFFSET(CRONOPLE!$F$15,$M55-$A$15,AS$13)=0,10^12,OFFSET(CRONOPLE!$F$15,$M55-$A$15,AS$13)))</f>
        <v>0</v>
      </c>
      <c r="AT55" s="171">
        <f ca="1">IF(OR($D55&lt;&gt;"Serviço",AND(AUTOEVENTO="Manual",$M55=$A$15)),0,
         IF(OFFSET(CRONOPLE!$F$15,$M55-$A$15,AT$13)=0,10^12,OFFSET(CRONOPLE!$F$15,$M55-$A$15,AT$13)))</f>
        <v>0</v>
      </c>
      <c r="AU55" s="171">
        <f ca="1">IF(OR($D55&lt;&gt;"Serviço",AND(AUTOEVENTO="Manual",$M55=$A$15)),0,
         IF(OFFSET(CRONOPLE!$F$15,$M55-$A$15,AU$13)=0,10^12,OFFSET(CRONOPLE!$F$15,$M55-$A$15,AU$13)))</f>
        <v>0</v>
      </c>
      <c r="AV55" s="171">
        <f ca="1">IF(OR($D55&lt;&gt;"Serviço",AND(AUTOEVENTO="Manual",$M55=$A$15)),0,
         IF(OFFSET(CRONOPLE!$F$15,$M55-$A$15,AV$13)=0,10^12,OFFSET(CRONOPLE!$F$15,$M55-$A$15,AV$13)))</f>
        <v>0</v>
      </c>
      <c r="AX55" s="172" cm="1">
        <f t="array" aca="1" ref="AX55" ca="1">IF(OR($D55&lt;&gt;"Serviço",AND(AUTOEVENTO="Manual",$M55=$A$15),$M55&gt;(ROW(PLE.lastrow)-ROW(PLE.firstrow))),0,
           IF(OFFSET(PLE!$G$15,$M55-$A$15,AX$13)="",10^12,OFFSET(PLE!$G$15,$M55-$A$15,AX$13)))</f>
        <v>0</v>
      </c>
      <c r="AY55" s="172" cm="1">
        <f t="array" aca="1" ref="AY55" ca="1">IF(OR($D55&lt;&gt;"Serviço",AND(AUTOEVENTO="Manual",$M55=$A$15),$M55&gt;(ROW(PLE.lastrow)-ROW(PLE.firstrow))),0,
           IF(OFFSET(PLE!$G$15,$M55-$A$15,AY$13)="",10^12,OFFSET(PLE!$G$15,$M55-$A$15,AY$13)))</f>
        <v>0</v>
      </c>
      <c r="AZ55" s="172" cm="1">
        <f t="array" aca="1" ref="AZ55" ca="1">IF(OR($D55&lt;&gt;"Serviço",AND(AUTOEVENTO="Manual",$M55=$A$15),$M55&gt;(ROW(PLE.lastrow)-ROW(PLE.firstrow))),0,
           IF(OFFSET(PLE!$G$15,$M55-$A$15,AZ$13)="",10^12,OFFSET(PLE!$G$15,$M55-$A$15,AZ$13)))</f>
        <v>0</v>
      </c>
      <c r="BA55" s="172" cm="1">
        <f t="array" aca="1" ref="BA55" ca="1">IF(OR($D55&lt;&gt;"Serviço",AND(AUTOEVENTO="Manual",$M55=$A$15),$M55&gt;(ROW(PLE.lastrow)-ROW(PLE.firstrow))),0,
           IF(OFFSET(PLE!$G$15,$M55-$A$15,BA$13)="",10^12,OFFSET(PLE!$G$15,$M55-$A$15,BA$13)))</f>
        <v>0</v>
      </c>
      <c r="BB55" s="172" cm="1">
        <f t="array" aca="1" ref="BB55" ca="1">IF(OR($D55&lt;&gt;"Serviço",AND(AUTOEVENTO="Manual",$M55=$A$15),$M55&gt;(ROW(PLE.lastrow)-ROW(PLE.firstrow))),0,
           IF(OFFSET(PLE!$G$15,$M55-$A$15,BB$13)="",10^12,OFFSET(PLE!$G$15,$M55-$A$15,BB$13)))</f>
        <v>0</v>
      </c>
      <c r="BC55" s="172" cm="1">
        <f t="array" aca="1" ref="BC55" ca="1">IF(OR($D55&lt;&gt;"Serviço",AND(AUTOEVENTO="Manual",$M55=$A$15),$M55&gt;(ROW(PLE.lastrow)-ROW(PLE.firstrow))),0,
           IF(OFFSET(PLE!$G$15,$M55-$A$15,BC$13)="",10^12,OFFSET(PLE!$G$15,$M55-$A$15,BC$13)))</f>
        <v>0</v>
      </c>
      <c r="BD55" s="172" cm="1">
        <f t="array" aca="1" ref="BD55" ca="1">IF(OR($D55&lt;&gt;"Serviço",AND(AUTOEVENTO="Manual",$M55=$A$15),$M55&gt;(ROW(PLE.lastrow)-ROW(PLE.firstrow))),0,
           IF(OFFSET(PLE!$G$15,$M55-$A$15,BD$13)="",10^12,OFFSET(PLE!$G$15,$M55-$A$15,BD$13)))</f>
        <v>0</v>
      </c>
      <c r="BE55" s="172" cm="1">
        <f t="array" aca="1" ref="BE55" ca="1">IF(OR($D55&lt;&gt;"Serviço",AND(AUTOEVENTO="Manual",$M55=$A$15),$M55&gt;(ROW(PLE.lastrow)-ROW(PLE.firstrow))),0,
           IF(OFFSET(PLE!$G$15,$M55-$A$15,BE$13)="",10^12,OFFSET(PLE!$G$15,$M55-$A$15,BE$13)))</f>
        <v>0</v>
      </c>
      <c r="BF55" s="172" cm="1">
        <f t="array" aca="1" ref="BF55" ca="1">IF(OR($D55&lt;&gt;"Serviço",AND(AUTOEVENTO="Manual",$M55=$A$15),$M55&gt;(ROW(PLE.lastrow)-ROW(PLE.firstrow))),0,
           IF(OFFSET(PLE!$G$15,$M55-$A$15,BF$13)="",10^12,OFFSET(PLE!$G$15,$M55-$A$15,BF$13)))</f>
        <v>0</v>
      </c>
      <c r="BG55" s="172" cm="1">
        <f t="array" aca="1" ref="BG55" ca="1">IF(OR($D55&lt;&gt;"Serviço",AND(AUTOEVENTO="Manual",$M55=$A$15),$M55&gt;(ROW(PLE.lastrow)-ROW(PLE.firstrow))),0,
           IF(OFFSET(PLE!$G$15,$M55-$A$15,BG$13)="",10^12,OFFSET(PLE!$G$15,$M55-$A$15,BG$13)))</f>
        <v>0</v>
      </c>
    </row>
    <row r="56" spans="1:59" ht="38.25" x14ac:dyDescent="0.2">
      <c r="A56" s="7" t="str">
        <f t="shared" ca="1" si="8"/>
        <v>9</v>
      </c>
      <c r="B56" s="7" t="str">
        <f ca="1">OFFSET(ORÇAMENTO!C$15,$L56,0)</f>
        <v>S</v>
      </c>
      <c r="C56" s="7" t="str">
        <f ca="1">OFFSET(ORÇAMENTO!L$15,$L56,0)</f>
        <v>F</v>
      </c>
      <c r="D56" s="116" t="str">
        <f ca="1">OFFSET(ORÇAMENTO!N$15,$L56,0)</f>
        <v>Serviço</v>
      </c>
      <c r="E56" s="117" t="str">
        <f ca="1">OFFSET(ORÇAMENTO!O$15,$L56,0)</f>
        <v>1.4.6.0.1.</v>
      </c>
      <c r="F56" s="163" t="str">
        <f ca="1">OFFSET(ORÇAMENTO!R$15,$L56,0)</f>
        <v>MONTAGEM E DESMONTAGEM DE FÔRMA DE VIGA, ESCORAMENTO COM GARFO DE MADEIRA, PÉ-DIREITO SIMPLES, EM CHAPA DE MADEIRA PLASTIFICADA, 18 UTILIZAÇÕES. AF_09/2020</v>
      </c>
      <c r="G56" s="164" t="str">
        <f ca="1">IF($D56&lt;&gt;"Serviço","",OFFSET(ORÇAMENTO!S$15,$L56,0))</f>
        <v>M2</v>
      </c>
      <c r="H56" s="122" cm="1">
        <f t="array" aca="1" ref="H56" ca="1">IF($D56&lt;&gt;"Serviço",0,IF(ACOMPANHAMENTO="BM",ROUND(OFFSET(ORÇAMENTO!AJ$15,$L56,0),15-13*ORÇAMENTO!$AF$7),IF(IFERROR(CÁLCULO.FrentesPreenchidas,0)=0,0,SUM(ROUND(OFFSET($P56,0,1,1,CÁLCULO.FrentesPreenchidas),15-13*ORÇAMENTO!$AF$7)))))</f>
        <v>43.05</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f ca="1">IF($D56&lt;&gt;"Serviço","",
          IF(AUTOEVENTO="manual",$A56,
                IF(ISERROR(MATCH($A56,$A$15:OFFSET($A56,-1,0),0)),MAX($M$15:OFFSET(M56,-1,0))+1,
                      INDEX($M$15:OFFSET(M56,-1,0),MATCH($A56,$A$15:OFFSET($A56,-1,0),0)))))</f>
        <v>4</v>
      </c>
      <c r="N56" s="167" t="str">
        <f ca="1">IF($D56&lt;&gt;"Serviço","",
         IF(AUTOEVENTO="Manual",
                IF($A56=0,"&lt;-- defina o número do agrupador",
                       OFFSET(EVENTOS!$D$15,$A56-$A$15,0)),
                OFFSET($F$15,$A56,0)))</f>
        <v>INFRAESTRUTURA</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38.25" x14ac:dyDescent="0.2">
      <c r="A57" s="7" t="str">
        <f t="shared" ca="1" si="8"/>
        <v>9</v>
      </c>
      <c r="B57" s="7" t="str">
        <f ca="1">OFFSET(ORÇAMENTO!C$15,$L57,0)</f>
        <v>S</v>
      </c>
      <c r="C57" s="7" t="str">
        <f ca="1">OFFSET(ORÇAMENTO!L$15,$L57,0)</f>
        <v>F</v>
      </c>
      <c r="D57" s="116" t="str">
        <f ca="1">OFFSET(ORÇAMENTO!N$15,$L57,0)</f>
        <v>Serviço</v>
      </c>
      <c r="E57" s="117" t="str">
        <f ca="1">OFFSET(ORÇAMENTO!O$15,$L57,0)</f>
        <v>1.4.6.0.2.</v>
      </c>
      <c r="F57" s="163" t="str">
        <f ca="1">OFFSET(ORÇAMENTO!R$15,$L57,0)</f>
        <v>ARMAÇÃO DE PILAR OU VIGA DE ESTRUTURA CONVENCIONAL DE CONCRETO ARMADO UTILIZANDO AÇO CA-60 DE 5,0 MM - MONTAGEM. AF_06/2022</v>
      </c>
      <c r="G57" s="164" t="str">
        <f ca="1">IF($D57&lt;&gt;"Serviço","",OFFSET(ORÇAMENTO!S$15,$L57,0))</f>
        <v>KG</v>
      </c>
      <c r="H57" s="122" cm="1">
        <f t="array" aca="1" ref="H57" ca="1">IF($D57&lt;&gt;"Serviço",0,IF(ACOMPANHAMENTO="BM",ROUND(OFFSET(ORÇAMENTO!AJ$15,$L57,0),15-13*ORÇAMENTO!$AF$7),IF(IFERROR(CÁLCULO.FrentesPreenchidas,0)=0,0,SUM(ROUND(OFFSET($P57,0,1,1,CÁLCULO.FrentesPreenchidas),15-13*ORÇAMENTO!$AF$7)))))</f>
        <v>576.54</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f ca="1">IF($D57&lt;&gt;"Serviço","",
          IF(AUTOEVENTO="manual",$A57,
                IF(ISERROR(MATCH($A57,$A$15:OFFSET($A57,-1,0),0)),MAX($M$15:OFFSET(M57,-1,0))+1,
                      INDEX($M$15:OFFSET(M57,-1,0),MATCH($A57,$A$15:OFFSET($A57,-1,0),0)))))</f>
        <v>4</v>
      </c>
      <c r="N57" s="167" t="str">
        <f ca="1">IF($D57&lt;&gt;"Serviço","",
         IF(AUTOEVENTO="Manual",
                IF($A57=0,"&lt;-- defina o número do agrupador",
                       OFFSET(EVENTOS!$D$15,$A57-$A$15,0)),
                OFFSET($F$15,$A57,0)))</f>
        <v>INFRAESTRUTURA</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38.25" x14ac:dyDescent="0.2">
      <c r="A58" s="7" t="str">
        <f t="shared" ca="1" si="8"/>
        <v>9</v>
      </c>
      <c r="B58" s="7" t="str">
        <f ca="1">OFFSET(ORÇAMENTO!C$15,$L58,0)</f>
        <v>S</v>
      </c>
      <c r="C58" s="7" t="str">
        <f ca="1">OFFSET(ORÇAMENTO!L$15,$L58,0)</f>
        <v>F</v>
      </c>
      <c r="D58" s="116" t="str">
        <f ca="1">OFFSET(ORÇAMENTO!N$15,$L58,0)</f>
        <v>Serviço</v>
      </c>
      <c r="E58" s="117" t="str">
        <f ca="1">OFFSET(ORÇAMENTO!O$15,$L58,0)</f>
        <v>1.4.6.0.3.</v>
      </c>
      <c r="F58" s="163" t="str">
        <f ca="1">OFFSET(ORÇAMENTO!R$15,$L58,0)</f>
        <v>ARMAÇÃO DE PILAR OU VIGA DE ESTRUTURA CONVENCIONAL DE CONCRETO ARMADO UTILIZANDO AÇO CA-50 DE 8,0 MM - MONTAGEM. AF_06/2022</v>
      </c>
      <c r="G58" s="164" t="str">
        <f ca="1">IF($D58&lt;&gt;"Serviço","",OFFSET(ORÇAMENTO!S$15,$L58,0))</f>
        <v>KG</v>
      </c>
      <c r="H58" s="122" cm="1">
        <f t="array" aca="1" ref="H58" ca="1">IF($D58&lt;&gt;"Serviço",0,IF(ACOMPANHAMENTO="BM",ROUND(OFFSET(ORÇAMENTO!AJ$15,$L58,0),15-13*ORÇAMENTO!$AF$7),IF(IFERROR(CÁLCULO.FrentesPreenchidas,0)=0,0,SUM(ROUND(OFFSET($P58,0,1,1,CÁLCULO.FrentesPreenchidas),15-13*ORÇAMENTO!$AF$7)))))</f>
        <v>670.5</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4</v>
      </c>
      <c r="N58" s="167" t="str">
        <f ca="1">IF($D58&lt;&gt;"Serviço","",
         IF(AUTOEVENTO="Manual",
                IF($A58=0,"&lt;-- defina o número do agrupador",
                       OFFSET(EVENTOS!$D$15,$A58-$A$15,0)),
                OFFSET($F$15,$A58,0)))</f>
        <v>INFRAESTRUTURA</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38.25" x14ac:dyDescent="0.2">
      <c r="A59" s="7" t="str">
        <f t="shared" ca="1" si="8"/>
        <v>9</v>
      </c>
      <c r="B59" s="7" t="str">
        <f ca="1">OFFSET(ORÇAMENTO!C$15,$L59,0)</f>
        <v>S</v>
      </c>
      <c r="C59" s="7" t="str">
        <f ca="1">OFFSET(ORÇAMENTO!L$15,$L59,0)</f>
        <v>F</v>
      </c>
      <c r="D59" s="116" t="str">
        <f ca="1">OFFSET(ORÇAMENTO!N$15,$L59,0)</f>
        <v>Serviço</v>
      </c>
      <c r="E59" s="117" t="str">
        <f ca="1">OFFSET(ORÇAMENTO!O$15,$L59,0)</f>
        <v>1.4.6.0.4.</v>
      </c>
      <c r="F59" s="163" t="str">
        <f ca="1">OFFSET(ORÇAMENTO!R$15,$L59,0)</f>
        <v>ARMAÇÃO DE PILAR OU VIGA DE ESTRUTURA CONVENCIONAL DE CONCRETO ARMADO UTILIZANDO AÇO CA-50 DE 10,0 MM - MONTAGEM. AF_06/2022</v>
      </c>
      <c r="G59" s="164" t="str">
        <f ca="1">IF($D59&lt;&gt;"Serviço","",OFFSET(ORÇAMENTO!S$15,$L59,0))</f>
        <v>KG</v>
      </c>
      <c r="H59" s="122" cm="1">
        <f t="array" aca="1" ref="H59" ca="1">IF($D59&lt;&gt;"Serviço",0,IF(ACOMPANHAMENTO="BM",ROUND(OFFSET(ORÇAMENTO!AJ$15,$L59,0),15-13*ORÇAMENTO!$AF$7),IF(IFERROR(CÁLCULO.FrentesPreenchidas,0)=0,0,SUM(ROUND(OFFSET($P59,0,1,1,CÁLCULO.FrentesPreenchidas),15-13*ORÇAMENTO!$AF$7)))))</f>
        <v>1234.8</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t="shared" ca="1" si="9"/>
        <v>44</v>
      </c>
      <c r="M59" s="166">
        <f ca="1">IF($D59&lt;&gt;"Serviço","",
          IF(AUTOEVENTO="manual",$A59,
                IF(ISERROR(MATCH($A59,$A$15:OFFSET($A59,-1,0),0)),MAX($M$15:OFFSET(M59,-1,0))+1,
                      INDEX($M$15:OFFSET(M59,-1,0),MATCH($A59,$A$15:OFFSET($A59,-1,0),0)))))</f>
        <v>4</v>
      </c>
      <c r="N59" s="167" t="str">
        <f ca="1">IF($D59&lt;&gt;"Serviço","",
         IF(AUTOEVENTO="Manual",
                IF($A59=0,"&lt;-- defina o número do agrupador",
                       OFFSET(EVENTOS!$D$15,$A59-$A$15,0)),
                OFFSET($F$15,$A59,0)))</f>
        <v>INFRAESTRUTURA</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38.25" x14ac:dyDescent="0.2">
      <c r="A60" s="7" t="str">
        <f t="shared" ca="1" si="8"/>
        <v>9</v>
      </c>
      <c r="B60" s="7" t="str">
        <f ca="1">OFFSET(ORÇAMENTO!C$15,$L60,0)</f>
        <v>S</v>
      </c>
      <c r="C60" s="7" t="str">
        <f ca="1">OFFSET(ORÇAMENTO!L$15,$L60,0)</f>
        <v>F</v>
      </c>
      <c r="D60" s="116" t="str">
        <f ca="1">OFFSET(ORÇAMENTO!N$15,$L60,0)</f>
        <v>Serviço</v>
      </c>
      <c r="E60" s="117" t="str">
        <f ca="1">OFFSET(ORÇAMENTO!O$15,$L60,0)</f>
        <v>1.4.6.0.5.</v>
      </c>
      <c r="F60" s="163" t="str">
        <f ca="1">OFFSET(ORÇAMENTO!R$15,$L60,0)</f>
        <v>CONCRETAGEM DE VIGAS E LAJES, FCK=25 MPA, PARA LAJES MACIÇAS OU NERVURADAS COM USO DE BOMBA - LANÇAMENTO, ADENSAMENTO E ACABAMENTO. AF_02/2022_PS</v>
      </c>
      <c r="G60" s="164" t="str">
        <f ca="1">IF($D60&lt;&gt;"Serviço","",OFFSET(ORÇAMENTO!S$15,$L60,0))</f>
        <v>M3</v>
      </c>
      <c r="H60" s="122" cm="1">
        <f t="array" aca="1" ref="H60" ca="1">IF($D60&lt;&gt;"Serviço",0,IF(ACOMPANHAMENTO="BM",ROUND(OFFSET(ORÇAMENTO!AJ$15,$L60,0),15-13*ORÇAMENTO!$AF$7),IF(IFERROR(CÁLCULO.FrentesPreenchidas,0)=0,0,SUM(ROUND(OFFSET($P60,0,1,1,CÁLCULO.FrentesPreenchidas),15-13*ORÇAMENTO!$AF$7)))))</f>
        <v>46.08</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f ca="1">IF($D60&lt;&gt;"Serviço","",
          IF(AUTOEVENTO="manual",$A60,
                IF(ISERROR(MATCH($A60,$A$15:OFFSET($A60,-1,0),0)),MAX($M$15:OFFSET(M60,-1,0))+1,
                      INDEX($M$15:OFFSET(M60,-1,0),MATCH($A60,$A$15:OFFSET($A60,-1,0),0)))))</f>
        <v>4</v>
      </c>
      <c r="N60" s="167" t="str">
        <f ca="1">IF($D60&lt;&gt;"Serviço","",
         IF(AUTOEVENTO="Manual",
                IF($A60=0,"&lt;-- defina o número do agrupador",
                       OFFSET(EVENTOS!$D$15,$A60-$A$15,0)),
                OFFSET($F$15,$A60,0)))</f>
        <v>INFRAESTRUTURA</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25.5" x14ac:dyDescent="0.2">
      <c r="A61" s="7" t="str">
        <f t="shared" ca="1" si="8"/>
        <v>9</v>
      </c>
      <c r="B61" s="7" t="str">
        <f ca="1">OFFSET(ORÇAMENTO!C$15,$L61,0)</f>
        <v>S</v>
      </c>
      <c r="C61" s="7" t="str">
        <f ca="1">OFFSET(ORÇAMENTO!L$15,$L61,0)</f>
        <v>F</v>
      </c>
      <c r="D61" s="116" t="str">
        <f ca="1">OFFSET(ORÇAMENTO!N$15,$L61,0)</f>
        <v>Serviço</v>
      </c>
      <c r="E61" s="117" t="str">
        <f ca="1">OFFSET(ORÇAMENTO!O$15,$L61,0)</f>
        <v>1.4.6.0.6.</v>
      </c>
      <c r="F61" s="163" t="str">
        <f ca="1">OFFSET(ORÇAMENTO!R$15,$L61,0)</f>
        <v>IMPERMEABILIZAÇÃO DE SUPERFÍCIE COM EMULSÃO ASFÁLTICA, 2 DEMÃOS. AF_09/2023</v>
      </c>
      <c r="G61" s="164" t="str">
        <f ca="1">IF($D61&lt;&gt;"Serviço","",OFFSET(ORÇAMENTO!S$15,$L61,0))</f>
        <v>M2</v>
      </c>
      <c r="H61" s="122" cm="1">
        <f t="array" aca="1" ref="H61" ca="1">IF($D61&lt;&gt;"Serviço",0,IF(ACOMPANHAMENTO="BM",ROUND(OFFSET(ORÇAMENTO!AJ$15,$L61,0),15-13*ORÇAMENTO!$AF$7),IF(IFERROR(CÁLCULO.FrentesPreenchidas,0)=0,0,SUM(ROUND(OFFSET($P61,0,1,1,CÁLCULO.FrentesPreenchidas),15-13*ORÇAMENTO!$AF$7)))))</f>
        <v>43.05</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t="shared" ca="1" si="9"/>
        <v>46</v>
      </c>
      <c r="M61" s="166">
        <f ca="1">IF($D61&lt;&gt;"Serviço","",
          IF(AUTOEVENTO="manual",$A61,
                IF(ISERROR(MATCH($A61,$A$15:OFFSET($A61,-1,0),0)),MAX($M$15:OFFSET(M61,-1,0))+1,
                      INDEX($M$15:OFFSET(M61,-1,0),MATCH($A61,$A$15:OFFSET($A61,-1,0),0)))))</f>
        <v>4</v>
      </c>
      <c r="N61" s="167" t="str">
        <f ca="1">IF($D61&lt;&gt;"Serviço","",
         IF(AUTOEVENTO="Manual",
                IF($A61=0,"&lt;-- defina o número do agrupador",
                       OFFSET(EVENTOS!$D$15,$A61-$A$15,0)),
                OFFSET($F$15,$A61,0)))</f>
        <v>INFRAESTRUTURA</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12.75" x14ac:dyDescent="0.2">
      <c r="A62" s="7" t="str">
        <f t="shared" ca="1" si="8"/>
        <v>9</v>
      </c>
      <c r="B62" s="7">
        <f ca="1">OFFSET(ORÇAMENTO!C$15,$L62,0)</f>
        <v>3</v>
      </c>
      <c r="C62" s="7" t="str">
        <f ca="1">OFFSET(ORÇAMENTO!L$15,$L62,0)</f>
        <v>F</v>
      </c>
      <c r="D62" s="116" t="str">
        <f ca="1">OFFSET(ORÇAMENTO!N$15,$L62,0)</f>
        <v>Nível 3</v>
      </c>
      <c r="E62" s="117" t="str">
        <f ca="1">OFFSET(ORÇAMENTO!O$15,$L62,0)</f>
        <v>1.4.7.</v>
      </c>
      <c r="F62" s="163" t="str">
        <f ca="1">OFFSET(ORÇAMENTO!R$15,$L62,0)</f>
        <v>VIGAS - TÉRREO</v>
      </c>
      <c r="G62" s="164" t="str">
        <f ca="1">IF($D62&lt;&gt;"Serviço","",OFFSET(ORÇAMENTO!S$15,$L62,0))</f>
        <v/>
      </c>
      <c r="H62" s="122" cm="1">
        <f t="array" aca="1" ref="H62" ca="1">IF($D62&lt;&gt;"Serviço",0,IF(ACOMPANHAMENTO="BM",ROUND(OFFSET(ORÇAMENTO!AJ$15,$L62,0),15-13*ORÇAMENTO!$AF$7),IF(IFERROR(CÁLCULO.FrentesPreenchidas,0)=0,0,SUM(ROUND(OFFSET($P62,0,1,1,CÁLCULO.FrentesPreenchidas),15-13*ORÇAMENTO!$AF$7)))))</f>
        <v>0</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t="shared" ca="1" si="9"/>
        <v>47</v>
      </c>
      <c r="M62" s="166" t="str">
        <f ca="1">IF($D62&lt;&gt;"Serviço","",
          IF(AUTOEVENTO="manual",$A62,
                IF(ISERROR(MATCH($A62,$A$15:OFFSET($A62,-1,0),0)),MAX($M$15:OFFSET(M62,-1,0))+1,
                      INDEX($M$15:OFFSET(M62,-1,0),MATCH($A62,$A$15:OFFSET($A62,-1,0),0)))))</f>
        <v/>
      </c>
      <c r="N62" s="167" t="str">
        <f ca="1">IF($D62&lt;&gt;"Serviço","",
         IF(AUTOEVENTO="Manual",
                IF($A62=0,"&lt;-- defina o número do agrupador",
                       OFFSET(EVENTOS!$D$15,$A62-$A$15,0)),
                OFFSET($F$15,$A62,0)))</f>
        <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0</v>
      </c>
      <c r="AN62" s="171">
        <f ca="1">IF(OR($D62&lt;&gt;"Serviço",AND(AUTOEVENTO="Manual",$M62=$A$15)),0,
         IF(OFFSET(CRONOPLE!$F$15,$M62-$A$15,AN$13)=0,10^12,OFFSET(CRONOPLE!$F$15,$M62-$A$15,AN$13)))</f>
        <v>0</v>
      </c>
      <c r="AO62" s="171">
        <f ca="1">IF(OR($D62&lt;&gt;"Serviço",AND(AUTOEVENTO="Manual",$M62=$A$15)),0,
         IF(OFFSET(CRONOPLE!$F$15,$M62-$A$15,AO$13)=0,10^12,OFFSET(CRONOPLE!$F$15,$M62-$A$15,AO$13)))</f>
        <v>0</v>
      </c>
      <c r="AP62" s="171">
        <f ca="1">IF(OR($D62&lt;&gt;"Serviço",AND(AUTOEVENTO="Manual",$M62=$A$15)),0,
         IF(OFFSET(CRONOPLE!$F$15,$M62-$A$15,AP$13)=0,10^12,OFFSET(CRONOPLE!$F$15,$M62-$A$15,AP$13)))</f>
        <v>0</v>
      </c>
      <c r="AQ62" s="171">
        <f ca="1">IF(OR($D62&lt;&gt;"Serviço",AND(AUTOEVENTO="Manual",$M62=$A$15)),0,
         IF(OFFSET(CRONOPLE!$F$15,$M62-$A$15,AQ$13)=0,10^12,OFFSET(CRONOPLE!$F$15,$M62-$A$15,AQ$13)))</f>
        <v>0</v>
      </c>
      <c r="AR62" s="171">
        <f ca="1">IF(OR($D62&lt;&gt;"Serviço",AND(AUTOEVENTO="Manual",$M62=$A$15)),0,
         IF(OFFSET(CRONOPLE!$F$15,$M62-$A$15,AR$13)=0,10^12,OFFSET(CRONOPLE!$F$15,$M62-$A$15,AR$13)))</f>
        <v>0</v>
      </c>
      <c r="AS62" s="171">
        <f ca="1">IF(OR($D62&lt;&gt;"Serviço",AND(AUTOEVENTO="Manual",$M62=$A$15)),0,
         IF(OFFSET(CRONOPLE!$F$15,$M62-$A$15,AS$13)=0,10^12,OFFSET(CRONOPLE!$F$15,$M62-$A$15,AS$13)))</f>
        <v>0</v>
      </c>
      <c r="AT62" s="171">
        <f ca="1">IF(OR($D62&lt;&gt;"Serviço",AND(AUTOEVENTO="Manual",$M62=$A$15)),0,
         IF(OFFSET(CRONOPLE!$F$15,$M62-$A$15,AT$13)=0,10^12,OFFSET(CRONOPLE!$F$15,$M62-$A$15,AT$13)))</f>
        <v>0</v>
      </c>
      <c r="AU62" s="171">
        <f ca="1">IF(OR($D62&lt;&gt;"Serviço",AND(AUTOEVENTO="Manual",$M62=$A$15)),0,
         IF(OFFSET(CRONOPLE!$F$15,$M62-$A$15,AU$13)=0,10^12,OFFSET(CRONOPLE!$F$15,$M62-$A$15,AU$13)))</f>
        <v>0</v>
      </c>
      <c r="AV62" s="171">
        <f ca="1">IF(OR($D62&lt;&gt;"Serviço",AND(AUTOEVENTO="Manual",$M62=$A$15)),0,
         IF(OFFSET(CRONOPLE!$F$15,$M62-$A$15,AV$13)=0,10^12,OFFSET(CRONOPLE!$F$15,$M62-$A$15,AV$13)))</f>
        <v>0</v>
      </c>
      <c r="AX62" s="172" cm="1">
        <f t="array" aca="1" ref="AX62" ca="1">IF(OR($D62&lt;&gt;"Serviço",AND(AUTOEVENTO="Manual",$M62=$A$15),$M62&gt;(ROW(PLE.lastrow)-ROW(PLE.firstrow))),0,
           IF(OFFSET(PLE!$G$15,$M62-$A$15,AX$13)="",10^12,OFFSET(PLE!$G$15,$M62-$A$15,AX$13)))</f>
        <v>0</v>
      </c>
      <c r="AY62" s="172" cm="1">
        <f t="array" aca="1" ref="AY62" ca="1">IF(OR($D62&lt;&gt;"Serviço",AND(AUTOEVENTO="Manual",$M62=$A$15),$M62&gt;(ROW(PLE.lastrow)-ROW(PLE.firstrow))),0,
           IF(OFFSET(PLE!$G$15,$M62-$A$15,AY$13)="",10^12,OFFSET(PLE!$G$15,$M62-$A$15,AY$13)))</f>
        <v>0</v>
      </c>
      <c r="AZ62" s="172" cm="1">
        <f t="array" aca="1" ref="AZ62" ca="1">IF(OR($D62&lt;&gt;"Serviço",AND(AUTOEVENTO="Manual",$M62=$A$15),$M62&gt;(ROW(PLE.lastrow)-ROW(PLE.firstrow))),0,
           IF(OFFSET(PLE!$G$15,$M62-$A$15,AZ$13)="",10^12,OFFSET(PLE!$G$15,$M62-$A$15,AZ$13)))</f>
        <v>0</v>
      </c>
      <c r="BA62" s="172" cm="1">
        <f t="array" aca="1" ref="BA62" ca="1">IF(OR($D62&lt;&gt;"Serviço",AND(AUTOEVENTO="Manual",$M62=$A$15),$M62&gt;(ROW(PLE.lastrow)-ROW(PLE.firstrow))),0,
           IF(OFFSET(PLE!$G$15,$M62-$A$15,BA$13)="",10^12,OFFSET(PLE!$G$15,$M62-$A$15,BA$13)))</f>
        <v>0</v>
      </c>
      <c r="BB62" s="172" cm="1">
        <f t="array" aca="1" ref="BB62" ca="1">IF(OR($D62&lt;&gt;"Serviço",AND(AUTOEVENTO="Manual",$M62=$A$15),$M62&gt;(ROW(PLE.lastrow)-ROW(PLE.firstrow))),0,
           IF(OFFSET(PLE!$G$15,$M62-$A$15,BB$13)="",10^12,OFFSET(PLE!$G$15,$M62-$A$15,BB$13)))</f>
        <v>0</v>
      </c>
      <c r="BC62" s="172" cm="1">
        <f t="array" aca="1" ref="BC62" ca="1">IF(OR($D62&lt;&gt;"Serviço",AND(AUTOEVENTO="Manual",$M62=$A$15),$M62&gt;(ROW(PLE.lastrow)-ROW(PLE.firstrow))),0,
           IF(OFFSET(PLE!$G$15,$M62-$A$15,BC$13)="",10^12,OFFSET(PLE!$G$15,$M62-$A$15,BC$13)))</f>
        <v>0</v>
      </c>
      <c r="BD62" s="172" cm="1">
        <f t="array" aca="1" ref="BD62" ca="1">IF(OR($D62&lt;&gt;"Serviço",AND(AUTOEVENTO="Manual",$M62=$A$15),$M62&gt;(ROW(PLE.lastrow)-ROW(PLE.firstrow))),0,
           IF(OFFSET(PLE!$G$15,$M62-$A$15,BD$13)="",10^12,OFFSET(PLE!$G$15,$M62-$A$15,BD$13)))</f>
        <v>0</v>
      </c>
      <c r="BE62" s="172" cm="1">
        <f t="array" aca="1" ref="BE62" ca="1">IF(OR($D62&lt;&gt;"Serviço",AND(AUTOEVENTO="Manual",$M62=$A$15),$M62&gt;(ROW(PLE.lastrow)-ROW(PLE.firstrow))),0,
           IF(OFFSET(PLE!$G$15,$M62-$A$15,BE$13)="",10^12,OFFSET(PLE!$G$15,$M62-$A$15,BE$13)))</f>
        <v>0</v>
      </c>
      <c r="BF62" s="172" cm="1">
        <f t="array" aca="1" ref="BF62" ca="1">IF(OR($D62&lt;&gt;"Serviço",AND(AUTOEVENTO="Manual",$M62=$A$15),$M62&gt;(ROW(PLE.lastrow)-ROW(PLE.firstrow))),0,
           IF(OFFSET(PLE!$G$15,$M62-$A$15,BF$13)="",10^12,OFFSET(PLE!$G$15,$M62-$A$15,BF$13)))</f>
        <v>0</v>
      </c>
      <c r="BG62" s="172" cm="1">
        <f t="array" aca="1" ref="BG62" ca="1">IF(OR($D62&lt;&gt;"Serviço",AND(AUTOEVENTO="Manual",$M62=$A$15),$M62&gt;(ROW(PLE.lastrow)-ROW(PLE.firstrow))),0,
           IF(OFFSET(PLE!$G$15,$M62-$A$15,BG$13)="",10^12,OFFSET(PLE!$G$15,$M62-$A$15,BG$13)))</f>
        <v>0</v>
      </c>
    </row>
    <row r="63" spans="1:59" ht="38.25" x14ac:dyDescent="0.2">
      <c r="A63" s="7" t="str">
        <f t="shared" ca="1" si="8"/>
        <v>9</v>
      </c>
      <c r="B63" s="7" t="str">
        <f ca="1">OFFSET(ORÇAMENTO!C$15,$L63,0)</f>
        <v>S</v>
      </c>
      <c r="C63" s="7" t="str">
        <f ca="1">OFFSET(ORÇAMENTO!L$15,$L63,0)</f>
        <v>F</v>
      </c>
      <c r="D63" s="116" t="str">
        <f ca="1">OFFSET(ORÇAMENTO!N$15,$L63,0)</f>
        <v>Serviço</v>
      </c>
      <c r="E63" s="117" t="str">
        <f ca="1">OFFSET(ORÇAMENTO!O$15,$L63,0)</f>
        <v>1.4.7.0.1.</v>
      </c>
      <c r="F63" s="163" t="str">
        <f ca="1">OFFSET(ORÇAMENTO!R$15,$L63,0)</f>
        <v>MONTAGEM E DESMONTAGEM DE FÔRMA DE VIGA, ESCORAMENTO COM GARFO DE MADEIRA, PÉ-DIREITO SIMPLES, EM CHAPA DE MADEIRA PLASTIFICADA, 18 UTILIZAÇÕES. AF_09/2020</v>
      </c>
      <c r="G63" s="164" t="str">
        <f ca="1">IF($D63&lt;&gt;"Serviço","",OFFSET(ORÇAMENTO!S$15,$L63,0))</f>
        <v>M2</v>
      </c>
      <c r="H63" s="122" cm="1">
        <f t="array" aca="1" ref="H63" ca="1">IF($D63&lt;&gt;"Serviço",0,IF(ACOMPANHAMENTO="BM",ROUND(OFFSET(ORÇAMENTO!AJ$15,$L63,0),15-13*ORÇAMENTO!$AF$7),IF(IFERROR(CÁLCULO.FrentesPreenchidas,0)=0,0,SUM(ROUND(OFFSET($P63,0,1,1,CÁLCULO.FrentesPreenchidas),15-13*ORÇAMENTO!$AF$7)))))</f>
        <v>28.67</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9"/>
        <v>48</v>
      </c>
      <c r="M63" s="166">
        <f ca="1">IF($D63&lt;&gt;"Serviço","",
          IF(AUTOEVENTO="manual",$A63,
                IF(ISERROR(MATCH($A63,$A$15:OFFSET($A63,-1,0),0)),MAX($M$15:OFFSET(M63,-1,0))+1,
                      INDEX($M$15:OFFSET(M63,-1,0),MATCH($A63,$A$15:OFFSET($A63,-1,0),0)))))</f>
        <v>4</v>
      </c>
      <c r="N63" s="167" t="str">
        <f ca="1">IF($D63&lt;&gt;"Serviço","",
         IF(AUTOEVENTO="Manual",
                IF($A63=0,"&lt;-- defina o número do agrupador",
                       OFFSET(EVENTOS!$D$15,$A63-$A$15,0)),
                OFFSET($F$15,$A63,0)))</f>
        <v>INFRAESTRUTURA</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38.25" x14ac:dyDescent="0.2">
      <c r="A64" s="7" t="str">
        <f t="shared" ca="1" si="8"/>
        <v>9</v>
      </c>
      <c r="B64" s="7" t="str">
        <f ca="1">OFFSET(ORÇAMENTO!C$15,$L64,0)</f>
        <v>S</v>
      </c>
      <c r="C64" s="7" t="str">
        <f ca="1">OFFSET(ORÇAMENTO!L$15,$L64,0)</f>
        <v>F</v>
      </c>
      <c r="D64" s="116" t="str">
        <f ca="1">OFFSET(ORÇAMENTO!N$15,$L64,0)</f>
        <v>Serviço</v>
      </c>
      <c r="E64" s="117" t="str">
        <f ca="1">OFFSET(ORÇAMENTO!O$15,$L64,0)</f>
        <v>1.4.7.0.2.</v>
      </c>
      <c r="F64" s="163" t="str">
        <f ca="1">OFFSET(ORÇAMENTO!R$15,$L64,0)</f>
        <v>ARMAÇÃO DE PILAR OU VIGA DE ESTRUTURA CONVENCIONAL DE CONCRETO ARMADO UTILIZANDO AÇO CA-60 DE 5,0 MM - MONTAGEM. AF_06/2022</v>
      </c>
      <c r="G64" s="164" t="str">
        <f ca="1">IF($D64&lt;&gt;"Serviço","",OFFSET(ORÇAMENTO!S$15,$L64,0))</f>
        <v>KG</v>
      </c>
      <c r="H64" s="122" cm="1">
        <f t="array" aca="1" ref="H64" ca="1">IF($D64&lt;&gt;"Serviço",0,IF(ACOMPANHAMENTO="BM",ROUND(OFFSET(ORÇAMENTO!AJ$15,$L64,0),15-13*ORÇAMENTO!$AF$7),IF(IFERROR(CÁLCULO.FrentesPreenchidas,0)=0,0,SUM(ROUND(OFFSET($P64,0,1,1,CÁLCULO.FrentesPreenchidas),15-13*ORÇAMENTO!$AF$7)))))</f>
        <v>643.55999999999995</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9"/>
        <v>49</v>
      </c>
      <c r="M64" s="166">
        <f ca="1">IF($D64&lt;&gt;"Serviço","",
          IF(AUTOEVENTO="manual",$A64,
                IF(ISERROR(MATCH($A64,$A$15:OFFSET($A64,-1,0),0)),MAX($M$15:OFFSET(M64,-1,0))+1,
                      INDEX($M$15:OFFSET(M64,-1,0),MATCH($A64,$A$15:OFFSET($A64,-1,0),0)))))</f>
        <v>4</v>
      </c>
      <c r="N64" s="167" t="str">
        <f ca="1">IF($D64&lt;&gt;"Serviço","",
         IF(AUTOEVENTO="Manual",
                IF($A64=0,"&lt;-- defina o número do agrupador",
                       OFFSET(EVENTOS!$D$15,$A64-$A$15,0)),
                OFFSET($F$15,$A64,0)))</f>
        <v>INFRAESTRUTURA</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38.25" x14ac:dyDescent="0.2">
      <c r="A65" s="7" t="str">
        <f t="shared" ca="1" si="8"/>
        <v>9</v>
      </c>
      <c r="B65" s="7" t="str">
        <f ca="1">OFFSET(ORÇAMENTO!C$15,$L65,0)</f>
        <v>S</v>
      </c>
      <c r="C65" s="7" t="str">
        <f ca="1">OFFSET(ORÇAMENTO!L$15,$L65,0)</f>
        <v>F</v>
      </c>
      <c r="D65" s="116" t="str">
        <f ca="1">OFFSET(ORÇAMENTO!N$15,$L65,0)</f>
        <v>Serviço</v>
      </c>
      <c r="E65" s="117" t="str">
        <f ca="1">OFFSET(ORÇAMENTO!O$15,$L65,0)</f>
        <v>1.4.7.0.3.</v>
      </c>
      <c r="F65" s="163" t="str">
        <f ca="1">OFFSET(ORÇAMENTO!R$15,$L65,0)</f>
        <v>ARMAÇÃO DE PILAR OU VIGA DE ESTRUTURA CONVENCIONAL DE CONCRETO ARMADO UTILIZANDO AÇO CA-50 DE 8,0 MM - MONTAGEM. AF_06/2022</v>
      </c>
      <c r="G65" s="164" t="str">
        <f ca="1">IF($D65&lt;&gt;"Serviço","",OFFSET(ORÇAMENTO!S$15,$L65,0))</f>
        <v>KG</v>
      </c>
      <c r="H65" s="122" cm="1">
        <f t="array" aca="1" ref="H65" ca="1">IF($D65&lt;&gt;"Serviço",0,IF(ACOMPANHAMENTO="BM",ROUND(OFFSET(ORÇAMENTO!AJ$15,$L65,0),15-13*ORÇAMENTO!$AF$7),IF(IFERROR(CÁLCULO.FrentesPreenchidas,0)=0,0,SUM(ROUND(OFFSET($P65,0,1,1,CÁLCULO.FrentesPreenchidas),15-13*ORÇAMENTO!$AF$7)))))</f>
        <v>522.72</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f ca="1">IF($D65&lt;&gt;"Serviço","",
          IF(AUTOEVENTO="manual",$A65,
                IF(ISERROR(MATCH($A65,$A$15:OFFSET($A65,-1,0),0)),MAX($M$15:OFFSET(M65,-1,0))+1,
                      INDEX($M$15:OFFSET(M65,-1,0),MATCH($A65,$A$15:OFFSET($A65,-1,0),0)))))</f>
        <v>4</v>
      </c>
      <c r="N65" s="167" t="str">
        <f ca="1">IF($D65&lt;&gt;"Serviço","",
         IF(AUTOEVENTO="Manual",
                IF($A65=0,"&lt;-- defina o número do agrupador",
                       OFFSET(EVENTOS!$D$15,$A65-$A$15,0)),
                OFFSET($F$15,$A65,0)))</f>
        <v>INFRAESTRUTURA</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1000000000000</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38.25" x14ac:dyDescent="0.2">
      <c r="A66" s="7" t="str">
        <f t="shared" ca="1" si="8"/>
        <v>9</v>
      </c>
      <c r="B66" s="7" t="str">
        <f ca="1">OFFSET(ORÇAMENTO!C$15,$L66,0)</f>
        <v>S</v>
      </c>
      <c r="C66" s="7" t="str">
        <f ca="1">OFFSET(ORÇAMENTO!L$15,$L66,0)</f>
        <v>F</v>
      </c>
      <c r="D66" s="116" t="str">
        <f ca="1">OFFSET(ORÇAMENTO!N$15,$L66,0)</f>
        <v>Serviço</v>
      </c>
      <c r="E66" s="117" t="str">
        <f ca="1">OFFSET(ORÇAMENTO!O$15,$L66,0)</f>
        <v>1.4.7.0.4.</v>
      </c>
      <c r="F66" s="163" t="str">
        <f ca="1">OFFSET(ORÇAMENTO!R$15,$L66,0)</f>
        <v>ARMAÇÃO DE PILAR OU VIGA DE ESTRUTURA CONVENCIONAL DE CONCRETO ARMADO UTILIZANDO AÇO CA-50 DE 10,0 MM - MONTAGEM. AF_06/2022</v>
      </c>
      <c r="G66" s="164" t="str">
        <f ca="1">IF($D66&lt;&gt;"Serviço","",OFFSET(ORÇAMENTO!S$15,$L66,0))</f>
        <v>KG</v>
      </c>
      <c r="H66" s="122" cm="1">
        <f t="array" aca="1" ref="H66" ca="1">IF($D66&lt;&gt;"Serviço",0,IF(ACOMPANHAMENTO="BM",ROUND(OFFSET(ORÇAMENTO!AJ$15,$L66,0),15-13*ORÇAMENTO!$AF$7),IF(IFERROR(CÁLCULO.FrentesPreenchidas,0)=0,0,SUM(ROUND(OFFSET($P66,0,1,1,CÁLCULO.FrentesPreenchidas),15-13*ORÇAMENTO!$AF$7)))))</f>
        <v>519.24</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f ca="1">IF($D66&lt;&gt;"Serviço","",
          IF(AUTOEVENTO="manual",$A66,
                IF(ISERROR(MATCH($A66,$A$15:OFFSET($A66,-1,0),0)),MAX($M$15:OFFSET(M66,-1,0))+1,
                      INDEX($M$15:OFFSET(M66,-1,0),MATCH($A66,$A$15:OFFSET($A66,-1,0),0)))))</f>
        <v>4</v>
      </c>
      <c r="N66" s="167" t="str">
        <f ca="1">IF($D66&lt;&gt;"Serviço","",
         IF(AUTOEVENTO="Manual",
                IF($A66=0,"&lt;-- defina o número do agrupador",
                       OFFSET(EVENTOS!$D$15,$A66-$A$15,0)),
                OFFSET($F$15,$A66,0)))</f>
        <v>INFRAESTRUTURA</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38.25" x14ac:dyDescent="0.2">
      <c r="A67" s="7" t="str">
        <f t="shared" ca="1" si="8"/>
        <v>9</v>
      </c>
      <c r="B67" s="7" t="str">
        <f ca="1">OFFSET(ORÇAMENTO!C$15,$L67,0)</f>
        <v>S</v>
      </c>
      <c r="C67" s="7" t="str">
        <f ca="1">OFFSET(ORÇAMENTO!L$15,$L67,0)</f>
        <v>F</v>
      </c>
      <c r="D67" s="116" t="str">
        <f ca="1">OFFSET(ORÇAMENTO!N$15,$L67,0)</f>
        <v>Serviço</v>
      </c>
      <c r="E67" s="117" t="str">
        <f ca="1">OFFSET(ORÇAMENTO!O$15,$L67,0)</f>
        <v>1.4.7.0.5.</v>
      </c>
      <c r="F67" s="163" t="str">
        <f ca="1">OFFSET(ORÇAMENTO!R$15,$L67,0)</f>
        <v>ARMAÇÃO DE PILAR OU VIGA DE ESTRUTURA CONVENCIONAL DE CONCRETO ARMADO UTILIZANDO AÇO CA-50 DE 12,5 MM - MONTAGEM. AF_06/2022</v>
      </c>
      <c r="G67" s="164" t="str">
        <f ca="1">IF($D67&lt;&gt;"Serviço","",OFFSET(ORÇAMENTO!S$15,$L67,0))</f>
        <v>KG</v>
      </c>
      <c r="H67" s="122" cm="1">
        <f t="array" aca="1" ref="H67" ca="1">IF($D67&lt;&gt;"Serviço",0,IF(ACOMPANHAMENTO="BM",ROUND(OFFSET(ORÇAMENTO!AJ$15,$L67,0),15-13*ORÇAMENTO!$AF$7),IF(IFERROR(CÁLCULO.FrentesPreenchidas,0)=0,0,SUM(ROUND(OFFSET($P67,0,1,1,CÁLCULO.FrentesPreenchidas),15-13*ORÇAMENTO!$AF$7)))))</f>
        <v>908.04</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9"/>
        <v>52</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INFRAESTRUTURA</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38.25" x14ac:dyDescent="0.2">
      <c r="A68" s="7" t="str">
        <f ca="1">IFERROR(IF(AUTOEVENTO="Manual",IF(K68&lt;&gt;"",MIN(VALUE(LEFT(K68,FIND(".",K68)-1)),COUNTA(EVENTOS.Lista)),0),IF(OR($B68&gt;AUTOEVENTO,$B68="S",$B68=0),SUBSTITUTE(OFFSET($A68,-1,0),IF($D68="Serviço",".",""),""),$L68&amp;".")),0)</f>
        <v>9</v>
      </c>
      <c r="B68" s="7" t="str">
        <f ca="1">OFFSET(ORÇAMENTO!C$15,$L68,0)</f>
        <v>S</v>
      </c>
      <c r="C68" s="7" t="str">
        <f ca="1">OFFSET(ORÇAMENTO!L$15,$L68,0)</f>
        <v>F</v>
      </c>
      <c r="D68" s="116" t="str">
        <f ca="1">OFFSET(ORÇAMENTO!N$15,$L68,0)</f>
        <v>Serviço</v>
      </c>
      <c r="E68" s="117" t="str">
        <f ca="1">OFFSET(ORÇAMENTO!O$15,$L68,0)</f>
        <v>1.4.7.0.6.</v>
      </c>
      <c r="F68" s="163" t="str">
        <f ca="1">OFFSET(ORÇAMENTO!R$15,$L68,0)</f>
        <v>ARMAÇÃO DE PILAR OU VIGA DE ESTRUTURA CONVENCIONAL DE CONCRETO ARMADO UTILIZANDO AÇO CA-50 DE 16,0 MM - MONTAGEM. AF_06/2022</v>
      </c>
      <c r="G68" s="164" t="str">
        <f ca="1">IF($D68&lt;&gt;"Serviço","",OFFSET(ORÇAMENTO!S$15,$L68,0))</f>
        <v>KG</v>
      </c>
      <c r="H68" s="122" cm="1">
        <f t="array" aca="1" ref="H68" ca="1">IF($D68&lt;&gt;"Serviço",0,IF(ACOMPANHAMENTO="BM",ROUND(OFFSET(ORÇAMENTO!AJ$15,$L68,0),15-13*ORÇAMENTO!$AF$7),IF(IFERROR(CÁLCULO.FrentesPreenchidas,0)=0,0,SUM(ROUND(OFFSET($P68,0,1,1,CÁLCULO.FrentesPreenchidas),15-13*ORÇAMENTO!$AF$7)))))</f>
        <v>149.28</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ca="1">OFFSET(L68,-1,0)+1</f>
        <v>53</v>
      </c>
      <c r="M68" s="166">
        <f ca="1">IF($D68&lt;&gt;"Serviço","",
          IF(AUTOEVENTO="manual",$A68,
                IF(ISERROR(MATCH($A68,$A$15:OFFSET($A68,-1,0),0)),MAX($M$15:OFFSET(M68,-1,0))+1,
                      INDEX($M$15:OFFSET(M68,-1,0),MATCH($A68,$A$15:OFFSET($A68,-1,0),0)))))</f>
        <v>4</v>
      </c>
      <c r="N68" s="167" t="str">
        <f ca="1">IF($D68&lt;&gt;"Serviço","",
         IF(AUTOEVENTO="Manual",
                IF($A68=0,"&lt;-- defina o número do agrupador",
                       OFFSET(EVENTOS!$D$15,$A68-$A$15,0)),
                OFFSET($F$15,$A68,0)))</f>
        <v>INFRAESTRUTURA</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1000000000000</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ht="38.25" x14ac:dyDescent="0.2">
      <c r="A69" s="7" t="str">
        <f t="shared" ca="1" si="8"/>
        <v>9</v>
      </c>
      <c r="B69" s="7" t="str">
        <f ca="1">OFFSET(ORÇAMENTO!C$15,$L69,0)</f>
        <v>S</v>
      </c>
      <c r="C69" s="7" t="str">
        <f ca="1">OFFSET(ORÇAMENTO!L$15,$L69,0)</f>
        <v>F</v>
      </c>
      <c r="D69" s="116" t="str">
        <f ca="1">OFFSET(ORÇAMENTO!N$15,$L69,0)</f>
        <v>Serviço</v>
      </c>
      <c r="E69" s="117" t="str">
        <f ca="1">OFFSET(ORÇAMENTO!O$15,$L69,0)</f>
        <v>1.4.7.0.7.</v>
      </c>
      <c r="F69" s="163" t="str">
        <f ca="1">OFFSET(ORÇAMENTO!R$15,$L69,0)</f>
        <v>CONCRETAGEM DE VIGAS E LAJES, FCK=25 MPA, PARA LAJES MACIÇAS OU NERVURADAS COM USO DE BOMBA - LANÇAMENTO, ADENSAMENTO E ACABAMENTO. AF_02/2022_PS</v>
      </c>
      <c r="G69" s="164" t="str">
        <f ca="1">IF($D69&lt;&gt;"Serviço","",OFFSET(ORÇAMENTO!S$15,$L69,0))</f>
        <v>M3</v>
      </c>
      <c r="H69" s="122" cm="1">
        <f t="array" aca="1" ref="H69" ca="1">IF($D69&lt;&gt;"Serviço",0,IF(ACOMPANHAMENTO="BM",ROUND(OFFSET(ORÇAMENTO!AJ$15,$L69,0),15-13*ORÇAMENTO!$AF$7),IF(IFERROR(CÁLCULO.FrentesPreenchidas,0)=0,0,SUM(ROUND(OFFSET($P69,0,1,1,CÁLCULO.FrentesPreenchidas),15-13*ORÇAMENTO!$AF$7)))))</f>
        <v>30.72</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t="shared" ca="1" si="9"/>
        <v>54</v>
      </c>
      <c r="M69" s="166">
        <f ca="1">IF($D69&lt;&gt;"Serviço","",
          IF(AUTOEVENTO="manual",$A69,
                IF(ISERROR(MATCH($A69,$A$15:OFFSET($A69,-1,0),0)),MAX($M$15:OFFSET(M69,-1,0))+1,
                      INDEX($M$15:OFFSET(M69,-1,0),MATCH($A69,$A$15:OFFSET($A69,-1,0),0)))))</f>
        <v>4</v>
      </c>
      <c r="N69" s="167" t="str">
        <f ca="1">IF($D69&lt;&gt;"Serviço","",
         IF(AUTOEVENTO="Manual",
                IF($A69=0,"&lt;-- defina o número do agrupador",
                       OFFSET(EVENTOS!$D$15,$A69-$A$15,0)),
                OFFSET($F$15,$A69,0)))</f>
        <v>INFRAESTRUTURA</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25.5" x14ac:dyDescent="0.2">
      <c r="A70" s="7" t="str">
        <f ca="1">IFERROR(IF(AUTOEVENTO="Manual",IF(K70&lt;&gt;"",MIN(VALUE(LEFT(K70,FIND(".",K70)-1)),COUNTA(EVENTOS.Lista)),0),IF(OR($B70&gt;AUTOEVENTO,$B70="S",$B70=0),SUBSTITUTE(OFFSET($A70,-1,0),IF($D70="Serviço",".",""),""),$L70&amp;".")),0)</f>
        <v>9</v>
      </c>
      <c r="B70" s="7" t="str">
        <f ca="1">OFFSET(ORÇAMENTO!C$15,$L70,0)</f>
        <v>S</v>
      </c>
      <c r="C70" s="7" t="str">
        <f ca="1">OFFSET(ORÇAMENTO!L$15,$L70,0)</f>
        <v>F</v>
      </c>
      <c r="D70" s="116" t="str">
        <f ca="1">OFFSET(ORÇAMENTO!N$15,$L70,0)</f>
        <v>Serviço</v>
      </c>
      <c r="E70" s="117" t="str">
        <f ca="1">OFFSET(ORÇAMENTO!O$15,$L70,0)</f>
        <v>1.4.7.0.8.</v>
      </c>
      <c r="F70" s="163" t="str">
        <f ca="1">OFFSET(ORÇAMENTO!R$15,$L70,0)</f>
        <v>IMPERMEABILIZAÇÃO DE SUPERFÍCIE COM EMULSÃO ASFÁLTICA, 2 DEMÃOS. AF_09/2023</v>
      </c>
      <c r="G70" s="164" t="str">
        <f ca="1">IF($D70&lt;&gt;"Serviço","",OFFSET(ORÇAMENTO!S$15,$L70,0))</f>
        <v>M2</v>
      </c>
      <c r="H70" s="122" cm="1">
        <f t="array" aca="1" ref="H70" ca="1">IF($D70&lt;&gt;"Serviço",0,IF(ACOMPANHAMENTO="BM",ROUND(OFFSET(ORÇAMENTO!AJ$15,$L70,0),15-13*ORÇAMENTO!$AF$7),IF(IFERROR(CÁLCULO.FrentesPreenchidas,0)=0,0,SUM(ROUND(OFFSET($P70,0,1,1,CÁLCULO.FrentesPreenchidas),15-13*ORÇAMENTO!$AF$7)))))</f>
        <v>69.930000000000007</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ca="1">OFFSET(L70,-1,0)+1</f>
        <v>55</v>
      </c>
      <c r="M70" s="166">
        <f ca="1">IF($D70&lt;&gt;"Serviço","",
          IF(AUTOEVENTO="manual",$A70,
                IF(ISERROR(MATCH($A70,$A$15:OFFSET($A70,-1,0),0)),MAX($M$15:OFFSET(M70,-1,0))+1,
                      INDEX($M$15:OFFSET(M70,-1,0),MATCH($A70,$A$15:OFFSET($A70,-1,0),0)))))</f>
        <v>4</v>
      </c>
      <c r="N70" s="167" t="str">
        <f ca="1">IF($D70&lt;&gt;"Serviço","",
         IF(AUTOEVENTO="Manual",
                IF($A70=0,"&lt;-- defina o número do agrupador",
                       OFFSET(EVENTOS!$D$15,$A70-$A$15,0)),
                OFFSET($F$15,$A70,0)))</f>
        <v>INFRAESTRUTURA</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ht="12.75" x14ac:dyDescent="0.2">
      <c r="A71" s="7" t="str">
        <f t="shared" ca="1" si="8"/>
        <v>9</v>
      </c>
      <c r="B71" s="7">
        <f ca="1">OFFSET(ORÇAMENTO!C$15,$L71,0)</f>
        <v>3</v>
      </c>
      <c r="C71" s="7" t="str">
        <f ca="1">OFFSET(ORÇAMENTO!L$15,$L71,0)</f>
        <v>F</v>
      </c>
      <c r="D71" s="116" t="str">
        <f ca="1">OFFSET(ORÇAMENTO!N$15,$L71,0)</f>
        <v>Nível 3</v>
      </c>
      <c r="E71" s="117" t="str">
        <f ca="1">OFFSET(ORÇAMENTO!O$15,$L71,0)</f>
        <v>1.4.8.</v>
      </c>
      <c r="F71" s="163" t="str">
        <f ca="1">OFFSET(ORÇAMENTO!R$15,$L71,0)</f>
        <v>LAJES - TÉRREO</v>
      </c>
      <c r="G71" s="164" t="str">
        <f ca="1">IF($D71&lt;&gt;"Serviço","",OFFSET(ORÇAMENTO!S$15,$L71,0))</f>
        <v/>
      </c>
      <c r="H71" s="122" cm="1">
        <f t="array" aca="1" ref="H71" ca="1">IF($D71&lt;&gt;"Serviço",0,IF(ACOMPANHAMENTO="BM",ROUND(OFFSET(ORÇAMENTO!AJ$15,$L71,0),15-13*ORÇAMENTO!$AF$7),IF(IFERROR(CÁLCULO.FrentesPreenchidas,0)=0,0,SUM(ROUND(OFFSET($P71,0,1,1,CÁLCULO.FrentesPreenchidas),15-13*ORÇAMENTO!$AF$7)))))</f>
        <v>0</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9"/>
        <v>56</v>
      </c>
      <c r="M71" s="166" t="str">
        <f ca="1">IF($D71&lt;&gt;"Serviço","",
          IF(AUTOEVENTO="manual",$A71,
                IF(ISERROR(MATCH($A71,$A$15:OFFSET($A71,-1,0),0)),MAX($M$15:OFFSET(M71,-1,0))+1,
                      INDEX($M$15:OFFSET(M71,-1,0),MATCH($A71,$A$15:OFFSET($A71,-1,0),0)))))</f>
        <v/>
      </c>
      <c r="N71" s="167" t="str">
        <f ca="1">IF($D71&lt;&gt;"Serviço","",
         IF(AUTOEVENTO="Manual",
                IF($A71=0,"&lt;-- defina o número do agrupador",
                       OFFSET(EVENTOS!$D$15,$A71-$A$15,0)),
                OFFSET($F$15,$A71,0)))</f>
        <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0</v>
      </c>
      <c r="AN71" s="171">
        <f ca="1">IF(OR($D71&lt;&gt;"Serviço",AND(AUTOEVENTO="Manual",$M71=$A$15)),0,
         IF(OFFSET(CRONOPLE!$F$15,$M71-$A$15,AN$13)=0,10^12,OFFSET(CRONOPLE!$F$15,$M71-$A$15,AN$13)))</f>
        <v>0</v>
      </c>
      <c r="AO71" s="171">
        <f ca="1">IF(OR($D71&lt;&gt;"Serviço",AND(AUTOEVENTO="Manual",$M71=$A$15)),0,
         IF(OFFSET(CRONOPLE!$F$15,$M71-$A$15,AO$13)=0,10^12,OFFSET(CRONOPLE!$F$15,$M71-$A$15,AO$13)))</f>
        <v>0</v>
      </c>
      <c r="AP71" s="171">
        <f ca="1">IF(OR($D71&lt;&gt;"Serviço",AND(AUTOEVENTO="Manual",$M71=$A$15)),0,
         IF(OFFSET(CRONOPLE!$F$15,$M71-$A$15,AP$13)=0,10^12,OFFSET(CRONOPLE!$F$15,$M71-$A$15,AP$13)))</f>
        <v>0</v>
      </c>
      <c r="AQ71" s="171">
        <f ca="1">IF(OR($D71&lt;&gt;"Serviço",AND(AUTOEVENTO="Manual",$M71=$A$15)),0,
         IF(OFFSET(CRONOPLE!$F$15,$M71-$A$15,AQ$13)=0,10^12,OFFSET(CRONOPLE!$F$15,$M71-$A$15,AQ$13)))</f>
        <v>0</v>
      </c>
      <c r="AR71" s="171">
        <f ca="1">IF(OR($D71&lt;&gt;"Serviço",AND(AUTOEVENTO="Manual",$M71=$A$15)),0,
         IF(OFFSET(CRONOPLE!$F$15,$M71-$A$15,AR$13)=0,10^12,OFFSET(CRONOPLE!$F$15,$M71-$A$15,AR$13)))</f>
        <v>0</v>
      </c>
      <c r="AS71" s="171">
        <f ca="1">IF(OR($D71&lt;&gt;"Serviço",AND(AUTOEVENTO="Manual",$M71=$A$15)),0,
         IF(OFFSET(CRONOPLE!$F$15,$M71-$A$15,AS$13)=0,10^12,OFFSET(CRONOPLE!$F$15,$M71-$A$15,AS$13)))</f>
        <v>0</v>
      </c>
      <c r="AT71" s="171">
        <f ca="1">IF(OR($D71&lt;&gt;"Serviço",AND(AUTOEVENTO="Manual",$M71=$A$15)),0,
         IF(OFFSET(CRONOPLE!$F$15,$M71-$A$15,AT$13)=0,10^12,OFFSET(CRONOPLE!$F$15,$M71-$A$15,AT$13)))</f>
        <v>0</v>
      </c>
      <c r="AU71" s="171">
        <f ca="1">IF(OR($D71&lt;&gt;"Serviço",AND(AUTOEVENTO="Manual",$M71=$A$15)),0,
         IF(OFFSET(CRONOPLE!$F$15,$M71-$A$15,AU$13)=0,10^12,OFFSET(CRONOPLE!$F$15,$M71-$A$15,AU$13)))</f>
        <v>0</v>
      </c>
      <c r="AV71" s="171">
        <f ca="1">IF(OR($D71&lt;&gt;"Serviço",AND(AUTOEVENTO="Manual",$M71=$A$15)),0,
         IF(OFFSET(CRONOPLE!$F$15,$M71-$A$15,AV$13)=0,10^12,OFFSET(CRONOPLE!$F$15,$M71-$A$15,AV$13)))</f>
        <v>0</v>
      </c>
      <c r="AX71" s="172" cm="1">
        <f t="array" aca="1" ref="AX71" ca="1">IF(OR($D71&lt;&gt;"Serviço",AND(AUTOEVENTO="Manual",$M71=$A$15),$M71&gt;(ROW(PLE.lastrow)-ROW(PLE.firstrow))),0,
           IF(OFFSET(PLE!$G$15,$M71-$A$15,AX$13)="",10^12,OFFSET(PLE!$G$15,$M71-$A$15,AX$13)))</f>
        <v>0</v>
      </c>
      <c r="AY71" s="172" cm="1">
        <f t="array" aca="1" ref="AY71" ca="1">IF(OR($D71&lt;&gt;"Serviço",AND(AUTOEVENTO="Manual",$M71=$A$15),$M71&gt;(ROW(PLE.lastrow)-ROW(PLE.firstrow))),0,
           IF(OFFSET(PLE!$G$15,$M71-$A$15,AY$13)="",10^12,OFFSET(PLE!$G$15,$M71-$A$15,AY$13)))</f>
        <v>0</v>
      </c>
      <c r="AZ71" s="172" cm="1">
        <f t="array" aca="1" ref="AZ71" ca="1">IF(OR($D71&lt;&gt;"Serviço",AND(AUTOEVENTO="Manual",$M71=$A$15),$M71&gt;(ROW(PLE.lastrow)-ROW(PLE.firstrow))),0,
           IF(OFFSET(PLE!$G$15,$M71-$A$15,AZ$13)="",10^12,OFFSET(PLE!$G$15,$M71-$A$15,AZ$13)))</f>
        <v>0</v>
      </c>
      <c r="BA71" s="172" cm="1">
        <f t="array" aca="1" ref="BA71" ca="1">IF(OR($D71&lt;&gt;"Serviço",AND(AUTOEVENTO="Manual",$M71=$A$15),$M71&gt;(ROW(PLE.lastrow)-ROW(PLE.firstrow))),0,
           IF(OFFSET(PLE!$G$15,$M71-$A$15,BA$13)="",10^12,OFFSET(PLE!$G$15,$M71-$A$15,BA$13)))</f>
        <v>0</v>
      </c>
      <c r="BB71" s="172" cm="1">
        <f t="array" aca="1" ref="BB71" ca="1">IF(OR($D71&lt;&gt;"Serviço",AND(AUTOEVENTO="Manual",$M71=$A$15),$M71&gt;(ROW(PLE.lastrow)-ROW(PLE.firstrow))),0,
           IF(OFFSET(PLE!$G$15,$M71-$A$15,BB$13)="",10^12,OFFSET(PLE!$G$15,$M71-$A$15,BB$13)))</f>
        <v>0</v>
      </c>
      <c r="BC71" s="172" cm="1">
        <f t="array" aca="1" ref="BC71" ca="1">IF(OR($D71&lt;&gt;"Serviço",AND(AUTOEVENTO="Manual",$M71=$A$15),$M71&gt;(ROW(PLE.lastrow)-ROW(PLE.firstrow))),0,
           IF(OFFSET(PLE!$G$15,$M71-$A$15,BC$13)="",10^12,OFFSET(PLE!$G$15,$M71-$A$15,BC$13)))</f>
        <v>0</v>
      </c>
      <c r="BD71" s="172" cm="1">
        <f t="array" aca="1" ref="BD71" ca="1">IF(OR($D71&lt;&gt;"Serviço",AND(AUTOEVENTO="Manual",$M71=$A$15),$M71&gt;(ROW(PLE.lastrow)-ROW(PLE.firstrow))),0,
           IF(OFFSET(PLE!$G$15,$M71-$A$15,BD$13)="",10^12,OFFSET(PLE!$G$15,$M71-$A$15,BD$13)))</f>
        <v>0</v>
      </c>
      <c r="BE71" s="172" cm="1">
        <f t="array" aca="1" ref="BE71" ca="1">IF(OR($D71&lt;&gt;"Serviço",AND(AUTOEVENTO="Manual",$M71=$A$15),$M71&gt;(ROW(PLE.lastrow)-ROW(PLE.firstrow))),0,
           IF(OFFSET(PLE!$G$15,$M71-$A$15,BE$13)="",10^12,OFFSET(PLE!$G$15,$M71-$A$15,BE$13)))</f>
        <v>0</v>
      </c>
      <c r="BF71" s="172" cm="1">
        <f t="array" aca="1" ref="BF71" ca="1">IF(OR($D71&lt;&gt;"Serviço",AND(AUTOEVENTO="Manual",$M71=$A$15),$M71&gt;(ROW(PLE.lastrow)-ROW(PLE.firstrow))),0,
           IF(OFFSET(PLE!$G$15,$M71-$A$15,BF$13)="",10^12,OFFSET(PLE!$G$15,$M71-$A$15,BF$13)))</f>
        <v>0</v>
      </c>
      <c r="BG71" s="172" cm="1">
        <f t="array" aca="1" ref="BG71" ca="1">IF(OR($D71&lt;&gt;"Serviço",AND(AUTOEVENTO="Manual",$M71=$A$15),$M71&gt;(ROW(PLE.lastrow)-ROW(PLE.firstrow))),0,
           IF(OFFSET(PLE!$G$15,$M71-$A$15,BG$13)="",10^12,OFFSET(PLE!$G$15,$M71-$A$15,BG$13)))</f>
        <v>0</v>
      </c>
    </row>
    <row r="72" spans="1:59" ht="38.25" x14ac:dyDescent="0.2">
      <c r="A72" s="7" t="str">
        <f t="shared" ca="1" si="8"/>
        <v>9</v>
      </c>
      <c r="B72" s="7" t="str">
        <f ca="1">OFFSET(ORÇAMENTO!C$15,$L72,0)</f>
        <v>S</v>
      </c>
      <c r="C72" s="7" t="str">
        <f ca="1">OFFSET(ORÇAMENTO!L$15,$L72,0)</f>
        <v>F</v>
      </c>
      <c r="D72" s="116" t="str">
        <f ca="1">OFFSET(ORÇAMENTO!N$15,$L72,0)</f>
        <v>Serviço</v>
      </c>
      <c r="E72" s="117" t="str">
        <f ca="1">OFFSET(ORÇAMENTO!O$15,$L72,0)</f>
        <v>1.4.8.0.1.</v>
      </c>
      <c r="F72" s="163" t="str">
        <f ca="1">OFFSET(ORÇAMENTO!R$15,$L72,0)</f>
        <v>LAJE PRÉ-MOLDADA UNIDIRECIONAL, BIAPOIADA, PARA PISO, ENCHIMENTO EM CERÂMICA, VIGOTA TRELIÇADA, ALTURA TOTAL DA LAJE "LT" = 16 CM (ENCHIMENTO+CAPA) = (12+4)</v>
      </c>
      <c r="G72" s="164" t="str">
        <f ca="1">IF($D72&lt;&gt;"Serviço","",OFFSET(ORÇAMENTO!S$15,$L72,0))</f>
        <v>M2</v>
      </c>
      <c r="H72" s="122" cm="1">
        <f t="array" aca="1" ref="H72" ca="1">IF($D72&lt;&gt;"Serviço",0,IF(ACOMPANHAMENTO="BM",ROUND(OFFSET(ORÇAMENTO!AJ$15,$L72,0),15-13*ORÇAMENTO!$AF$7),IF(IFERROR(CÁLCULO.FrentesPreenchidas,0)=0,0,SUM(ROUND(OFFSET($P72,0,1,1,CÁLCULO.FrentesPreenchidas),15-13*ORÇAMENTO!$AF$7)))))</f>
        <v>453.84</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9"/>
        <v>57</v>
      </c>
      <c r="M72" s="166">
        <f ca="1">IF($D72&lt;&gt;"Serviço","",
          IF(AUTOEVENTO="manual",$A72,
                IF(ISERROR(MATCH($A72,$A$15:OFFSET($A72,-1,0),0)),MAX($M$15:OFFSET(M72,-1,0))+1,
                      INDEX($M$15:OFFSET(M72,-1,0),MATCH($A72,$A$15:OFFSET($A72,-1,0),0)))))</f>
        <v>4</v>
      </c>
      <c r="N72" s="167" t="str">
        <f ca="1">IF($D72&lt;&gt;"Serviço","",
         IF(AUTOEVENTO="Manual",
                IF($A72=0,"&lt;-- defina o número do agrupador",
                       OFFSET(EVENTOS!$D$15,$A72-$A$15,0)),
                OFFSET($F$15,$A72,0)))</f>
        <v>INFRAESTRUTURA</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12.75" x14ac:dyDescent="0.2">
      <c r="A73" s="7" t="str">
        <f t="shared" ca="1" si="8"/>
        <v>9</v>
      </c>
      <c r="B73" s="7" t="str">
        <f ca="1">OFFSET(ORÇAMENTO!C$15,$L73,0)</f>
        <v>S</v>
      </c>
      <c r="C73" s="7" t="str">
        <f ca="1">OFFSET(ORÇAMENTO!L$15,$L73,0)</f>
        <v>F</v>
      </c>
      <c r="D73" s="116" t="str">
        <f ca="1">OFFSET(ORÇAMENTO!N$15,$L73,0)</f>
        <v>Serviço</v>
      </c>
      <c r="E73" s="117" t="str">
        <f ca="1">OFFSET(ORÇAMENTO!O$15,$L73,0)</f>
        <v>1.4.8.0.2.</v>
      </c>
      <c r="F73" s="163" t="str">
        <f ca="1">OFFSET(ORÇAMENTO!R$15,$L73,0)</f>
        <v>ACO CA-50, 6,3 MM, DOBRADO E CORTADO</v>
      </c>
      <c r="G73" s="164" t="str">
        <f ca="1">IF($D73&lt;&gt;"Serviço","",OFFSET(ORÇAMENTO!S$15,$L73,0))</f>
        <v>KG</v>
      </c>
      <c r="H73" s="122" cm="1">
        <f t="array" aca="1" ref="H73" ca="1">IF($D73&lt;&gt;"Serviço",0,IF(ACOMPANHAMENTO="BM",ROUND(OFFSET(ORÇAMENTO!AJ$15,$L73,0),15-13*ORÇAMENTO!$AF$7),IF(IFERROR(CÁLCULO.FrentesPreenchidas,0)=0,0,SUM(ROUND(OFFSET($P73,0,1,1,CÁLCULO.FrentesPreenchidas),15-13*ORÇAMENTO!$AF$7)))))</f>
        <v>172.8</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c r="L73" s="165">
        <f t="shared" ca="1" si="9"/>
        <v>58</v>
      </c>
      <c r="M73" s="166">
        <f ca="1">IF($D73&lt;&gt;"Serviço","",
          IF(AUTOEVENTO="manual",$A73,
                IF(ISERROR(MATCH($A73,$A$15:OFFSET($A73,-1,0),0)),MAX($M$15:OFFSET(M73,-1,0))+1,
                      INDEX($M$15:OFFSET(M73,-1,0),MATCH($A73,$A$15:OFFSET($A73,-1,0),0)))))</f>
        <v>4</v>
      </c>
      <c r="N73" s="167" t="str">
        <f ca="1">IF($D73&lt;&gt;"Serviço","",
         IF(AUTOEVENTO="Manual",
                IF($A73=0,"&lt;-- defina o número do agrupador",
                       OFFSET(EVENTOS!$D$15,$A73-$A$15,0)),
                OFFSET($F$15,$A73,0)))</f>
        <v>INFRAESTRUTURA</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12.75" x14ac:dyDescent="0.2">
      <c r="A74" s="7" t="str">
        <f t="shared" ca="1" si="8"/>
        <v>9</v>
      </c>
      <c r="B74" s="7" t="str">
        <f ca="1">OFFSET(ORÇAMENTO!C$15,$L74,0)</f>
        <v>S</v>
      </c>
      <c r="C74" s="7" t="str">
        <f ca="1">OFFSET(ORÇAMENTO!L$15,$L74,0)</f>
        <v>F</v>
      </c>
      <c r="D74" s="116" t="str">
        <f ca="1">OFFSET(ORÇAMENTO!N$15,$L74,0)</f>
        <v>Serviço</v>
      </c>
      <c r="E74" s="117" t="str">
        <f ca="1">OFFSET(ORÇAMENTO!O$15,$L74,0)</f>
        <v>1.4.8.0.3.</v>
      </c>
      <c r="F74" s="163" t="str">
        <f ca="1">OFFSET(ORÇAMENTO!R$15,$L74,0)</f>
        <v>ACO CA-50, 8,0 MM, VERGALHAO</v>
      </c>
      <c r="G74" s="164" t="str">
        <f ca="1">IF($D74&lt;&gt;"Serviço","",OFFSET(ORÇAMENTO!S$15,$L74,0))</f>
        <v>KG</v>
      </c>
      <c r="H74" s="122" cm="1">
        <f t="array" aca="1" ref="H74" ca="1">IF($D74&lt;&gt;"Serviço",0,IF(ACOMPANHAMENTO="BM",ROUND(OFFSET(ORÇAMENTO!AJ$15,$L74,0),15-13*ORÇAMENTO!$AF$7),IF(IFERROR(CÁLCULO.FrentesPreenchidas,0)=0,0,SUM(ROUND(OFFSET($P74,0,1,1,CÁLCULO.FrentesPreenchidas),15-13*ORÇAMENTO!$AF$7)))))</f>
        <v>150.47999999999999</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c r="L74" s="165">
        <f t="shared" ca="1" si="9"/>
        <v>59</v>
      </c>
      <c r="M74" s="166">
        <f ca="1">IF($D74&lt;&gt;"Serviço","",
          IF(AUTOEVENTO="manual",$A74,
                IF(ISERROR(MATCH($A74,$A$15:OFFSET($A74,-1,0),0)),MAX($M$15:OFFSET(M74,-1,0))+1,
                      INDEX($M$15:OFFSET(M74,-1,0),MATCH($A74,$A$15:OFFSET($A74,-1,0),0)))))</f>
        <v>4</v>
      </c>
      <c r="N74" s="167" t="str">
        <f ca="1">IF($D74&lt;&gt;"Serviço","",
         IF(AUTOEVENTO="Manual",
                IF($A74=0,"&lt;-- defina o número do agrupador",
                       OFFSET(EVENTOS!$D$15,$A74-$A$15,0)),
                OFFSET($F$15,$A74,0)))</f>
        <v>INFRAESTRUTURA</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1000000000000</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12.75" x14ac:dyDescent="0.2">
      <c r="A75" s="7" t="str">
        <f t="shared" ca="1" si="8"/>
        <v>9</v>
      </c>
      <c r="B75" s="7" t="str">
        <f ca="1">OFFSET(ORÇAMENTO!C$15,$L75,0)</f>
        <v>S</v>
      </c>
      <c r="C75" s="7" t="str">
        <f ca="1">OFFSET(ORÇAMENTO!L$15,$L75,0)</f>
        <v>F</v>
      </c>
      <c r="D75" s="116" t="str">
        <f ca="1">OFFSET(ORÇAMENTO!N$15,$L75,0)</f>
        <v>Serviço</v>
      </c>
      <c r="E75" s="117" t="str">
        <f ca="1">OFFSET(ORÇAMENTO!O$15,$L75,0)</f>
        <v>1.4.8.0.4.</v>
      </c>
      <c r="F75" s="163" t="str">
        <f ca="1">OFFSET(ORÇAMENTO!R$15,$L75,0)</f>
        <v>ACO CA-50, 10,0 MM, VERGALHAO</v>
      </c>
      <c r="G75" s="164" t="str">
        <f ca="1">IF($D75&lt;&gt;"Serviço","",OFFSET(ORÇAMENTO!S$15,$L75,0))</f>
        <v>KG</v>
      </c>
      <c r="H75" s="122" cm="1">
        <f t="array" aca="1" ref="H75" ca="1">IF($D75&lt;&gt;"Serviço",0,IF(ACOMPANHAMENTO="BM",ROUND(OFFSET(ORÇAMENTO!AJ$15,$L75,0),15-13*ORÇAMENTO!$AF$7),IF(IFERROR(CÁLCULO.FrentesPreenchidas,0)=0,0,SUM(ROUND(OFFSET($P75,0,1,1,CÁLCULO.FrentesPreenchidas),15-13*ORÇAMENTO!$AF$7)))))</f>
        <v>130.19999999999999</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c r="L75" s="165">
        <f t="shared" ca="1" si="9"/>
        <v>60</v>
      </c>
      <c r="M75" s="166">
        <f ca="1">IF($D75&lt;&gt;"Serviço","",
          IF(AUTOEVENTO="manual",$A75,
                IF(ISERROR(MATCH($A75,$A$15:OFFSET($A75,-1,0),0)),MAX($M$15:OFFSET(M75,-1,0))+1,
                      INDEX($M$15:OFFSET(M75,-1,0),MATCH($A75,$A$15:OFFSET($A75,-1,0),0)))))</f>
        <v>4</v>
      </c>
      <c r="N75" s="167" t="str">
        <f ca="1">IF($D75&lt;&gt;"Serviço","",
         IF(AUTOEVENTO="Manual",
                IF($A75=0,"&lt;-- defina o número do agrupador",
                       OFFSET(EVENTOS!$D$15,$A75-$A$15,0)),
                OFFSET($F$15,$A75,0)))</f>
        <v>INFRAESTRUTURA</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1000000000000</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25.5" x14ac:dyDescent="0.2">
      <c r="A76" s="7" t="str">
        <f t="shared" ca="1" si="8"/>
        <v>9</v>
      </c>
      <c r="B76" s="7" t="str">
        <f ca="1">OFFSET(ORÇAMENTO!C$15,$L76,0)</f>
        <v>S</v>
      </c>
      <c r="C76" s="7" t="str">
        <f ca="1">OFFSET(ORÇAMENTO!L$15,$L76,0)</f>
        <v>F</v>
      </c>
      <c r="D76" s="116" t="str">
        <f ca="1">OFFSET(ORÇAMENTO!N$15,$L76,0)</f>
        <v>Serviço</v>
      </c>
      <c r="E76" s="117" t="str">
        <f ca="1">OFFSET(ORÇAMENTO!O$15,$L76,0)</f>
        <v>1.4.8.0.5.</v>
      </c>
      <c r="F76" s="163" t="str">
        <f ca="1">OFFSET(ORÇAMENTO!R$15,$L76,0)</f>
        <v>IMPERMEABILIZAÇÃO DE SUPERFÍCIE COM EMULSÃO ASFÁLTICA, 2 DEMÃOS. AF_09/2023</v>
      </c>
      <c r="G76" s="164" t="str">
        <f ca="1">IF($D76&lt;&gt;"Serviço","",OFFSET(ORÇAMENTO!S$15,$L76,0))</f>
        <v>M2</v>
      </c>
      <c r="H76" s="122" cm="1">
        <f t="array" aca="1" ref="H76" ca="1">IF($D76&lt;&gt;"Serviço",0,IF(ACOMPANHAMENTO="BM",ROUND(OFFSET(ORÇAMENTO!AJ$15,$L76,0),15-13*ORÇAMENTO!$AF$7),IF(IFERROR(CÁLCULO.FrentesPreenchidas,0)=0,0,SUM(ROUND(OFFSET($P76,0,1,1,CÁLCULO.FrentesPreenchidas),15-13*ORÇAMENTO!$AF$7)))))</f>
        <v>14.4</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c r="L76" s="165">
        <f t="shared" ca="1" si="9"/>
        <v>61</v>
      </c>
      <c r="M76" s="166">
        <f ca="1">IF($D76&lt;&gt;"Serviço","",
          IF(AUTOEVENTO="manual",$A76,
                IF(ISERROR(MATCH($A76,$A$15:OFFSET($A76,-1,0),0)),MAX($M$15:OFFSET(M76,-1,0))+1,
                      INDEX($M$15:OFFSET(M76,-1,0),MATCH($A76,$A$15:OFFSET($A76,-1,0),0)))))</f>
        <v>4</v>
      </c>
      <c r="N76" s="167" t="str">
        <f ca="1">IF($D76&lt;&gt;"Serviço","",
         IF(AUTOEVENTO="Manual",
                IF($A76=0,"&lt;-- defina o número do agrupador",
                       OFFSET(EVENTOS!$D$15,$A76-$A$15,0)),
                OFFSET($F$15,$A76,0)))</f>
        <v>INFRAESTRUTURA</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1000000000000</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12.75" x14ac:dyDescent="0.2">
      <c r="A77" s="7" t="str">
        <f t="shared" ca="1" si="8"/>
        <v>9</v>
      </c>
      <c r="B77" s="7">
        <f ca="1">OFFSET(ORÇAMENTO!C$15,$L77,0)</f>
        <v>3</v>
      </c>
      <c r="C77" s="7" t="str">
        <f ca="1">OFFSET(ORÇAMENTO!L$15,$L77,0)</f>
        <v>F</v>
      </c>
      <c r="D77" s="116" t="str">
        <f ca="1">OFFSET(ORÇAMENTO!N$15,$L77,0)</f>
        <v>Nível 3</v>
      </c>
      <c r="E77" s="117" t="str">
        <f ca="1">OFFSET(ORÇAMENTO!O$15,$L77,0)</f>
        <v>1.4.9.</v>
      </c>
      <c r="F77" s="163" t="str">
        <f ca="1">OFFSET(ORÇAMENTO!R$15,$L77,0)</f>
        <v>PILARES - TÉRREO</v>
      </c>
      <c r="G77" s="164" t="str">
        <f ca="1">IF($D77&lt;&gt;"Serviço","",OFFSET(ORÇAMENTO!S$15,$L77,0))</f>
        <v/>
      </c>
      <c r="H77" s="122" cm="1">
        <f t="array" aca="1" ref="H77" ca="1">IF($D77&lt;&gt;"Serviço",0,IF(ACOMPANHAMENTO="BM",ROUND(OFFSET(ORÇAMENTO!AJ$15,$L77,0),15-13*ORÇAMENTO!$AF$7),IF(IFERROR(CÁLCULO.FrentesPreenchidas,0)=0,0,SUM(ROUND(OFFSET($P77,0,1,1,CÁLCULO.FrentesPreenchidas),15-13*ORÇAMENTO!$AF$7)))))</f>
        <v>0</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c r="L77" s="165">
        <f t="shared" ca="1" si="9"/>
        <v>62</v>
      </c>
      <c r="M77" s="166" t="str">
        <f ca="1">IF($D77&lt;&gt;"Serviço","",
          IF(AUTOEVENTO="manual",$A77,
                IF(ISERROR(MATCH($A77,$A$15:OFFSET($A77,-1,0),0)),MAX($M$15:OFFSET(M77,-1,0))+1,
                      INDEX($M$15:OFFSET(M77,-1,0),MATCH($A77,$A$15:OFFSET($A77,-1,0),0)))))</f>
        <v/>
      </c>
      <c r="N77" s="167" t="str">
        <f ca="1">IF($D77&lt;&gt;"Serviço","",
         IF(AUTOEVENTO="Manual",
                IF($A77=0,"&lt;-- defina o número do agrupador",
                       OFFSET(EVENTOS!$D$15,$A77-$A$15,0)),
                OFFSET($F$15,$A77,0)))</f>
        <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0</v>
      </c>
      <c r="AN77" s="171">
        <f ca="1">IF(OR($D77&lt;&gt;"Serviço",AND(AUTOEVENTO="Manual",$M77=$A$15)),0,
         IF(OFFSET(CRONOPLE!$F$15,$M77-$A$15,AN$13)=0,10^12,OFFSET(CRONOPLE!$F$15,$M77-$A$15,AN$13)))</f>
        <v>0</v>
      </c>
      <c r="AO77" s="171">
        <f ca="1">IF(OR($D77&lt;&gt;"Serviço",AND(AUTOEVENTO="Manual",$M77=$A$15)),0,
         IF(OFFSET(CRONOPLE!$F$15,$M77-$A$15,AO$13)=0,10^12,OFFSET(CRONOPLE!$F$15,$M77-$A$15,AO$13)))</f>
        <v>0</v>
      </c>
      <c r="AP77" s="171">
        <f ca="1">IF(OR($D77&lt;&gt;"Serviço",AND(AUTOEVENTO="Manual",$M77=$A$15)),0,
         IF(OFFSET(CRONOPLE!$F$15,$M77-$A$15,AP$13)=0,10^12,OFFSET(CRONOPLE!$F$15,$M77-$A$15,AP$13)))</f>
        <v>0</v>
      </c>
      <c r="AQ77" s="171">
        <f ca="1">IF(OR($D77&lt;&gt;"Serviço",AND(AUTOEVENTO="Manual",$M77=$A$15)),0,
         IF(OFFSET(CRONOPLE!$F$15,$M77-$A$15,AQ$13)=0,10^12,OFFSET(CRONOPLE!$F$15,$M77-$A$15,AQ$13)))</f>
        <v>0</v>
      </c>
      <c r="AR77" s="171">
        <f ca="1">IF(OR($D77&lt;&gt;"Serviço",AND(AUTOEVENTO="Manual",$M77=$A$15)),0,
         IF(OFFSET(CRONOPLE!$F$15,$M77-$A$15,AR$13)=0,10^12,OFFSET(CRONOPLE!$F$15,$M77-$A$15,AR$13)))</f>
        <v>0</v>
      </c>
      <c r="AS77" s="171">
        <f ca="1">IF(OR($D77&lt;&gt;"Serviço",AND(AUTOEVENTO="Manual",$M77=$A$15)),0,
         IF(OFFSET(CRONOPLE!$F$15,$M77-$A$15,AS$13)=0,10^12,OFFSET(CRONOPLE!$F$15,$M77-$A$15,AS$13)))</f>
        <v>0</v>
      </c>
      <c r="AT77" s="171">
        <f ca="1">IF(OR($D77&lt;&gt;"Serviço",AND(AUTOEVENTO="Manual",$M77=$A$15)),0,
         IF(OFFSET(CRONOPLE!$F$15,$M77-$A$15,AT$13)=0,10^12,OFFSET(CRONOPLE!$F$15,$M77-$A$15,AT$13)))</f>
        <v>0</v>
      </c>
      <c r="AU77" s="171">
        <f ca="1">IF(OR($D77&lt;&gt;"Serviço",AND(AUTOEVENTO="Manual",$M77=$A$15)),0,
         IF(OFFSET(CRONOPLE!$F$15,$M77-$A$15,AU$13)=0,10^12,OFFSET(CRONOPLE!$F$15,$M77-$A$15,AU$13)))</f>
        <v>0</v>
      </c>
      <c r="AV77" s="171">
        <f ca="1">IF(OR($D77&lt;&gt;"Serviço",AND(AUTOEVENTO="Manual",$M77=$A$15)),0,
         IF(OFFSET(CRONOPLE!$F$15,$M77-$A$15,AV$13)=0,10^12,OFFSET(CRONOPLE!$F$15,$M77-$A$15,AV$13)))</f>
        <v>0</v>
      </c>
      <c r="AX77" s="172" cm="1">
        <f t="array" aca="1" ref="AX77" ca="1">IF(OR($D77&lt;&gt;"Serviço",AND(AUTOEVENTO="Manual",$M77=$A$15),$M77&gt;(ROW(PLE.lastrow)-ROW(PLE.firstrow))),0,
           IF(OFFSET(PLE!$G$15,$M77-$A$15,AX$13)="",10^12,OFFSET(PLE!$G$15,$M77-$A$15,AX$13)))</f>
        <v>0</v>
      </c>
      <c r="AY77" s="172" cm="1">
        <f t="array" aca="1" ref="AY77" ca="1">IF(OR($D77&lt;&gt;"Serviço",AND(AUTOEVENTO="Manual",$M77=$A$15),$M77&gt;(ROW(PLE.lastrow)-ROW(PLE.firstrow))),0,
           IF(OFFSET(PLE!$G$15,$M77-$A$15,AY$13)="",10^12,OFFSET(PLE!$G$15,$M77-$A$15,AY$13)))</f>
        <v>0</v>
      </c>
      <c r="AZ77" s="172" cm="1">
        <f t="array" aca="1" ref="AZ77" ca="1">IF(OR($D77&lt;&gt;"Serviço",AND(AUTOEVENTO="Manual",$M77=$A$15),$M77&gt;(ROW(PLE.lastrow)-ROW(PLE.firstrow))),0,
           IF(OFFSET(PLE!$G$15,$M77-$A$15,AZ$13)="",10^12,OFFSET(PLE!$G$15,$M77-$A$15,AZ$13)))</f>
        <v>0</v>
      </c>
      <c r="BA77" s="172" cm="1">
        <f t="array" aca="1" ref="BA77" ca="1">IF(OR($D77&lt;&gt;"Serviço",AND(AUTOEVENTO="Manual",$M77=$A$15),$M77&gt;(ROW(PLE.lastrow)-ROW(PLE.firstrow))),0,
           IF(OFFSET(PLE!$G$15,$M77-$A$15,BA$13)="",10^12,OFFSET(PLE!$G$15,$M77-$A$15,BA$13)))</f>
        <v>0</v>
      </c>
      <c r="BB77" s="172" cm="1">
        <f t="array" aca="1" ref="BB77" ca="1">IF(OR($D77&lt;&gt;"Serviço",AND(AUTOEVENTO="Manual",$M77=$A$15),$M77&gt;(ROW(PLE.lastrow)-ROW(PLE.firstrow))),0,
           IF(OFFSET(PLE!$G$15,$M77-$A$15,BB$13)="",10^12,OFFSET(PLE!$G$15,$M77-$A$15,BB$13)))</f>
        <v>0</v>
      </c>
      <c r="BC77" s="172" cm="1">
        <f t="array" aca="1" ref="BC77" ca="1">IF(OR($D77&lt;&gt;"Serviço",AND(AUTOEVENTO="Manual",$M77=$A$15),$M77&gt;(ROW(PLE.lastrow)-ROW(PLE.firstrow))),0,
           IF(OFFSET(PLE!$G$15,$M77-$A$15,BC$13)="",10^12,OFFSET(PLE!$G$15,$M77-$A$15,BC$13)))</f>
        <v>0</v>
      </c>
      <c r="BD77" s="172" cm="1">
        <f t="array" aca="1" ref="BD77" ca="1">IF(OR($D77&lt;&gt;"Serviço",AND(AUTOEVENTO="Manual",$M77=$A$15),$M77&gt;(ROW(PLE.lastrow)-ROW(PLE.firstrow))),0,
           IF(OFFSET(PLE!$G$15,$M77-$A$15,BD$13)="",10^12,OFFSET(PLE!$G$15,$M77-$A$15,BD$13)))</f>
        <v>0</v>
      </c>
      <c r="BE77" s="172" cm="1">
        <f t="array" aca="1" ref="BE77" ca="1">IF(OR($D77&lt;&gt;"Serviço",AND(AUTOEVENTO="Manual",$M77=$A$15),$M77&gt;(ROW(PLE.lastrow)-ROW(PLE.firstrow))),0,
           IF(OFFSET(PLE!$G$15,$M77-$A$15,BE$13)="",10^12,OFFSET(PLE!$G$15,$M77-$A$15,BE$13)))</f>
        <v>0</v>
      </c>
      <c r="BF77" s="172" cm="1">
        <f t="array" aca="1" ref="BF77" ca="1">IF(OR($D77&lt;&gt;"Serviço",AND(AUTOEVENTO="Manual",$M77=$A$15),$M77&gt;(ROW(PLE.lastrow)-ROW(PLE.firstrow))),0,
           IF(OFFSET(PLE!$G$15,$M77-$A$15,BF$13)="",10^12,OFFSET(PLE!$G$15,$M77-$A$15,BF$13)))</f>
        <v>0</v>
      </c>
      <c r="BG77" s="172" cm="1">
        <f t="array" aca="1" ref="BG77" ca="1">IF(OR($D77&lt;&gt;"Serviço",AND(AUTOEVENTO="Manual",$M77=$A$15),$M77&gt;(ROW(PLE.lastrow)-ROW(PLE.firstrow))),0,
           IF(OFFSET(PLE!$G$15,$M77-$A$15,BG$13)="",10^12,OFFSET(PLE!$G$15,$M77-$A$15,BG$13)))</f>
        <v>0</v>
      </c>
    </row>
    <row r="78" spans="1:59" ht="51" x14ac:dyDescent="0.2">
      <c r="A78" s="7" t="str">
        <f t="shared" ca="1" si="8"/>
        <v>9</v>
      </c>
      <c r="B78" s="7" t="str">
        <f ca="1">OFFSET(ORÇAMENTO!C$15,$L78,0)</f>
        <v>S</v>
      </c>
      <c r="C78" s="7" t="str">
        <f ca="1">OFFSET(ORÇAMENTO!L$15,$L78,0)</f>
        <v>F</v>
      </c>
      <c r="D78" s="116" t="str">
        <f ca="1">OFFSET(ORÇAMENTO!N$15,$L78,0)</f>
        <v>Serviço</v>
      </c>
      <c r="E78" s="117" t="str">
        <f ca="1">OFFSET(ORÇAMENTO!O$15,$L78,0)</f>
        <v>1.4.9.0.1.</v>
      </c>
      <c r="F78" s="163" t="str">
        <f ca="1">OFFSET(ORÇAMENTO!R$15,$L78,0)</f>
        <v>MONTAGEM E DESMONTAGEM DE FÔRMA DE PILARES RETANGULARES E ESTRUTURAS SIMILARES, PÉ-DIREITO SIMPLES, EM CHAPA DE MADEIRA COMPENSADA PLASTIFICADA, 14 UTILIZAÇÕES. AF_09/2020</v>
      </c>
      <c r="G78" s="164" t="str">
        <f ca="1">IF($D78&lt;&gt;"Serviço","",OFFSET(ORÇAMENTO!S$15,$L78,0))</f>
        <v>M2</v>
      </c>
      <c r="H78" s="122" cm="1">
        <f t="array" aca="1" ref="H78" ca="1">IF($D78&lt;&gt;"Serviço",0,IF(ACOMPANHAMENTO="BM",ROUND(OFFSET(ORÇAMENTO!AJ$15,$L78,0),15-13*ORÇAMENTO!$AF$7),IF(IFERROR(CÁLCULO.FrentesPreenchidas,0)=0,0,SUM(ROUND(OFFSET($P78,0,1,1,CÁLCULO.FrentesPreenchidas),15-13*ORÇAMENTO!$AF$7)))))</f>
        <v>53.93</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t="shared" ca="1" si="9"/>
        <v>63</v>
      </c>
      <c r="M78" s="166">
        <f ca="1">IF($D78&lt;&gt;"Serviço","",
          IF(AUTOEVENTO="manual",$A78,
                IF(ISERROR(MATCH($A78,$A$15:OFFSET($A78,-1,0),0)),MAX($M$15:OFFSET(M78,-1,0))+1,
                      INDEX($M$15:OFFSET(M78,-1,0),MATCH($A78,$A$15:OFFSET($A78,-1,0),0)))))</f>
        <v>4</v>
      </c>
      <c r="N78" s="167" t="str">
        <f ca="1">IF($D78&lt;&gt;"Serviço","",
         IF(AUTOEVENTO="Manual",
                IF($A78=0,"&lt;-- defina o número do agrupador",
                       OFFSET(EVENTOS!$D$15,$A78-$A$15,0)),
                OFFSET($F$15,$A78,0)))</f>
        <v>INFRAESTRUTURA</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1000000000000</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38.25" x14ac:dyDescent="0.2">
      <c r="A79" s="7" t="str">
        <f t="shared" ca="1" si="8"/>
        <v>9</v>
      </c>
      <c r="B79" s="7" t="str">
        <f ca="1">OFFSET(ORÇAMENTO!C$15,$L79,0)</f>
        <v>S</v>
      </c>
      <c r="C79" s="7" t="str">
        <f ca="1">OFFSET(ORÇAMENTO!L$15,$L79,0)</f>
        <v>F</v>
      </c>
      <c r="D79" s="116" t="str">
        <f ca="1">OFFSET(ORÇAMENTO!N$15,$L79,0)</f>
        <v>Serviço</v>
      </c>
      <c r="E79" s="117" t="str">
        <f ca="1">OFFSET(ORÇAMENTO!O$15,$L79,0)</f>
        <v>1.4.9.0.2.</v>
      </c>
      <c r="F79" s="163" t="str">
        <f ca="1">OFFSET(ORÇAMENTO!R$15,$L79,0)</f>
        <v>ARMAÇÃO DE PILAR OU VIGA DE ESTRUTURA DE CONCRETO ARMADO EMBUTIDA EM ALVENARIA DE VEDAÇÃO UTILIZANDO AÇO CA-60 DE 5,0 MM - MONTAGEM. AF_06/2022</v>
      </c>
      <c r="G79" s="164" t="str">
        <f ca="1">IF($D79&lt;&gt;"Serviço","",OFFSET(ORÇAMENTO!S$15,$L79,0))</f>
        <v>KG</v>
      </c>
      <c r="H79" s="122" cm="1">
        <f t="array" aca="1" ref="H79" ca="1">IF($D79&lt;&gt;"Serviço",0,IF(ACOMPANHAMENTO="BM",ROUND(OFFSET(ORÇAMENTO!AJ$15,$L79,0),15-13*ORÇAMENTO!$AF$7),IF(IFERROR(CÁLCULO.FrentesPreenchidas,0)=0,0,SUM(ROUND(OFFSET($P79,0,1,1,CÁLCULO.FrentesPreenchidas),15-13*ORÇAMENTO!$AF$7)))))</f>
        <v>859.8</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c r="L79" s="165">
        <f t="shared" ca="1" si="9"/>
        <v>64</v>
      </c>
      <c r="M79" s="166">
        <f ca="1">IF($D79&lt;&gt;"Serviço","",
          IF(AUTOEVENTO="manual",$A79,
                IF(ISERROR(MATCH($A79,$A$15:OFFSET($A79,-1,0),0)),MAX($M$15:OFFSET(M79,-1,0))+1,
                      INDEX($M$15:OFFSET(M79,-1,0),MATCH($A79,$A$15:OFFSET($A79,-1,0),0)))))</f>
        <v>4</v>
      </c>
      <c r="N79" s="167" t="str">
        <f ca="1">IF($D79&lt;&gt;"Serviço","",
         IF(AUTOEVENTO="Manual",
                IF($A79=0,"&lt;-- defina o número do agrupador",
                       OFFSET(EVENTOS!$D$15,$A79-$A$15,0)),
                OFFSET($F$15,$A79,0)))</f>
        <v>INFRAESTRUTURA</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1000000000000</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ht="38.25" x14ac:dyDescent="0.2">
      <c r="A80" s="7" t="str">
        <f t="shared" ca="1" si="8"/>
        <v>9</v>
      </c>
      <c r="B80" s="7" t="str">
        <f ca="1">OFFSET(ORÇAMENTO!C$15,$L80,0)</f>
        <v>S</v>
      </c>
      <c r="C80" s="7" t="str">
        <f ca="1">OFFSET(ORÇAMENTO!L$15,$L80,0)</f>
        <v>F</v>
      </c>
      <c r="D80" s="116" t="str">
        <f ca="1">OFFSET(ORÇAMENTO!N$15,$L80,0)</f>
        <v>Serviço</v>
      </c>
      <c r="E80" s="117" t="str">
        <f ca="1">OFFSET(ORÇAMENTO!O$15,$L80,0)</f>
        <v>1.4.9.0.3.</v>
      </c>
      <c r="F80" s="163" t="str">
        <f ca="1">OFFSET(ORÇAMENTO!R$15,$L80,0)</f>
        <v>ARMAÇÃO DE PILAR OU VIGA DE ESTRUTURA DE CONCRETO ARMADO EMBUTIDA EM ALVENARIA DE VEDAÇÃO UTILIZANDO AÇO CA-50 DE 10,0 MM - MONTAGEM. AF_06/2022</v>
      </c>
      <c r="G80" s="164" t="str">
        <f ca="1">IF($D80&lt;&gt;"Serviço","",OFFSET(ORÇAMENTO!S$15,$L80,0))</f>
        <v>KG</v>
      </c>
      <c r="H80" s="122" cm="1">
        <f t="array" aca="1" ref="H80" ca="1">IF($D80&lt;&gt;"Serviço",0,IF(ACOMPANHAMENTO="BM",ROUND(OFFSET(ORÇAMENTO!AJ$15,$L80,0),15-13*ORÇAMENTO!$AF$7),IF(IFERROR(CÁLCULO.FrentesPreenchidas,0)=0,0,SUM(ROUND(OFFSET($P80,0,1,1,CÁLCULO.FrentesPreenchidas),15-13*ORÇAMENTO!$AF$7)))))</f>
        <v>2116.5</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c r="L80" s="165">
        <f t="shared" ca="1" si="9"/>
        <v>65</v>
      </c>
      <c r="M80" s="166">
        <f ca="1">IF($D80&lt;&gt;"Serviço","",
          IF(AUTOEVENTO="manual",$A80,
                IF(ISERROR(MATCH($A80,$A$15:OFFSET($A80,-1,0),0)),MAX($M$15:OFFSET(M80,-1,0))+1,
                      INDEX($M$15:OFFSET(M80,-1,0),MATCH($A80,$A$15:OFFSET($A80,-1,0),0)))))</f>
        <v>4</v>
      </c>
      <c r="N80" s="167" t="str">
        <f ca="1">IF($D80&lt;&gt;"Serviço","",
         IF(AUTOEVENTO="Manual",
                IF($A80=0,"&lt;-- defina o número do agrupador",
                       OFFSET(EVENTOS!$D$15,$A80-$A$15,0)),
                OFFSET($F$15,$A80,0)))</f>
        <v>INFRAESTRUTURA</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1000000000000</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ht="25.5" x14ac:dyDescent="0.2">
      <c r="A81" s="7" t="str">
        <f t="shared" ca="1" si="8"/>
        <v>9</v>
      </c>
      <c r="B81" s="7" t="str">
        <f ca="1">OFFSET(ORÇAMENTO!C$15,$L81,0)</f>
        <v>S</v>
      </c>
      <c r="C81" s="7" t="str">
        <f ca="1">OFFSET(ORÇAMENTO!L$15,$L81,0)</f>
        <v>F</v>
      </c>
      <c r="D81" s="116" t="str">
        <f ca="1">OFFSET(ORÇAMENTO!N$15,$L81,0)</f>
        <v>Serviço</v>
      </c>
      <c r="E81" s="117" t="str">
        <f ca="1">OFFSET(ORÇAMENTO!O$15,$L81,0)</f>
        <v>1.4.9.0.4.</v>
      </c>
      <c r="F81" s="163" t="str">
        <f ca="1">OFFSET(ORÇAMENTO!R$15,$L81,0)</f>
        <v>CONCRETAGEM DE PILARES, FCK = 25 MPA, COM USO DE BOMBA - LANÇAMENTO, ADENSAMENTO E ACABAMENTO. AF_02/2022_PS</v>
      </c>
      <c r="G81" s="164" t="str">
        <f ca="1">IF($D81&lt;&gt;"Serviço","",OFFSET(ORÇAMENTO!S$15,$L81,0))</f>
        <v>M3</v>
      </c>
      <c r="H81" s="122" cm="1">
        <f t="array" aca="1" ref="H81" ca="1">IF($D81&lt;&gt;"Serviço",0,IF(ACOMPANHAMENTO="BM",ROUND(OFFSET(ORÇAMENTO!AJ$15,$L81,0),15-13*ORÇAMENTO!$AF$7),IF(IFERROR(CÁLCULO.FrentesPreenchidas,0)=0,0,SUM(ROUND(OFFSET($P81,0,1,1,CÁLCULO.FrentesPreenchidas),15-13*ORÇAMENTO!$AF$7)))))</f>
        <v>36</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t="shared" ca="1" si="9"/>
        <v>66</v>
      </c>
      <c r="M81" s="166">
        <f ca="1">IF($D81&lt;&gt;"Serviço","",
          IF(AUTOEVENTO="manual",$A81,
                IF(ISERROR(MATCH($A81,$A$15:OFFSET($A81,-1,0),0)),MAX($M$15:OFFSET(M81,-1,0))+1,
                      INDEX($M$15:OFFSET(M81,-1,0),MATCH($A81,$A$15:OFFSET($A81,-1,0),0)))))</f>
        <v>4</v>
      </c>
      <c r="N81" s="167" t="str">
        <f ca="1">IF($D81&lt;&gt;"Serviço","",
         IF(AUTOEVENTO="Manual",
                IF($A81=0,"&lt;-- defina o número do agrupador",
                       OFFSET(EVENTOS!$D$15,$A81-$A$15,0)),
                OFFSET($F$15,$A81,0)))</f>
        <v>INFRAESTRUTURA</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1000000000000</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ht="12.75" x14ac:dyDescent="0.2">
      <c r="A82" s="7" t="str">
        <f t="shared" ca="1" si="8"/>
        <v>9</v>
      </c>
      <c r="B82" s="7">
        <f ca="1">OFFSET(ORÇAMENTO!C$15,$L82,0)</f>
        <v>3</v>
      </c>
      <c r="C82" s="7" t="str">
        <f ca="1">OFFSET(ORÇAMENTO!L$15,$L82,0)</f>
        <v>F</v>
      </c>
      <c r="D82" s="116" t="str">
        <f ca="1">OFFSET(ORÇAMENTO!N$15,$L82,0)</f>
        <v>Nível 3</v>
      </c>
      <c r="E82" s="117" t="str">
        <f ca="1">OFFSET(ORÇAMENTO!O$15,$L82,0)</f>
        <v>1.4.10.</v>
      </c>
      <c r="F82" s="163" t="str">
        <f ca="1">OFFSET(ORÇAMENTO!R$15,$L82,0)</f>
        <v>VIGAS DE AMARRAÇÃO - COBERTURA</v>
      </c>
      <c r="G82" s="164" t="str">
        <f ca="1">IF($D82&lt;&gt;"Serviço","",OFFSET(ORÇAMENTO!S$15,$L82,0))</f>
        <v/>
      </c>
      <c r="H82" s="122" cm="1">
        <f t="array" aca="1" ref="H82" ca="1">IF($D82&lt;&gt;"Serviço",0,IF(ACOMPANHAMENTO="BM",ROUND(OFFSET(ORÇAMENTO!AJ$15,$L82,0),15-13*ORÇAMENTO!$AF$7),IF(IFERROR(CÁLCULO.FrentesPreenchidas,0)=0,0,SUM(ROUND(OFFSET($P82,0,1,1,CÁLCULO.FrentesPreenchidas),15-13*ORÇAMENTO!$AF$7)))))</f>
        <v>0</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c r="L82" s="165">
        <f t="shared" ca="1" si="9"/>
        <v>67</v>
      </c>
      <c r="M82" s="166" t="str">
        <f ca="1">IF($D82&lt;&gt;"Serviço","",
          IF(AUTOEVENTO="manual",$A82,
                IF(ISERROR(MATCH($A82,$A$15:OFFSET($A82,-1,0),0)),MAX($M$15:OFFSET(M82,-1,0))+1,
                      INDEX($M$15:OFFSET(M82,-1,0),MATCH($A82,$A$15:OFFSET($A82,-1,0),0)))))</f>
        <v/>
      </c>
      <c r="N82" s="167" t="str">
        <f ca="1">IF($D82&lt;&gt;"Serviço","",
         IF(AUTOEVENTO="Manual",
                IF($A82=0,"&lt;-- defina o número do agrupador",
                       OFFSET(EVENTOS!$D$15,$A82-$A$15,0)),
                OFFSET($F$15,$A82,0)))</f>
        <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0</v>
      </c>
      <c r="AN82" s="171">
        <f ca="1">IF(OR($D82&lt;&gt;"Serviço",AND(AUTOEVENTO="Manual",$M82=$A$15)),0,
         IF(OFFSET(CRONOPLE!$F$15,$M82-$A$15,AN$13)=0,10^12,OFFSET(CRONOPLE!$F$15,$M82-$A$15,AN$13)))</f>
        <v>0</v>
      </c>
      <c r="AO82" s="171">
        <f ca="1">IF(OR($D82&lt;&gt;"Serviço",AND(AUTOEVENTO="Manual",$M82=$A$15)),0,
         IF(OFFSET(CRONOPLE!$F$15,$M82-$A$15,AO$13)=0,10^12,OFFSET(CRONOPLE!$F$15,$M82-$A$15,AO$13)))</f>
        <v>0</v>
      </c>
      <c r="AP82" s="171">
        <f ca="1">IF(OR($D82&lt;&gt;"Serviço",AND(AUTOEVENTO="Manual",$M82=$A$15)),0,
         IF(OFFSET(CRONOPLE!$F$15,$M82-$A$15,AP$13)=0,10^12,OFFSET(CRONOPLE!$F$15,$M82-$A$15,AP$13)))</f>
        <v>0</v>
      </c>
      <c r="AQ82" s="171">
        <f ca="1">IF(OR($D82&lt;&gt;"Serviço",AND(AUTOEVENTO="Manual",$M82=$A$15)),0,
         IF(OFFSET(CRONOPLE!$F$15,$M82-$A$15,AQ$13)=0,10^12,OFFSET(CRONOPLE!$F$15,$M82-$A$15,AQ$13)))</f>
        <v>0</v>
      </c>
      <c r="AR82" s="171">
        <f ca="1">IF(OR($D82&lt;&gt;"Serviço",AND(AUTOEVENTO="Manual",$M82=$A$15)),0,
         IF(OFFSET(CRONOPLE!$F$15,$M82-$A$15,AR$13)=0,10^12,OFFSET(CRONOPLE!$F$15,$M82-$A$15,AR$13)))</f>
        <v>0</v>
      </c>
      <c r="AS82" s="171">
        <f ca="1">IF(OR($D82&lt;&gt;"Serviço",AND(AUTOEVENTO="Manual",$M82=$A$15)),0,
         IF(OFFSET(CRONOPLE!$F$15,$M82-$A$15,AS$13)=0,10^12,OFFSET(CRONOPLE!$F$15,$M82-$A$15,AS$13)))</f>
        <v>0</v>
      </c>
      <c r="AT82" s="171">
        <f ca="1">IF(OR($D82&lt;&gt;"Serviço",AND(AUTOEVENTO="Manual",$M82=$A$15)),0,
         IF(OFFSET(CRONOPLE!$F$15,$M82-$A$15,AT$13)=0,10^12,OFFSET(CRONOPLE!$F$15,$M82-$A$15,AT$13)))</f>
        <v>0</v>
      </c>
      <c r="AU82" s="171">
        <f ca="1">IF(OR($D82&lt;&gt;"Serviço",AND(AUTOEVENTO="Manual",$M82=$A$15)),0,
         IF(OFFSET(CRONOPLE!$F$15,$M82-$A$15,AU$13)=0,10^12,OFFSET(CRONOPLE!$F$15,$M82-$A$15,AU$13)))</f>
        <v>0</v>
      </c>
      <c r="AV82" s="171">
        <f ca="1">IF(OR($D82&lt;&gt;"Serviço",AND(AUTOEVENTO="Manual",$M82=$A$15)),0,
         IF(OFFSET(CRONOPLE!$F$15,$M82-$A$15,AV$13)=0,10^12,OFFSET(CRONOPLE!$F$15,$M82-$A$15,AV$13)))</f>
        <v>0</v>
      </c>
      <c r="AX82" s="172" cm="1">
        <f t="array" aca="1" ref="AX82" ca="1">IF(OR($D82&lt;&gt;"Serviço",AND(AUTOEVENTO="Manual",$M82=$A$15),$M82&gt;(ROW(PLE.lastrow)-ROW(PLE.firstrow))),0,
           IF(OFFSET(PLE!$G$15,$M82-$A$15,AX$13)="",10^12,OFFSET(PLE!$G$15,$M82-$A$15,AX$13)))</f>
        <v>0</v>
      </c>
      <c r="AY82" s="172" cm="1">
        <f t="array" aca="1" ref="AY82" ca="1">IF(OR($D82&lt;&gt;"Serviço",AND(AUTOEVENTO="Manual",$M82=$A$15),$M82&gt;(ROW(PLE.lastrow)-ROW(PLE.firstrow))),0,
           IF(OFFSET(PLE!$G$15,$M82-$A$15,AY$13)="",10^12,OFFSET(PLE!$G$15,$M82-$A$15,AY$13)))</f>
        <v>0</v>
      </c>
      <c r="AZ82" s="172" cm="1">
        <f t="array" aca="1" ref="AZ82" ca="1">IF(OR($D82&lt;&gt;"Serviço",AND(AUTOEVENTO="Manual",$M82=$A$15),$M82&gt;(ROW(PLE.lastrow)-ROW(PLE.firstrow))),0,
           IF(OFFSET(PLE!$G$15,$M82-$A$15,AZ$13)="",10^12,OFFSET(PLE!$G$15,$M82-$A$15,AZ$13)))</f>
        <v>0</v>
      </c>
      <c r="BA82" s="172" cm="1">
        <f t="array" aca="1" ref="BA82" ca="1">IF(OR($D82&lt;&gt;"Serviço",AND(AUTOEVENTO="Manual",$M82=$A$15),$M82&gt;(ROW(PLE.lastrow)-ROW(PLE.firstrow))),0,
           IF(OFFSET(PLE!$G$15,$M82-$A$15,BA$13)="",10^12,OFFSET(PLE!$G$15,$M82-$A$15,BA$13)))</f>
        <v>0</v>
      </c>
      <c r="BB82" s="172" cm="1">
        <f t="array" aca="1" ref="BB82" ca="1">IF(OR($D82&lt;&gt;"Serviço",AND(AUTOEVENTO="Manual",$M82=$A$15),$M82&gt;(ROW(PLE.lastrow)-ROW(PLE.firstrow))),0,
           IF(OFFSET(PLE!$G$15,$M82-$A$15,BB$13)="",10^12,OFFSET(PLE!$G$15,$M82-$A$15,BB$13)))</f>
        <v>0</v>
      </c>
      <c r="BC82" s="172" cm="1">
        <f t="array" aca="1" ref="BC82" ca="1">IF(OR($D82&lt;&gt;"Serviço",AND(AUTOEVENTO="Manual",$M82=$A$15),$M82&gt;(ROW(PLE.lastrow)-ROW(PLE.firstrow))),0,
           IF(OFFSET(PLE!$G$15,$M82-$A$15,BC$13)="",10^12,OFFSET(PLE!$G$15,$M82-$A$15,BC$13)))</f>
        <v>0</v>
      </c>
      <c r="BD82" s="172" cm="1">
        <f t="array" aca="1" ref="BD82" ca="1">IF(OR($D82&lt;&gt;"Serviço",AND(AUTOEVENTO="Manual",$M82=$A$15),$M82&gt;(ROW(PLE.lastrow)-ROW(PLE.firstrow))),0,
           IF(OFFSET(PLE!$G$15,$M82-$A$15,BD$13)="",10^12,OFFSET(PLE!$G$15,$M82-$A$15,BD$13)))</f>
        <v>0</v>
      </c>
      <c r="BE82" s="172" cm="1">
        <f t="array" aca="1" ref="BE82" ca="1">IF(OR($D82&lt;&gt;"Serviço",AND(AUTOEVENTO="Manual",$M82=$A$15),$M82&gt;(ROW(PLE.lastrow)-ROW(PLE.firstrow))),0,
           IF(OFFSET(PLE!$G$15,$M82-$A$15,BE$13)="",10^12,OFFSET(PLE!$G$15,$M82-$A$15,BE$13)))</f>
        <v>0</v>
      </c>
      <c r="BF82" s="172" cm="1">
        <f t="array" aca="1" ref="BF82" ca="1">IF(OR($D82&lt;&gt;"Serviço",AND(AUTOEVENTO="Manual",$M82=$A$15),$M82&gt;(ROW(PLE.lastrow)-ROW(PLE.firstrow))),0,
           IF(OFFSET(PLE!$G$15,$M82-$A$15,BF$13)="",10^12,OFFSET(PLE!$G$15,$M82-$A$15,BF$13)))</f>
        <v>0</v>
      </c>
      <c r="BG82" s="172" cm="1">
        <f t="array" aca="1" ref="BG82" ca="1">IF(OR($D82&lt;&gt;"Serviço",AND(AUTOEVENTO="Manual",$M82=$A$15),$M82&gt;(ROW(PLE.lastrow)-ROW(PLE.firstrow))),0,
           IF(OFFSET(PLE!$G$15,$M82-$A$15,BG$13)="",10^12,OFFSET(PLE!$G$15,$M82-$A$15,BG$13)))</f>
        <v>0</v>
      </c>
    </row>
    <row r="83" spans="1:59" ht="38.25" x14ac:dyDescent="0.2">
      <c r="A83" s="7" t="str">
        <f t="shared" ca="1" si="8"/>
        <v>9</v>
      </c>
      <c r="B83" s="7" t="str">
        <f ca="1">OFFSET(ORÇAMENTO!C$15,$L83,0)</f>
        <v>S</v>
      </c>
      <c r="C83" s="7" t="str">
        <f ca="1">OFFSET(ORÇAMENTO!L$15,$L83,0)</f>
        <v>F</v>
      </c>
      <c r="D83" s="116" t="str">
        <f ca="1">OFFSET(ORÇAMENTO!N$15,$L83,0)</f>
        <v>Serviço</v>
      </c>
      <c r="E83" s="117" t="str">
        <f ca="1">OFFSET(ORÇAMENTO!O$15,$L83,0)</f>
        <v>1.4.10.0.1.</v>
      </c>
      <c r="F83" s="163" t="str">
        <f ca="1">OFFSET(ORÇAMENTO!R$15,$L83,0)</f>
        <v>MONTAGEM E DESMONTAGEM DE FÔRMA DE VIGA, ESCORAMENTO COM GARFO DE MADEIRA, PÉ-DIREITO SIMPLES, EM CHAPA DE MADEIRA PLASTIFICADA, 18 UTILIZAÇÕES. AF_09/2020</v>
      </c>
      <c r="G83" s="164" t="str">
        <f ca="1">IF($D83&lt;&gt;"Serviço","",OFFSET(ORÇAMENTO!S$15,$L83,0))</f>
        <v>M2</v>
      </c>
      <c r="H83" s="122" cm="1">
        <f t="array" aca="1" ref="H83" ca="1">IF($D83&lt;&gt;"Serviço",0,IF(ACOMPANHAMENTO="BM",ROUND(OFFSET(ORÇAMENTO!AJ$15,$L83,0),15-13*ORÇAMENTO!$AF$7),IF(IFERROR(CÁLCULO.FrentesPreenchidas,0)=0,0,SUM(ROUND(OFFSET($P83,0,1,1,CÁLCULO.FrentesPreenchidas),15-13*ORÇAMENTO!$AF$7)))))</f>
        <v>6.86</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9"/>
        <v>68</v>
      </c>
      <c r="M83" s="166">
        <f ca="1">IF($D83&lt;&gt;"Serviço","",
          IF(AUTOEVENTO="manual",$A83,
                IF(ISERROR(MATCH($A83,$A$15:OFFSET($A83,-1,0),0)),MAX($M$15:OFFSET(M83,-1,0))+1,
                      INDEX($M$15:OFFSET(M83,-1,0),MATCH($A83,$A$15:OFFSET($A83,-1,0),0)))))</f>
        <v>4</v>
      </c>
      <c r="N83" s="167" t="str">
        <f ca="1">IF($D83&lt;&gt;"Serviço","",
         IF(AUTOEVENTO="Manual",
                IF($A83=0,"&lt;-- defina o número do agrupador",
                       OFFSET(EVENTOS!$D$15,$A83-$A$15,0)),
                OFFSET($F$15,$A83,0)))</f>
        <v>INFRAESTRUTURA</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1000000000000</v>
      </c>
      <c r="AN83" s="171">
        <f ca="1">IF(OR($D83&lt;&gt;"Serviço",AND(AUTOEVENTO="Manual",$M83=$A$15)),0,
         IF(OFFSET(CRONOPLE!$F$15,$M83-$A$15,AN$13)=0,10^12,OFFSET(CRONOPLE!$F$15,$M83-$A$15,AN$13)))</f>
        <v>1000000000000</v>
      </c>
      <c r="AO83" s="171">
        <f ca="1">IF(OR($D83&lt;&gt;"Serviço",AND(AUTOEVENTO="Manual",$M83=$A$15)),0,
         IF(OFFSET(CRONOPLE!$F$15,$M83-$A$15,AO$13)=0,10^12,OFFSET(CRONOPLE!$F$15,$M83-$A$15,AO$13)))</f>
        <v>1000000000000</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cm="1">
        <f t="array" aca="1" ref="AX83" ca="1">IF(OR($D83&lt;&gt;"Serviço",AND(AUTOEVENTO="Manual",$M83=$A$15),$M83&gt;(ROW(PLE.lastrow)-ROW(PLE.firstrow))),0,
           IF(OFFSET(PLE!$G$15,$M83-$A$15,AX$13)="",10^12,OFFSET(PLE!$G$15,$M83-$A$15,AX$13)))</f>
        <v>1000000000000</v>
      </c>
      <c r="AY83" s="172" cm="1">
        <f t="array" aca="1" ref="AY83" ca="1">IF(OR($D83&lt;&gt;"Serviço",AND(AUTOEVENTO="Manual",$M83=$A$15),$M83&gt;(ROW(PLE.lastrow)-ROW(PLE.firstrow))),0,
           IF(OFFSET(PLE!$G$15,$M83-$A$15,AY$13)="",10^12,OFFSET(PLE!$G$15,$M83-$A$15,AY$13)))</f>
        <v>1000000000000</v>
      </c>
      <c r="AZ83" s="172" cm="1">
        <f t="array" aca="1" ref="AZ83" ca="1">IF(OR($D83&lt;&gt;"Serviço",AND(AUTOEVENTO="Manual",$M83=$A$15),$M83&gt;(ROW(PLE.lastrow)-ROW(PLE.firstrow))),0,
           IF(OFFSET(PLE!$G$15,$M83-$A$15,AZ$13)="",10^12,OFFSET(PLE!$G$15,$M83-$A$15,AZ$13)))</f>
        <v>1000000000000</v>
      </c>
      <c r="BA83" s="172" cm="1">
        <f t="array" aca="1" ref="BA83" ca="1">IF(OR($D83&lt;&gt;"Serviço",AND(AUTOEVENTO="Manual",$M83=$A$15),$M83&gt;(ROW(PLE.lastrow)-ROW(PLE.firstrow))),0,
           IF(OFFSET(PLE!$G$15,$M83-$A$15,BA$13)="",10^12,OFFSET(PLE!$G$15,$M83-$A$15,BA$13)))</f>
        <v>1000000000000</v>
      </c>
      <c r="BB83" s="172" cm="1">
        <f t="array" aca="1" ref="BB83" ca="1">IF(OR($D83&lt;&gt;"Serviço",AND(AUTOEVENTO="Manual",$M83=$A$15),$M83&gt;(ROW(PLE.lastrow)-ROW(PLE.firstrow))),0,
           IF(OFFSET(PLE!$G$15,$M83-$A$15,BB$13)="",10^12,OFFSET(PLE!$G$15,$M83-$A$15,BB$13)))</f>
        <v>1000000000000</v>
      </c>
      <c r="BC83" s="172" cm="1">
        <f t="array" aca="1" ref="BC83" ca="1">IF(OR($D83&lt;&gt;"Serviço",AND(AUTOEVENTO="Manual",$M83=$A$15),$M83&gt;(ROW(PLE.lastrow)-ROW(PLE.firstrow))),0,
           IF(OFFSET(PLE!$G$15,$M83-$A$15,BC$13)="",10^12,OFFSET(PLE!$G$15,$M83-$A$15,BC$13)))</f>
        <v>1000000000000</v>
      </c>
      <c r="BD83" s="172" cm="1">
        <f t="array" aca="1" ref="BD83" ca="1">IF(OR($D83&lt;&gt;"Serviço",AND(AUTOEVENTO="Manual",$M83=$A$15),$M83&gt;(ROW(PLE.lastrow)-ROW(PLE.firstrow))),0,
           IF(OFFSET(PLE!$G$15,$M83-$A$15,BD$13)="",10^12,OFFSET(PLE!$G$15,$M83-$A$15,BD$13)))</f>
        <v>1000000000000</v>
      </c>
      <c r="BE83" s="172" cm="1">
        <f t="array" aca="1" ref="BE83" ca="1">IF(OR($D83&lt;&gt;"Serviço",AND(AUTOEVENTO="Manual",$M83=$A$15),$M83&gt;(ROW(PLE.lastrow)-ROW(PLE.firstrow))),0,
           IF(OFFSET(PLE!$G$15,$M83-$A$15,BE$13)="",10^12,OFFSET(PLE!$G$15,$M83-$A$15,BE$13)))</f>
        <v>1000000000000</v>
      </c>
      <c r="BF83" s="172" cm="1">
        <f t="array" aca="1" ref="BF83" ca="1">IF(OR($D83&lt;&gt;"Serviço",AND(AUTOEVENTO="Manual",$M83=$A$15),$M83&gt;(ROW(PLE.lastrow)-ROW(PLE.firstrow))),0,
           IF(OFFSET(PLE!$G$15,$M83-$A$15,BF$13)="",10^12,OFFSET(PLE!$G$15,$M83-$A$15,BF$13)))</f>
        <v>1000000000000</v>
      </c>
      <c r="BG83" s="172" cm="1">
        <f t="array" aca="1" ref="BG83" ca="1">IF(OR($D83&lt;&gt;"Serviço",AND(AUTOEVENTO="Manual",$M83=$A$15),$M83&gt;(ROW(PLE.lastrow)-ROW(PLE.firstrow))),0,
           IF(OFFSET(PLE!$G$15,$M83-$A$15,BG$13)="",10^12,OFFSET(PLE!$G$15,$M83-$A$15,BG$13)))</f>
        <v>1000000000000</v>
      </c>
    </row>
    <row r="84" spans="1:59" ht="38.25" x14ac:dyDescent="0.2">
      <c r="A84" s="7" t="str">
        <f t="shared" ca="1" si="8"/>
        <v>9</v>
      </c>
      <c r="B84" s="7" t="str">
        <f ca="1">OFFSET(ORÇAMENTO!C$15,$L84,0)</f>
        <v>S</v>
      </c>
      <c r="C84" s="7" t="str">
        <f ca="1">OFFSET(ORÇAMENTO!L$15,$L84,0)</f>
        <v>F</v>
      </c>
      <c r="D84" s="116" t="str">
        <f ca="1">OFFSET(ORÇAMENTO!N$15,$L84,0)</f>
        <v>Serviço</v>
      </c>
      <c r="E84" s="117" t="str">
        <f ca="1">OFFSET(ORÇAMENTO!O$15,$L84,0)</f>
        <v>1.4.10.0.2.</v>
      </c>
      <c r="F84" s="163" t="str">
        <f ca="1">OFFSET(ORÇAMENTO!R$15,$L84,0)</f>
        <v>ARMAÇÃO DE PILAR OU VIGA DE ESTRUTURA CONVENCIONAL DE CONCRETO ARMADO UTILIZANDO AÇO CA-60 DE 5,0 MM - MONTAGEM. AF_06/2022</v>
      </c>
      <c r="G84" s="164" t="str">
        <f ca="1">IF($D84&lt;&gt;"Serviço","",OFFSET(ORÇAMENTO!S$15,$L84,0))</f>
        <v>KG</v>
      </c>
      <c r="H84" s="122" cm="1">
        <f t="array" aca="1" ref="H84" ca="1">IF($D84&lt;&gt;"Serviço",0,IF(ACOMPANHAMENTO="BM",ROUND(OFFSET(ORÇAMENTO!AJ$15,$L84,0),15-13*ORÇAMENTO!$AF$7),IF(IFERROR(CÁLCULO.FrentesPreenchidas,0)=0,0,SUM(ROUND(OFFSET($P84,0,1,1,CÁLCULO.FrentesPreenchidas),15-13*ORÇAMENTO!$AF$7)))))</f>
        <v>1097.52</v>
      </c>
      <c r="I84" s="468"/>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c r="L84" s="165">
        <f t="shared" ca="1" si="9"/>
        <v>69</v>
      </c>
      <c r="M84" s="166">
        <f ca="1">IF($D84&lt;&gt;"Serviço","",
          IF(AUTOEVENTO="manual",$A84,
                IF(ISERROR(MATCH($A84,$A$15:OFFSET($A84,-1,0),0)),MAX($M$15:OFFSET(M84,-1,0))+1,
                      INDEX($M$15:OFFSET(M84,-1,0),MATCH($A84,$A$15:OFFSET($A84,-1,0),0)))))</f>
        <v>4</v>
      </c>
      <c r="N84" s="167" t="str">
        <f ca="1">IF($D84&lt;&gt;"Serviço","",
         IF(AUTOEVENTO="Manual",
                IF($A84=0,"&lt;-- defina o número do agrupador",
                       OFFSET(EVENTOS!$D$15,$A84-$A$15,0)),
                OFFSET($F$15,$A84,0)))</f>
        <v>INFRAESTRUTURA</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1000000000000</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38.25" x14ac:dyDescent="0.2">
      <c r="A85" s="7" t="str">
        <f t="shared" ca="1" si="8"/>
        <v>9</v>
      </c>
      <c r="B85" s="7" t="str">
        <f ca="1">OFFSET(ORÇAMENTO!C$15,$L85,0)</f>
        <v>S</v>
      </c>
      <c r="C85" s="7" t="str">
        <f ca="1">OFFSET(ORÇAMENTO!L$15,$L85,0)</f>
        <v>F</v>
      </c>
      <c r="D85" s="116" t="str">
        <f ca="1">OFFSET(ORÇAMENTO!N$15,$L85,0)</f>
        <v>Serviço</v>
      </c>
      <c r="E85" s="117" t="str">
        <f ca="1">OFFSET(ORÇAMENTO!O$15,$L85,0)</f>
        <v>1.4.10.0.3.</v>
      </c>
      <c r="F85" s="163" t="str">
        <f ca="1">OFFSET(ORÇAMENTO!R$15,$L85,0)</f>
        <v>ARMAÇÃO DE PILAR OU VIGA DE ESTRUTURA CONVENCIONAL DE CONCRETO ARMADO UTILIZANDO AÇO CA-50 DE 8,0 MM - MONTAGEM. AF_06/2022</v>
      </c>
      <c r="G85" s="164" t="str">
        <f ca="1">IF($D85&lt;&gt;"Serviço","",OFFSET(ORÇAMENTO!S$15,$L85,0))</f>
        <v>KG</v>
      </c>
      <c r="H85" s="122" cm="1">
        <f t="array" aca="1" ref="H85" ca="1">IF($D85&lt;&gt;"Serviço",0,IF(ACOMPANHAMENTO="BM",ROUND(OFFSET(ORÇAMENTO!AJ$15,$L85,0),15-13*ORÇAMENTO!$AF$7),IF(IFERROR(CÁLCULO.FrentesPreenchidas,0)=0,0,SUM(ROUND(OFFSET($P85,0,1,1,CÁLCULO.FrentesPreenchidas),15-13*ORÇAMENTO!$AF$7)))))</f>
        <v>2304.3000000000002</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ca="1" si="9"/>
        <v>70</v>
      </c>
      <c r="M85" s="166">
        <f ca="1">IF($D85&lt;&gt;"Serviço","",
          IF(AUTOEVENTO="manual",$A85,
                IF(ISERROR(MATCH($A85,$A$15:OFFSET($A85,-1,0),0)),MAX($M$15:OFFSET(M85,-1,0))+1,
                      INDEX($M$15:OFFSET(M85,-1,0),MATCH($A85,$A$15:OFFSET($A85,-1,0),0)))))</f>
        <v>4</v>
      </c>
      <c r="N85" s="167" t="str">
        <f ca="1">IF($D85&lt;&gt;"Serviço","",
         IF(AUTOEVENTO="Manual",
                IF($A85=0,"&lt;-- defina o número do agrupador",
                       OFFSET(EVENTOS!$D$15,$A85-$A$15,0)),
                OFFSET($F$15,$A85,0)))</f>
        <v>INFRAESTRUTURA</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1000000000000</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ht="38.25" x14ac:dyDescent="0.2">
      <c r="A86" s="7" t="str">
        <f t="shared" ca="1" si="8"/>
        <v>9</v>
      </c>
      <c r="B86" s="7" t="str">
        <f ca="1">OFFSET(ORÇAMENTO!C$15,$L86,0)</f>
        <v>S</v>
      </c>
      <c r="C86" s="7" t="str">
        <f ca="1">OFFSET(ORÇAMENTO!L$15,$L86,0)</f>
        <v>F</v>
      </c>
      <c r="D86" s="116" t="str">
        <f ca="1">OFFSET(ORÇAMENTO!N$15,$L86,0)</f>
        <v>Serviço</v>
      </c>
      <c r="E86" s="117" t="str">
        <f ca="1">OFFSET(ORÇAMENTO!O$15,$L86,0)</f>
        <v>1.4.10.0.4.</v>
      </c>
      <c r="F86" s="163" t="str">
        <f ca="1">OFFSET(ORÇAMENTO!R$15,$L86,0)</f>
        <v>ARMAÇÃO DE PILAR OU VIGA DE ESTRUTURA CONVENCIONAL DE CONCRETO ARMADO UTILIZANDO AÇO CA-50 DE 10,0 MM - MONTAGEM. AF_06/2022</v>
      </c>
      <c r="G86" s="164" t="str">
        <f ca="1">IF($D86&lt;&gt;"Serviço","",OFFSET(ORÇAMENTO!S$15,$L86,0))</f>
        <v>KG</v>
      </c>
      <c r="H86" s="122" cm="1">
        <f t="array" aca="1" ref="H86" ca="1">IF($D86&lt;&gt;"Serviço",0,IF(ACOMPANHAMENTO="BM",ROUND(OFFSET(ORÇAMENTO!AJ$15,$L86,0),15-13*ORÇAMENTO!$AF$7),IF(IFERROR(CÁLCULO.FrentesPreenchidas,0)=0,0,SUM(ROUND(OFFSET($P86,0,1,1,CÁLCULO.FrentesPreenchidas),15-13*ORÇAMENTO!$AF$7)))))</f>
        <v>162.24</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c r="L86" s="165">
        <f t="shared" ca="1" si="9"/>
        <v>71</v>
      </c>
      <c r="M86" s="166">
        <f ca="1">IF($D86&lt;&gt;"Serviço","",
          IF(AUTOEVENTO="manual",$A86,
                IF(ISERROR(MATCH($A86,$A$15:OFFSET($A86,-1,0),0)),MAX($M$15:OFFSET(M86,-1,0))+1,
                      INDEX($M$15:OFFSET(M86,-1,0),MATCH($A86,$A$15:OFFSET($A86,-1,0),0)))))</f>
        <v>4</v>
      </c>
      <c r="N86" s="167" t="str">
        <f ca="1">IF($D86&lt;&gt;"Serviço","",
         IF(AUTOEVENTO="Manual",
                IF($A86=0,"&lt;-- defina o número do agrupador",
                       OFFSET(EVENTOS!$D$15,$A86-$A$15,0)),
                OFFSET($F$15,$A86,0)))</f>
        <v>INFRAESTRUTURA</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1000000000000</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38.25" x14ac:dyDescent="0.2">
      <c r="A87" s="7" t="str">
        <f t="shared" ca="1" si="8"/>
        <v>9</v>
      </c>
      <c r="B87" s="7" t="str">
        <f ca="1">OFFSET(ORÇAMENTO!C$15,$L87,0)</f>
        <v>S</v>
      </c>
      <c r="C87" s="7" t="str">
        <f ca="1">OFFSET(ORÇAMENTO!L$15,$L87,0)</f>
        <v>F</v>
      </c>
      <c r="D87" s="116" t="str">
        <f ca="1">OFFSET(ORÇAMENTO!N$15,$L87,0)</f>
        <v>Serviço</v>
      </c>
      <c r="E87" s="117" t="str">
        <f ca="1">OFFSET(ORÇAMENTO!O$15,$L87,0)</f>
        <v>1.4.10.0.5.</v>
      </c>
      <c r="F87" s="163" t="str">
        <f ca="1">OFFSET(ORÇAMENTO!R$15,$L87,0)</f>
        <v>ARMAÇÃO DE PILAR OU VIGA DE ESTRUTURA CONVENCIONAL DE CONCRETO ARMADO UTILIZANDO AÇO CA-50 DE 12,5 MM - MONTAGEM. AF_06/2022</v>
      </c>
      <c r="G87" s="164" t="str">
        <f ca="1">IF($D87&lt;&gt;"Serviço","",OFFSET(ORÇAMENTO!S$15,$L87,0))</f>
        <v>KG</v>
      </c>
      <c r="H87" s="122" cm="1">
        <f t="array" aca="1" ref="H87" ca="1">IF($D87&lt;&gt;"Serviço",0,IF(ACOMPANHAMENTO="BM",ROUND(OFFSET(ORÇAMENTO!AJ$15,$L87,0),15-13*ORÇAMENTO!$AF$7),IF(IFERROR(CÁLCULO.FrentesPreenchidas,0)=0,0,SUM(ROUND(OFFSET($P87,0,1,1,CÁLCULO.FrentesPreenchidas),15-13*ORÇAMENTO!$AF$7)))))</f>
        <v>305.22000000000003</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c r="L87" s="165">
        <f t="shared" ca="1" si="9"/>
        <v>72</v>
      </c>
      <c r="M87" s="166">
        <f ca="1">IF($D87&lt;&gt;"Serviço","",
          IF(AUTOEVENTO="manual",$A87,
                IF(ISERROR(MATCH($A87,$A$15:OFFSET($A87,-1,0),0)),MAX($M$15:OFFSET(M87,-1,0))+1,
                      INDEX($M$15:OFFSET(M87,-1,0),MATCH($A87,$A$15:OFFSET($A87,-1,0),0)))))</f>
        <v>4</v>
      </c>
      <c r="N87" s="167" t="str">
        <f ca="1">IF($D87&lt;&gt;"Serviço","",
         IF(AUTOEVENTO="Manual",
                IF($A87=0,"&lt;-- defina o número do agrupador",
                       OFFSET(EVENTOS!$D$15,$A87-$A$15,0)),
                OFFSET($F$15,$A87,0)))</f>
        <v>INFRAESTRUTURA</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1000000000000</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38.25" x14ac:dyDescent="0.2">
      <c r="A88" s="7" t="str">
        <f t="shared" ca="1" si="8"/>
        <v>9</v>
      </c>
      <c r="B88" s="7" t="str">
        <f ca="1">OFFSET(ORÇAMENTO!C$15,$L88,0)</f>
        <v>S</v>
      </c>
      <c r="C88" s="7" t="str">
        <f ca="1">OFFSET(ORÇAMENTO!L$15,$L88,0)</f>
        <v>F</v>
      </c>
      <c r="D88" s="116" t="str">
        <f ca="1">OFFSET(ORÇAMENTO!N$15,$L88,0)</f>
        <v>Serviço</v>
      </c>
      <c r="E88" s="117" t="str">
        <f ca="1">OFFSET(ORÇAMENTO!O$15,$L88,0)</f>
        <v>1.4.10.0.6.</v>
      </c>
      <c r="F88" s="163" t="str">
        <f ca="1">OFFSET(ORÇAMENTO!R$15,$L88,0)</f>
        <v>CONCRETAGEM DE VIGAS E LAJES, FCK=25 MPA, PARA LAJES MACIÇAS OU NERVURADAS COM USO DE BOMBA - LANÇAMENTO, ADENSAMENTO E ACABAMENTO. AF_02/2022_PS</v>
      </c>
      <c r="G88" s="164" t="str">
        <f ca="1">IF($D88&lt;&gt;"Serviço","",OFFSET(ORÇAMENTO!S$15,$L88,0))</f>
        <v>M3</v>
      </c>
      <c r="H88" s="122" cm="1">
        <f t="array" aca="1" ref="H88" ca="1">IF($D88&lt;&gt;"Serviço",0,IF(ACOMPANHAMENTO="BM",ROUND(OFFSET(ORÇAMENTO!AJ$15,$L88,0),15-13*ORÇAMENTO!$AF$7),IF(IFERROR(CÁLCULO.FrentesPreenchidas,0)=0,0,SUM(ROUND(OFFSET($P88,0,1,1,CÁLCULO.FrentesPreenchidas),15-13*ORÇAMENTO!$AF$7)))))</f>
        <v>57.6</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f t="shared" ca="1" si="9"/>
        <v>73</v>
      </c>
      <c r="M88" s="166">
        <f ca="1">IF($D88&lt;&gt;"Serviço","",
          IF(AUTOEVENTO="manual",$A88,
                IF(ISERROR(MATCH($A88,$A$15:OFFSET($A88,-1,0),0)),MAX($M$15:OFFSET(M88,-1,0))+1,
                      INDEX($M$15:OFFSET(M88,-1,0),MATCH($A88,$A$15:OFFSET($A88,-1,0),0)))))</f>
        <v>4</v>
      </c>
      <c r="N88" s="167" t="str">
        <f ca="1">IF($D88&lt;&gt;"Serviço","",
         IF(AUTOEVENTO="Manual",
                IF($A88=0,"&lt;-- defina o número do agrupador",
                       OFFSET(EVENTOS!$D$15,$A88-$A$15,0)),
                OFFSET($F$15,$A88,0)))</f>
        <v>INFRAESTRUTURA</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1000000000000</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12.75" x14ac:dyDescent="0.2">
      <c r="A89" s="7" t="str">
        <f t="shared" ca="1" si="8"/>
        <v>9</v>
      </c>
      <c r="B89" s="7">
        <f ca="1">OFFSET(ORÇAMENTO!C$15,$L89,0)</f>
        <v>3</v>
      </c>
      <c r="C89" s="7" t="str">
        <f ca="1">OFFSET(ORÇAMENTO!L$15,$L89,0)</f>
        <v>F</v>
      </c>
      <c r="D89" s="116" t="str">
        <f ca="1">OFFSET(ORÇAMENTO!N$15,$L89,0)</f>
        <v>Nível 3</v>
      </c>
      <c r="E89" s="117" t="str">
        <f ca="1">OFFSET(ORÇAMENTO!O$15,$L89,0)</f>
        <v>1.4.11.</v>
      </c>
      <c r="F89" s="163" t="str">
        <f ca="1">OFFSET(ORÇAMENTO!R$15,$L89,0)</f>
        <v>PILARES - RESERVATÓRIO</v>
      </c>
      <c r="G89" s="164" t="str">
        <f ca="1">IF($D89&lt;&gt;"Serviço","",OFFSET(ORÇAMENTO!S$15,$L89,0))</f>
        <v/>
      </c>
      <c r="H89" s="122" cm="1">
        <f t="array" aca="1" ref="H89" ca="1">IF($D89&lt;&gt;"Serviço",0,IF(ACOMPANHAMENTO="BM",ROUND(OFFSET(ORÇAMENTO!AJ$15,$L89,0),15-13*ORÇAMENTO!$AF$7),IF(IFERROR(CÁLCULO.FrentesPreenchidas,0)=0,0,SUM(ROUND(OFFSET($P89,0,1,1,CÁLCULO.FrentesPreenchidas),15-13*ORÇAMENTO!$AF$7)))))</f>
        <v>0</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c r="L89" s="165">
        <f t="shared" ca="1" si="9"/>
        <v>74</v>
      </c>
      <c r="M89" s="166" t="str">
        <f ca="1">IF($D89&lt;&gt;"Serviço","",
          IF(AUTOEVENTO="manual",$A89,
                IF(ISERROR(MATCH($A89,$A$15:OFFSET($A89,-1,0),0)),MAX($M$15:OFFSET(M89,-1,0))+1,
                      INDEX($M$15:OFFSET(M89,-1,0),MATCH($A89,$A$15:OFFSET($A89,-1,0),0)))))</f>
        <v/>
      </c>
      <c r="N89" s="167" t="str">
        <f ca="1">IF($D89&lt;&gt;"Serviço","",
         IF(AUTOEVENTO="Manual",
                IF($A89=0,"&lt;-- defina o número do agrupador",
                       OFFSET(EVENTOS!$D$15,$A89-$A$15,0)),
                OFFSET($F$15,$A89,0)))</f>
        <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0</v>
      </c>
      <c r="AN89" s="171">
        <f ca="1">IF(OR($D89&lt;&gt;"Serviço",AND(AUTOEVENTO="Manual",$M89=$A$15)),0,
         IF(OFFSET(CRONOPLE!$F$15,$M89-$A$15,AN$13)=0,10^12,OFFSET(CRONOPLE!$F$15,$M89-$A$15,AN$13)))</f>
        <v>0</v>
      </c>
      <c r="AO89" s="171">
        <f ca="1">IF(OR($D89&lt;&gt;"Serviço",AND(AUTOEVENTO="Manual",$M89=$A$15)),0,
         IF(OFFSET(CRONOPLE!$F$15,$M89-$A$15,AO$13)=0,10^12,OFFSET(CRONOPLE!$F$15,$M89-$A$15,AO$13)))</f>
        <v>0</v>
      </c>
      <c r="AP89" s="171">
        <f ca="1">IF(OR($D89&lt;&gt;"Serviço",AND(AUTOEVENTO="Manual",$M89=$A$15)),0,
         IF(OFFSET(CRONOPLE!$F$15,$M89-$A$15,AP$13)=0,10^12,OFFSET(CRONOPLE!$F$15,$M89-$A$15,AP$13)))</f>
        <v>0</v>
      </c>
      <c r="AQ89" s="171">
        <f ca="1">IF(OR($D89&lt;&gt;"Serviço",AND(AUTOEVENTO="Manual",$M89=$A$15)),0,
         IF(OFFSET(CRONOPLE!$F$15,$M89-$A$15,AQ$13)=0,10^12,OFFSET(CRONOPLE!$F$15,$M89-$A$15,AQ$13)))</f>
        <v>0</v>
      </c>
      <c r="AR89" s="171">
        <f ca="1">IF(OR($D89&lt;&gt;"Serviço",AND(AUTOEVENTO="Manual",$M89=$A$15)),0,
         IF(OFFSET(CRONOPLE!$F$15,$M89-$A$15,AR$13)=0,10^12,OFFSET(CRONOPLE!$F$15,$M89-$A$15,AR$13)))</f>
        <v>0</v>
      </c>
      <c r="AS89" s="171">
        <f ca="1">IF(OR($D89&lt;&gt;"Serviço",AND(AUTOEVENTO="Manual",$M89=$A$15)),0,
         IF(OFFSET(CRONOPLE!$F$15,$M89-$A$15,AS$13)=0,10^12,OFFSET(CRONOPLE!$F$15,$M89-$A$15,AS$13)))</f>
        <v>0</v>
      </c>
      <c r="AT89" s="171">
        <f ca="1">IF(OR($D89&lt;&gt;"Serviço",AND(AUTOEVENTO="Manual",$M89=$A$15)),0,
         IF(OFFSET(CRONOPLE!$F$15,$M89-$A$15,AT$13)=0,10^12,OFFSET(CRONOPLE!$F$15,$M89-$A$15,AT$13)))</f>
        <v>0</v>
      </c>
      <c r="AU89" s="171">
        <f ca="1">IF(OR($D89&lt;&gt;"Serviço",AND(AUTOEVENTO="Manual",$M89=$A$15)),0,
         IF(OFFSET(CRONOPLE!$F$15,$M89-$A$15,AU$13)=0,10^12,OFFSET(CRONOPLE!$F$15,$M89-$A$15,AU$13)))</f>
        <v>0</v>
      </c>
      <c r="AV89" s="171">
        <f ca="1">IF(OR($D89&lt;&gt;"Serviço",AND(AUTOEVENTO="Manual",$M89=$A$15)),0,
         IF(OFFSET(CRONOPLE!$F$15,$M89-$A$15,AV$13)=0,10^12,OFFSET(CRONOPLE!$F$15,$M89-$A$15,AV$13)))</f>
        <v>0</v>
      </c>
      <c r="AX89" s="172" cm="1">
        <f t="array" aca="1" ref="AX89" ca="1">IF(OR($D89&lt;&gt;"Serviço",AND(AUTOEVENTO="Manual",$M89=$A$15),$M89&gt;(ROW(PLE.lastrow)-ROW(PLE.firstrow))),0,
           IF(OFFSET(PLE!$G$15,$M89-$A$15,AX$13)="",10^12,OFFSET(PLE!$G$15,$M89-$A$15,AX$13)))</f>
        <v>0</v>
      </c>
      <c r="AY89" s="172" cm="1">
        <f t="array" aca="1" ref="AY89" ca="1">IF(OR($D89&lt;&gt;"Serviço",AND(AUTOEVENTO="Manual",$M89=$A$15),$M89&gt;(ROW(PLE.lastrow)-ROW(PLE.firstrow))),0,
           IF(OFFSET(PLE!$G$15,$M89-$A$15,AY$13)="",10^12,OFFSET(PLE!$G$15,$M89-$A$15,AY$13)))</f>
        <v>0</v>
      </c>
      <c r="AZ89" s="172" cm="1">
        <f t="array" aca="1" ref="AZ89" ca="1">IF(OR($D89&lt;&gt;"Serviço",AND(AUTOEVENTO="Manual",$M89=$A$15),$M89&gt;(ROW(PLE.lastrow)-ROW(PLE.firstrow))),0,
           IF(OFFSET(PLE!$G$15,$M89-$A$15,AZ$13)="",10^12,OFFSET(PLE!$G$15,$M89-$A$15,AZ$13)))</f>
        <v>0</v>
      </c>
      <c r="BA89" s="172" cm="1">
        <f t="array" aca="1" ref="BA89" ca="1">IF(OR($D89&lt;&gt;"Serviço",AND(AUTOEVENTO="Manual",$M89=$A$15),$M89&gt;(ROW(PLE.lastrow)-ROW(PLE.firstrow))),0,
           IF(OFFSET(PLE!$G$15,$M89-$A$15,BA$13)="",10^12,OFFSET(PLE!$G$15,$M89-$A$15,BA$13)))</f>
        <v>0</v>
      </c>
      <c r="BB89" s="172" cm="1">
        <f t="array" aca="1" ref="BB89" ca="1">IF(OR($D89&lt;&gt;"Serviço",AND(AUTOEVENTO="Manual",$M89=$A$15),$M89&gt;(ROW(PLE.lastrow)-ROW(PLE.firstrow))),0,
           IF(OFFSET(PLE!$G$15,$M89-$A$15,BB$13)="",10^12,OFFSET(PLE!$G$15,$M89-$A$15,BB$13)))</f>
        <v>0</v>
      </c>
      <c r="BC89" s="172" cm="1">
        <f t="array" aca="1" ref="BC89" ca="1">IF(OR($D89&lt;&gt;"Serviço",AND(AUTOEVENTO="Manual",$M89=$A$15),$M89&gt;(ROW(PLE.lastrow)-ROW(PLE.firstrow))),0,
           IF(OFFSET(PLE!$G$15,$M89-$A$15,BC$13)="",10^12,OFFSET(PLE!$G$15,$M89-$A$15,BC$13)))</f>
        <v>0</v>
      </c>
      <c r="BD89" s="172" cm="1">
        <f t="array" aca="1" ref="BD89" ca="1">IF(OR($D89&lt;&gt;"Serviço",AND(AUTOEVENTO="Manual",$M89=$A$15),$M89&gt;(ROW(PLE.lastrow)-ROW(PLE.firstrow))),0,
           IF(OFFSET(PLE!$G$15,$M89-$A$15,BD$13)="",10^12,OFFSET(PLE!$G$15,$M89-$A$15,BD$13)))</f>
        <v>0</v>
      </c>
      <c r="BE89" s="172" cm="1">
        <f t="array" aca="1" ref="BE89" ca="1">IF(OR($D89&lt;&gt;"Serviço",AND(AUTOEVENTO="Manual",$M89=$A$15),$M89&gt;(ROW(PLE.lastrow)-ROW(PLE.firstrow))),0,
           IF(OFFSET(PLE!$G$15,$M89-$A$15,BE$13)="",10^12,OFFSET(PLE!$G$15,$M89-$A$15,BE$13)))</f>
        <v>0</v>
      </c>
      <c r="BF89" s="172" cm="1">
        <f t="array" aca="1" ref="BF89" ca="1">IF(OR($D89&lt;&gt;"Serviço",AND(AUTOEVENTO="Manual",$M89=$A$15),$M89&gt;(ROW(PLE.lastrow)-ROW(PLE.firstrow))),0,
           IF(OFFSET(PLE!$G$15,$M89-$A$15,BF$13)="",10^12,OFFSET(PLE!$G$15,$M89-$A$15,BF$13)))</f>
        <v>0</v>
      </c>
      <c r="BG89" s="172" cm="1">
        <f t="array" aca="1" ref="BG89" ca="1">IF(OR($D89&lt;&gt;"Serviço",AND(AUTOEVENTO="Manual",$M89=$A$15),$M89&gt;(ROW(PLE.lastrow)-ROW(PLE.firstrow))),0,
           IF(OFFSET(PLE!$G$15,$M89-$A$15,BG$13)="",10^12,OFFSET(PLE!$G$15,$M89-$A$15,BG$13)))</f>
        <v>0</v>
      </c>
    </row>
    <row r="90" spans="1:59" ht="51" x14ac:dyDescent="0.2">
      <c r="A90" s="7" t="str">
        <f t="shared" ca="1" si="8"/>
        <v>9</v>
      </c>
      <c r="B90" s="7" t="str">
        <f ca="1">OFFSET(ORÇAMENTO!C$15,$L90,0)</f>
        <v>S</v>
      </c>
      <c r="C90" s="7" t="str">
        <f ca="1">OFFSET(ORÇAMENTO!L$15,$L90,0)</f>
        <v>F</v>
      </c>
      <c r="D90" s="116" t="str">
        <f ca="1">OFFSET(ORÇAMENTO!N$15,$L90,0)</f>
        <v>Serviço</v>
      </c>
      <c r="E90" s="117" t="str">
        <f ca="1">OFFSET(ORÇAMENTO!O$15,$L90,0)</f>
        <v>1.4.11.0.1.</v>
      </c>
      <c r="F90" s="163" t="str">
        <f ca="1">OFFSET(ORÇAMENTO!R$15,$L90,0)</f>
        <v>MONTAGEM E DESMONTAGEM DE FÔRMA DE PILARES RETANGULARES E ESTRUTURAS SIMILARES, PÉ-DIREITO SIMPLES, EM CHAPA DE MADEIRA COMPENSADA PLASTIFICADA, 14 UTILIZAÇÕES. AF_09/2020</v>
      </c>
      <c r="G90" s="164" t="str">
        <f ca="1">IF($D90&lt;&gt;"Serviço","",OFFSET(ORÇAMENTO!S$15,$L90,0))</f>
        <v>M2</v>
      </c>
      <c r="H90" s="122" cm="1">
        <f t="array" aca="1" ref="H90" ca="1">IF($D90&lt;&gt;"Serviço",0,IF(ACOMPANHAMENTO="BM",ROUND(OFFSET(ORÇAMENTO!AJ$15,$L90,0),15-13*ORÇAMENTO!$AF$7),IF(IFERROR(CÁLCULO.FrentesPreenchidas,0)=0,0,SUM(ROUND(OFFSET($P90,0,1,1,CÁLCULO.FrentesPreenchidas),15-13*ORÇAMENTO!$AF$7)))))</f>
        <v>17.66</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c r="L90" s="165">
        <f t="shared" ca="1" si="9"/>
        <v>75</v>
      </c>
      <c r="M90" s="166">
        <f ca="1">IF($D90&lt;&gt;"Serviço","",
          IF(AUTOEVENTO="manual",$A90,
                IF(ISERROR(MATCH($A90,$A$15:OFFSET($A90,-1,0),0)),MAX($M$15:OFFSET(M90,-1,0))+1,
                      INDEX($M$15:OFFSET(M90,-1,0),MATCH($A90,$A$15:OFFSET($A90,-1,0),0)))))</f>
        <v>4</v>
      </c>
      <c r="N90" s="167" t="str">
        <f ca="1">IF($D90&lt;&gt;"Serviço","",
         IF(AUTOEVENTO="Manual",
                IF($A90=0,"&lt;-- defina o número do agrupador",
                       OFFSET(EVENTOS!$D$15,$A90-$A$15,0)),
                OFFSET($F$15,$A90,0)))</f>
        <v>INFRAESTRUTURA</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1000000000000</v>
      </c>
      <c r="AN90" s="171">
        <f ca="1">IF(OR($D90&lt;&gt;"Serviço",AND(AUTOEVENTO="Manual",$M90=$A$15)),0,
         IF(OFFSET(CRONOPLE!$F$15,$M90-$A$15,AN$13)=0,10^12,OFFSET(CRONOPLE!$F$15,$M90-$A$15,AN$13)))</f>
        <v>1000000000000</v>
      </c>
      <c r="AO90" s="171">
        <f ca="1">IF(OR($D90&lt;&gt;"Serviço",AND(AUTOEVENTO="Manual",$M90=$A$15)),0,
         IF(OFFSET(CRONOPLE!$F$15,$M90-$A$15,AO$13)=0,10^12,OFFSET(CRONOPLE!$F$15,$M90-$A$15,AO$13)))</f>
        <v>1000000000000</v>
      </c>
      <c r="AP90" s="171">
        <f ca="1">IF(OR($D90&lt;&gt;"Serviço",AND(AUTOEVENTO="Manual",$M90=$A$15)),0,
         IF(OFFSET(CRONOPLE!$F$15,$M90-$A$15,AP$13)=0,10^12,OFFSET(CRONOPLE!$F$15,$M90-$A$15,AP$13)))</f>
        <v>1000000000000</v>
      </c>
      <c r="AQ90" s="171">
        <f ca="1">IF(OR($D90&lt;&gt;"Serviço",AND(AUTOEVENTO="Manual",$M90=$A$15)),0,
         IF(OFFSET(CRONOPLE!$F$15,$M90-$A$15,AQ$13)=0,10^12,OFFSET(CRONOPLE!$F$15,$M90-$A$15,AQ$13)))</f>
        <v>1000000000000</v>
      </c>
      <c r="AR90" s="171">
        <f ca="1">IF(OR($D90&lt;&gt;"Serviço",AND(AUTOEVENTO="Manual",$M90=$A$15)),0,
         IF(OFFSET(CRONOPLE!$F$15,$M90-$A$15,AR$13)=0,10^12,OFFSET(CRONOPLE!$F$15,$M90-$A$15,AR$13)))</f>
        <v>1000000000000</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cm="1">
        <f t="array" aca="1" ref="AX90" ca="1">IF(OR($D90&lt;&gt;"Serviço",AND(AUTOEVENTO="Manual",$M90=$A$15),$M90&gt;(ROW(PLE.lastrow)-ROW(PLE.firstrow))),0,
           IF(OFFSET(PLE!$G$15,$M90-$A$15,AX$13)="",10^12,OFFSET(PLE!$G$15,$M90-$A$15,AX$13)))</f>
        <v>1000000000000</v>
      </c>
      <c r="AY90" s="172" cm="1">
        <f t="array" aca="1" ref="AY90" ca="1">IF(OR($D90&lt;&gt;"Serviço",AND(AUTOEVENTO="Manual",$M90=$A$15),$M90&gt;(ROW(PLE.lastrow)-ROW(PLE.firstrow))),0,
           IF(OFFSET(PLE!$G$15,$M90-$A$15,AY$13)="",10^12,OFFSET(PLE!$G$15,$M90-$A$15,AY$13)))</f>
        <v>1000000000000</v>
      </c>
      <c r="AZ90" s="172" cm="1">
        <f t="array" aca="1" ref="AZ90" ca="1">IF(OR($D90&lt;&gt;"Serviço",AND(AUTOEVENTO="Manual",$M90=$A$15),$M90&gt;(ROW(PLE.lastrow)-ROW(PLE.firstrow))),0,
           IF(OFFSET(PLE!$G$15,$M90-$A$15,AZ$13)="",10^12,OFFSET(PLE!$G$15,$M90-$A$15,AZ$13)))</f>
        <v>1000000000000</v>
      </c>
      <c r="BA90" s="172" cm="1">
        <f t="array" aca="1" ref="BA90" ca="1">IF(OR($D90&lt;&gt;"Serviço",AND(AUTOEVENTO="Manual",$M90=$A$15),$M90&gt;(ROW(PLE.lastrow)-ROW(PLE.firstrow))),0,
           IF(OFFSET(PLE!$G$15,$M90-$A$15,BA$13)="",10^12,OFFSET(PLE!$G$15,$M90-$A$15,BA$13)))</f>
        <v>1000000000000</v>
      </c>
      <c r="BB90" s="172" cm="1">
        <f t="array" aca="1" ref="BB90" ca="1">IF(OR($D90&lt;&gt;"Serviço",AND(AUTOEVENTO="Manual",$M90=$A$15),$M90&gt;(ROW(PLE.lastrow)-ROW(PLE.firstrow))),0,
           IF(OFFSET(PLE!$G$15,$M90-$A$15,BB$13)="",10^12,OFFSET(PLE!$G$15,$M90-$A$15,BB$13)))</f>
        <v>1000000000000</v>
      </c>
      <c r="BC90" s="172" cm="1">
        <f t="array" aca="1" ref="BC90" ca="1">IF(OR($D90&lt;&gt;"Serviço",AND(AUTOEVENTO="Manual",$M90=$A$15),$M90&gt;(ROW(PLE.lastrow)-ROW(PLE.firstrow))),0,
           IF(OFFSET(PLE!$G$15,$M90-$A$15,BC$13)="",10^12,OFFSET(PLE!$G$15,$M90-$A$15,BC$13)))</f>
        <v>1000000000000</v>
      </c>
      <c r="BD90" s="172" cm="1">
        <f t="array" aca="1" ref="BD90" ca="1">IF(OR($D90&lt;&gt;"Serviço",AND(AUTOEVENTO="Manual",$M90=$A$15),$M90&gt;(ROW(PLE.lastrow)-ROW(PLE.firstrow))),0,
           IF(OFFSET(PLE!$G$15,$M90-$A$15,BD$13)="",10^12,OFFSET(PLE!$G$15,$M90-$A$15,BD$13)))</f>
        <v>1000000000000</v>
      </c>
      <c r="BE90" s="172" cm="1">
        <f t="array" aca="1" ref="BE90" ca="1">IF(OR($D90&lt;&gt;"Serviço",AND(AUTOEVENTO="Manual",$M90=$A$15),$M90&gt;(ROW(PLE.lastrow)-ROW(PLE.firstrow))),0,
           IF(OFFSET(PLE!$G$15,$M90-$A$15,BE$13)="",10^12,OFFSET(PLE!$G$15,$M90-$A$15,BE$13)))</f>
        <v>1000000000000</v>
      </c>
      <c r="BF90" s="172" cm="1">
        <f t="array" aca="1" ref="BF90" ca="1">IF(OR($D90&lt;&gt;"Serviço",AND(AUTOEVENTO="Manual",$M90=$A$15),$M90&gt;(ROW(PLE.lastrow)-ROW(PLE.firstrow))),0,
           IF(OFFSET(PLE!$G$15,$M90-$A$15,BF$13)="",10^12,OFFSET(PLE!$G$15,$M90-$A$15,BF$13)))</f>
        <v>1000000000000</v>
      </c>
      <c r="BG90" s="172" cm="1">
        <f t="array" aca="1" ref="BG90" ca="1">IF(OR($D90&lt;&gt;"Serviço",AND(AUTOEVENTO="Manual",$M90=$A$15),$M90&gt;(ROW(PLE.lastrow)-ROW(PLE.firstrow))),0,
           IF(OFFSET(PLE!$G$15,$M90-$A$15,BG$13)="",10^12,OFFSET(PLE!$G$15,$M90-$A$15,BG$13)))</f>
        <v>1000000000000</v>
      </c>
    </row>
    <row r="91" spans="1:59" ht="38.25" x14ac:dyDescent="0.2">
      <c r="A91" s="7" t="str">
        <f t="shared" ca="1" si="8"/>
        <v>9</v>
      </c>
      <c r="B91" s="7" t="str">
        <f ca="1">OFFSET(ORÇAMENTO!C$15,$L91,0)</f>
        <v>S</v>
      </c>
      <c r="C91" s="7" t="str">
        <f ca="1">OFFSET(ORÇAMENTO!L$15,$L91,0)</f>
        <v>F</v>
      </c>
      <c r="D91" s="116" t="str">
        <f ca="1">OFFSET(ORÇAMENTO!N$15,$L91,0)</f>
        <v>Serviço</v>
      </c>
      <c r="E91" s="117" t="str">
        <f ca="1">OFFSET(ORÇAMENTO!O$15,$L91,0)</f>
        <v>1.4.11.0.2.</v>
      </c>
      <c r="F91" s="163" t="str">
        <f ca="1">OFFSET(ORÇAMENTO!R$15,$L91,0)</f>
        <v>ARMAÇÃO DE PILAR OU VIGA DE ESTRUTURA DE CONCRETO ARMADO EMBUTIDA EM ALVENARIA DE VEDAÇÃO UTILIZANDO AÇO CA-60 DE 5,0 MM - MONTAGEM. AF_06/2022</v>
      </c>
      <c r="G91" s="164" t="str">
        <f ca="1">IF($D91&lt;&gt;"Serviço","",OFFSET(ORÇAMENTO!S$15,$L91,0))</f>
        <v>KG</v>
      </c>
      <c r="H91" s="122" cm="1">
        <f t="array" aca="1" ref="H91" ca="1">IF($D91&lt;&gt;"Serviço",0,IF(ACOMPANHAMENTO="BM",ROUND(OFFSET(ORÇAMENTO!AJ$15,$L91,0),15-13*ORÇAMENTO!$AF$7),IF(IFERROR(CÁLCULO.FrentesPreenchidas,0)=0,0,SUM(ROUND(OFFSET($P91,0,1,1,CÁLCULO.FrentesPreenchidas),15-13*ORÇAMENTO!$AF$7)))))</f>
        <v>90.9</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9"/>
        <v>76</v>
      </c>
      <c r="M91" s="166">
        <f ca="1">IF($D91&lt;&gt;"Serviço","",
          IF(AUTOEVENTO="manual",$A91,
                IF(ISERROR(MATCH($A91,$A$15:OFFSET($A91,-1,0),0)),MAX($M$15:OFFSET(M91,-1,0))+1,
                      INDEX($M$15:OFFSET(M91,-1,0),MATCH($A91,$A$15:OFFSET($A91,-1,0),0)))))</f>
        <v>4</v>
      </c>
      <c r="N91" s="167" t="str">
        <f ca="1">IF($D91&lt;&gt;"Serviço","",
         IF(AUTOEVENTO="Manual",
                IF($A91=0,"&lt;-- defina o número do agrupador",
                       OFFSET(EVENTOS!$D$15,$A91-$A$15,0)),
                OFFSET($F$15,$A91,0)))</f>
        <v>INFRAESTRUTURA</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1000000000000</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38.25" x14ac:dyDescent="0.2">
      <c r="A92" s="7" t="str">
        <f t="shared" ca="1" si="8"/>
        <v>9</v>
      </c>
      <c r="B92" s="7" t="str">
        <f ca="1">OFFSET(ORÇAMENTO!C$15,$L92,0)</f>
        <v>S</v>
      </c>
      <c r="C92" s="7" t="str">
        <f ca="1">OFFSET(ORÇAMENTO!L$15,$L92,0)</f>
        <v>F</v>
      </c>
      <c r="D92" s="116" t="str">
        <f ca="1">OFFSET(ORÇAMENTO!N$15,$L92,0)</f>
        <v>Serviço</v>
      </c>
      <c r="E92" s="117" t="str">
        <f ca="1">OFFSET(ORÇAMENTO!O$15,$L92,0)</f>
        <v>1.4.11.0.3.</v>
      </c>
      <c r="F92" s="163" t="str">
        <f ca="1">OFFSET(ORÇAMENTO!R$15,$L92,0)</f>
        <v>ARMAÇÃO DE PILAR OU VIGA DE ESTRUTURA DE CONCRETO ARMADO EMBUTIDA EM ALVENARIA DE VEDAÇÃO UTILIZANDO AÇO CA-50 DE 10,0 MM - MONTAGEM. AF_06/2022</v>
      </c>
      <c r="G92" s="164" t="str">
        <f ca="1">IF($D92&lt;&gt;"Serviço","",OFFSET(ORÇAMENTO!S$15,$L92,0))</f>
        <v>KG</v>
      </c>
      <c r="H92" s="122" cm="1">
        <f t="array" aca="1" ref="H92" ca="1">IF($D92&lt;&gt;"Serviço",0,IF(ACOMPANHAMENTO="BM",ROUND(OFFSET(ORÇAMENTO!AJ$15,$L92,0),15-13*ORÇAMENTO!$AF$7),IF(IFERROR(CÁLCULO.FrentesPreenchidas,0)=0,0,SUM(ROUND(OFFSET($P92,0,1,1,CÁLCULO.FrentesPreenchidas),15-13*ORÇAMENTO!$AF$7)))))</f>
        <v>222</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c r="L92" s="165">
        <f t="shared" ca="1" si="9"/>
        <v>77</v>
      </c>
      <c r="M92" s="166">
        <f ca="1">IF($D92&lt;&gt;"Serviço","",
          IF(AUTOEVENTO="manual",$A92,
                IF(ISERROR(MATCH($A92,$A$15:OFFSET($A92,-1,0),0)),MAX($M$15:OFFSET(M92,-1,0))+1,
                      INDEX($M$15:OFFSET(M92,-1,0),MATCH($A92,$A$15:OFFSET($A92,-1,0),0)))))</f>
        <v>4</v>
      </c>
      <c r="N92" s="167" t="str">
        <f ca="1">IF($D92&lt;&gt;"Serviço","",
         IF(AUTOEVENTO="Manual",
                IF($A92=0,"&lt;-- defina o número do agrupador",
                       OFFSET(EVENTOS!$D$15,$A92-$A$15,0)),
                OFFSET($F$15,$A92,0)))</f>
        <v>INFRAESTRUTURA</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1000000000000</v>
      </c>
      <c r="AN92" s="171">
        <f ca="1">IF(OR($D92&lt;&gt;"Serviço",AND(AUTOEVENTO="Manual",$M92=$A$15)),0,
         IF(OFFSET(CRONOPLE!$F$15,$M92-$A$15,AN$13)=0,10^12,OFFSET(CRONOPLE!$F$15,$M92-$A$15,AN$13)))</f>
        <v>1000000000000</v>
      </c>
      <c r="AO92" s="171">
        <f ca="1">IF(OR($D92&lt;&gt;"Serviço",AND(AUTOEVENTO="Manual",$M92=$A$15)),0,
         IF(OFFSET(CRONOPLE!$F$15,$M92-$A$15,AO$13)=0,10^12,OFFSET(CRONOPLE!$F$15,$M92-$A$15,AO$13)))</f>
        <v>1000000000000</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25.5" x14ac:dyDescent="0.2">
      <c r="A93" s="7" t="str">
        <f t="shared" ca="1" si="8"/>
        <v>9</v>
      </c>
      <c r="B93" s="7" t="str">
        <f ca="1">OFFSET(ORÇAMENTO!C$15,$L93,0)</f>
        <v>S</v>
      </c>
      <c r="C93" s="7" t="str">
        <f ca="1">OFFSET(ORÇAMENTO!L$15,$L93,0)</f>
        <v>F</v>
      </c>
      <c r="D93" s="116" t="str">
        <f ca="1">OFFSET(ORÇAMENTO!N$15,$L93,0)</f>
        <v>Serviço</v>
      </c>
      <c r="E93" s="117" t="str">
        <f ca="1">OFFSET(ORÇAMENTO!O$15,$L93,0)</f>
        <v>1.4.11.0.4.</v>
      </c>
      <c r="F93" s="163" t="str">
        <f ca="1">OFFSET(ORÇAMENTO!R$15,$L93,0)</f>
        <v>CONCRETAGEM DE PILARES, FCK = 25 MPA, COM USO DE BOMBA - LANÇAMENTO, ADENSAMENTO E ACABAMENTO. AF_02/2022_PS</v>
      </c>
      <c r="G93" s="164" t="str">
        <f ca="1">IF($D93&lt;&gt;"Serviço","",OFFSET(ORÇAMENTO!S$15,$L93,0))</f>
        <v>M3</v>
      </c>
      <c r="H93" s="122" cm="1">
        <f t="array" aca="1" ref="H93" ca="1">IF($D93&lt;&gt;"Serviço",0,IF(ACOMPANHAMENTO="BM",ROUND(OFFSET(ORÇAMENTO!AJ$15,$L93,0),15-13*ORÇAMENTO!$AF$7),IF(IFERROR(CÁLCULO.FrentesPreenchidas,0)=0,0,SUM(ROUND(OFFSET($P93,0,1,1,CÁLCULO.FrentesPreenchidas),15-13*ORÇAMENTO!$AF$7)))))</f>
        <v>3.78</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t="shared" ca="1" si="9"/>
        <v>78</v>
      </c>
      <c r="M93" s="166">
        <f ca="1">IF($D93&lt;&gt;"Serviço","",
          IF(AUTOEVENTO="manual",$A93,
                IF(ISERROR(MATCH($A93,$A$15:OFFSET($A93,-1,0),0)),MAX($M$15:OFFSET(M93,-1,0))+1,
                      INDEX($M$15:OFFSET(M93,-1,0),MATCH($A93,$A$15:OFFSET($A93,-1,0),0)))))</f>
        <v>4</v>
      </c>
      <c r="N93" s="167" t="str">
        <f ca="1">IF($D93&lt;&gt;"Serviço","",
         IF(AUTOEVENTO="Manual",
                IF($A93=0,"&lt;-- defina o número do agrupador",
                       OFFSET(EVENTOS!$D$15,$A93-$A$15,0)),
                OFFSET($F$15,$A93,0)))</f>
        <v>INFRAESTRUTURA</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1000000000000</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ht="12.75" x14ac:dyDescent="0.2">
      <c r="A94" s="7" t="str">
        <f t="shared" ca="1" si="8"/>
        <v>9</v>
      </c>
      <c r="B94" s="7">
        <f ca="1">OFFSET(ORÇAMENTO!C$15,$L94,0)</f>
        <v>3</v>
      </c>
      <c r="C94" s="7" t="str">
        <f ca="1">OFFSET(ORÇAMENTO!L$15,$L94,0)</f>
        <v>F</v>
      </c>
      <c r="D94" s="116" t="str">
        <f ca="1">OFFSET(ORÇAMENTO!N$15,$L94,0)</f>
        <v>Nível 3</v>
      </c>
      <c r="E94" s="117" t="str">
        <f ca="1">OFFSET(ORÇAMENTO!O$15,$L94,0)</f>
        <v>1.4.12.</v>
      </c>
      <c r="F94" s="163" t="str">
        <f ca="1">OFFSET(ORÇAMENTO!R$15,$L94,0)</f>
        <v>VIGAS - RESERVATÓRIO</v>
      </c>
      <c r="G94" s="164" t="str">
        <f ca="1">IF($D94&lt;&gt;"Serviço","",OFFSET(ORÇAMENTO!S$15,$L94,0))</f>
        <v/>
      </c>
      <c r="H94" s="122" cm="1">
        <f t="array" aca="1" ref="H94" ca="1">IF($D94&lt;&gt;"Serviço",0,IF(ACOMPANHAMENTO="BM",ROUND(OFFSET(ORÇAMENTO!AJ$15,$L94,0),15-13*ORÇAMENTO!$AF$7),IF(IFERROR(CÁLCULO.FrentesPreenchidas,0)=0,0,SUM(ROUND(OFFSET($P94,0,1,1,CÁLCULO.FrentesPreenchidas),15-13*ORÇAMENTO!$AF$7)))))</f>
        <v>0</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c r="L94" s="165">
        <f t="shared" ca="1" si="9"/>
        <v>79</v>
      </c>
      <c r="M94" s="166" t="str">
        <f ca="1">IF($D94&lt;&gt;"Serviço","",
          IF(AUTOEVENTO="manual",$A94,
                IF(ISERROR(MATCH($A94,$A$15:OFFSET($A94,-1,0),0)),MAX($M$15:OFFSET(M94,-1,0))+1,
                      INDEX($M$15:OFFSET(M94,-1,0),MATCH($A94,$A$15:OFFSET($A94,-1,0),0)))))</f>
        <v/>
      </c>
      <c r="N94" s="167" t="str">
        <f ca="1">IF($D94&lt;&gt;"Serviço","",
         IF(AUTOEVENTO="Manual",
                IF($A94=0,"&lt;-- defina o número do agrupador",
                       OFFSET(EVENTOS!$D$15,$A94-$A$15,0)),
                OFFSET($F$15,$A94,0)))</f>
        <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0</v>
      </c>
      <c r="AN94" s="171">
        <f ca="1">IF(OR($D94&lt;&gt;"Serviço",AND(AUTOEVENTO="Manual",$M94=$A$15)),0,
         IF(OFFSET(CRONOPLE!$F$15,$M94-$A$15,AN$13)=0,10^12,OFFSET(CRONOPLE!$F$15,$M94-$A$15,AN$13)))</f>
        <v>0</v>
      </c>
      <c r="AO94" s="171">
        <f ca="1">IF(OR($D94&lt;&gt;"Serviço",AND(AUTOEVENTO="Manual",$M94=$A$15)),0,
         IF(OFFSET(CRONOPLE!$F$15,$M94-$A$15,AO$13)=0,10^12,OFFSET(CRONOPLE!$F$15,$M94-$A$15,AO$13)))</f>
        <v>0</v>
      </c>
      <c r="AP94" s="171">
        <f ca="1">IF(OR($D94&lt;&gt;"Serviço",AND(AUTOEVENTO="Manual",$M94=$A$15)),0,
         IF(OFFSET(CRONOPLE!$F$15,$M94-$A$15,AP$13)=0,10^12,OFFSET(CRONOPLE!$F$15,$M94-$A$15,AP$13)))</f>
        <v>0</v>
      </c>
      <c r="AQ94" s="171">
        <f ca="1">IF(OR($D94&lt;&gt;"Serviço",AND(AUTOEVENTO="Manual",$M94=$A$15)),0,
         IF(OFFSET(CRONOPLE!$F$15,$M94-$A$15,AQ$13)=0,10^12,OFFSET(CRONOPLE!$F$15,$M94-$A$15,AQ$13)))</f>
        <v>0</v>
      </c>
      <c r="AR94" s="171">
        <f ca="1">IF(OR($D94&lt;&gt;"Serviço",AND(AUTOEVENTO="Manual",$M94=$A$15)),0,
         IF(OFFSET(CRONOPLE!$F$15,$M94-$A$15,AR$13)=0,10^12,OFFSET(CRONOPLE!$F$15,$M94-$A$15,AR$13)))</f>
        <v>0</v>
      </c>
      <c r="AS94" s="171">
        <f ca="1">IF(OR($D94&lt;&gt;"Serviço",AND(AUTOEVENTO="Manual",$M94=$A$15)),0,
         IF(OFFSET(CRONOPLE!$F$15,$M94-$A$15,AS$13)=0,10^12,OFFSET(CRONOPLE!$F$15,$M94-$A$15,AS$13)))</f>
        <v>0</v>
      </c>
      <c r="AT94" s="171">
        <f ca="1">IF(OR($D94&lt;&gt;"Serviço",AND(AUTOEVENTO="Manual",$M94=$A$15)),0,
         IF(OFFSET(CRONOPLE!$F$15,$M94-$A$15,AT$13)=0,10^12,OFFSET(CRONOPLE!$F$15,$M94-$A$15,AT$13)))</f>
        <v>0</v>
      </c>
      <c r="AU94" s="171">
        <f ca="1">IF(OR($D94&lt;&gt;"Serviço",AND(AUTOEVENTO="Manual",$M94=$A$15)),0,
         IF(OFFSET(CRONOPLE!$F$15,$M94-$A$15,AU$13)=0,10^12,OFFSET(CRONOPLE!$F$15,$M94-$A$15,AU$13)))</f>
        <v>0</v>
      </c>
      <c r="AV94" s="171">
        <f ca="1">IF(OR($D94&lt;&gt;"Serviço",AND(AUTOEVENTO="Manual",$M94=$A$15)),0,
         IF(OFFSET(CRONOPLE!$F$15,$M94-$A$15,AV$13)=0,10^12,OFFSET(CRONOPLE!$F$15,$M94-$A$15,AV$13)))</f>
        <v>0</v>
      </c>
      <c r="AX94" s="172" cm="1">
        <f t="array" aca="1" ref="AX94" ca="1">IF(OR($D94&lt;&gt;"Serviço",AND(AUTOEVENTO="Manual",$M94=$A$15),$M94&gt;(ROW(PLE.lastrow)-ROW(PLE.firstrow))),0,
           IF(OFFSET(PLE!$G$15,$M94-$A$15,AX$13)="",10^12,OFFSET(PLE!$G$15,$M94-$A$15,AX$13)))</f>
        <v>0</v>
      </c>
      <c r="AY94" s="172" cm="1">
        <f t="array" aca="1" ref="AY94" ca="1">IF(OR($D94&lt;&gt;"Serviço",AND(AUTOEVENTO="Manual",$M94=$A$15),$M94&gt;(ROW(PLE.lastrow)-ROW(PLE.firstrow))),0,
           IF(OFFSET(PLE!$G$15,$M94-$A$15,AY$13)="",10^12,OFFSET(PLE!$G$15,$M94-$A$15,AY$13)))</f>
        <v>0</v>
      </c>
      <c r="AZ94" s="172" cm="1">
        <f t="array" aca="1" ref="AZ94" ca="1">IF(OR($D94&lt;&gt;"Serviço",AND(AUTOEVENTO="Manual",$M94=$A$15),$M94&gt;(ROW(PLE.lastrow)-ROW(PLE.firstrow))),0,
           IF(OFFSET(PLE!$G$15,$M94-$A$15,AZ$13)="",10^12,OFFSET(PLE!$G$15,$M94-$A$15,AZ$13)))</f>
        <v>0</v>
      </c>
      <c r="BA94" s="172" cm="1">
        <f t="array" aca="1" ref="BA94" ca="1">IF(OR($D94&lt;&gt;"Serviço",AND(AUTOEVENTO="Manual",$M94=$A$15),$M94&gt;(ROW(PLE.lastrow)-ROW(PLE.firstrow))),0,
           IF(OFFSET(PLE!$G$15,$M94-$A$15,BA$13)="",10^12,OFFSET(PLE!$G$15,$M94-$A$15,BA$13)))</f>
        <v>0</v>
      </c>
      <c r="BB94" s="172" cm="1">
        <f t="array" aca="1" ref="BB94" ca="1">IF(OR($D94&lt;&gt;"Serviço",AND(AUTOEVENTO="Manual",$M94=$A$15),$M94&gt;(ROW(PLE.lastrow)-ROW(PLE.firstrow))),0,
           IF(OFFSET(PLE!$G$15,$M94-$A$15,BB$13)="",10^12,OFFSET(PLE!$G$15,$M94-$A$15,BB$13)))</f>
        <v>0</v>
      </c>
      <c r="BC94" s="172" cm="1">
        <f t="array" aca="1" ref="BC94" ca="1">IF(OR($D94&lt;&gt;"Serviço",AND(AUTOEVENTO="Manual",$M94=$A$15),$M94&gt;(ROW(PLE.lastrow)-ROW(PLE.firstrow))),0,
           IF(OFFSET(PLE!$G$15,$M94-$A$15,BC$13)="",10^12,OFFSET(PLE!$G$15,$M94-$A$15,BC$13)))</f>
        <v>0</v>
      </c>
      <c r="BD94" s="172" cm="1">
        <f t="array" aca="1" ref="BD94" ca="1">IF(OR($D94&lt;&gt;"Serviço",AND(AUTOEVENTO="Manual",$M94=$A$15),$M94&gt;(ROW(PLE.lastrow)-ROW(PLE.firstrow))),0,
           IF(OFFSET(PLE!$G$15,$M94-$A$15,BD$13)="",10^12,OFFSET(PLE!$G$15,$M94-$A$15,BD$13)))</f>
        <v>0</v>
      </c>
      <c r="BE94" s="172" cm="1">
        <f t="array" aca="1" ref="BE94" ca="1">IF(OR($D94&lt;&gt;"Serviço",AND(AUTOEVENTO="Manual",$M94=$A$15),$M94&gt;(ROW(PLE.lastrow)-ROW(PLE.firstrow))),0,
           IF(OFFSET(PLE!$G$15,$M94-$A$15,BE$13)="",10^12,OFFSET(PLE!$G$15,$M94-$A$15,BE$13)))</f>
        <v>0</v>
      </c>
      <c r="BF94" s="172" cm="1">
        <f t="array" aca="1" ref="BF94" ca="1">IF(OR($D94&lt;&gt;"Serviço",AND(AUTOEVENTO="Manual",$M94=$A$15),$M94&gt;(ROW(PLE.lastrow)-ROW(PLE.firstrow))),0,
           IF(OFFSET(PLE!$G$15,$M94-$A$15,BF$13)="",10^12,OFFSET(PLE!$G$15,$M94-$A$15,BF$13)))</f>
        <v>0</v>
      </c>
      <c r="BG94" s="172" cm="1">
        <f t="array" aca="1" ref="BG94" ca="1">IF(OR($D94&lt;&gt;"Serviço",AND(AUTOEVENTO="Manual",$M94=$A$15),$M94&gt;(ROW(PLE.lastrow)-ROW(PLE.firstrow))),0,
           IF(OFFSET(PLE!$G$15,$M94-$A$15,BG$13)="",10^12,OFFSET(PLE!$G$15,$M94-$A$15,BG$13)))</f>
        <v>0</v>
      </c>
    </row>
    <row r="95" spans="1:59" ht="38.25" x14ac:dyDescent="0.2">
      <c r="A95" s="7" t="str">
        <f t="shared" ca="1" si="8"/>
        <v>9</v>
      </c>
      <c r="B95" s="7" t="str">
        <f ca="1">OFFSET(ORÇAMENTO!C$15,$L95,0)</f>
        <v>S</v>
      </c>
      <c r="C95" s="7" t="str">
        <f ca="1">OFFSET(ORÇAMENTO!L$15,$L95,0)</f>
        <v>F</v>
      </c>
      <c r="D95" s="116" t="str">
        <f ca="1">OFFSET(ORÇAMENTO!N$15,$L95,0)</f>
        <v>Serviço</v>
      </c>
      <c r="E95" s="117" t="str">
        <f ca="1">OFFSET(ORÇAMENTO!O$15,$L95,0)</f>
        <v>1.4.12.0.1.</v>
      </c>
      <c r="F95" s="163" t="str">
        <f ca="1">OFFSET(ORÇAMENTO!R$15,$L95,0)</f>
        <v>MONTAGEM E DESMONTAGEM DE FÔRMA DE VIGA, ESCORAMENTO COM GARFO DE MADEIRA, PÉ-DIREITO SIMPLES, EM CHAPA DE MADEIRA PLASTIFICADA, 18 UTILIZAÇÕES. AF_09/2020</v>
      </c>
      <c r="G95" s="164" t="str">
        <f ca="1">IF($D95&lt;&gt;"Serviço","",OFFSET(ORÇAMENTO!S$15,$L95,0))</f>
        <v>M2</v>
      </c>
      <c r="H95" s="122" cm="1">
        <f t="array" aca="1" ref="H95" ca="1">IF($D95&lt;&gt;"Serviço",0,IF(ACOMPANHAMENTO="BM",ROUND(OFFSET(ORÇAMENTO!AJ$15,$L95,0),15-13*ORÇAMENTO!$AF$7),IF(IFERROR(CÁLCULO.FrentesPreenchidas,0)=0,0,SUM(ROUND(OFFSET($P95,0,1,1,CÁLCULO.FrentesPreenchidas),15-13*ORÇAMENTO!$AF$7)))))</f>
        <v>6.51</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c r="L95" s="165">
        <f t="shared" ca="1" si="9"/>
        <v>80</v>
      </c>
      <c r="M95" s="166">
        <f ca="1">IF($D95&lt;&gt;"Serviço","",
          IF(AUTOEVENTO="manual",$A95,
                IF(ISERROR(MATCH($A95,$A$15:OFFSET($A95,-1,0),0)),MAX($M$15:OFFSET(M95,-1,0))+1,
                      INDEX($M$15:OFFSET(M95,-1,0),MATCH($A95,$A$15:OFFSET($A95,-1,0),0)))))</f>
        <v>4</v>
      </c>
      <c r="N95" s="167" t="str">
        <f ca="1">IF($D95&lt;&gt;"Serviço","",
         IF(AUTOEVENTO="Manual",
                IF($A95=0,"&lt;-- defina o número do agrupador",
                       OFFSET(EVENTOS!$D$15,$A95-$A$15,0)),
                OFFSET($F$15,$A95,0)))</f>
        <v>INFRAESTRUTURA</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1000000000000</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38.25" x14ac:dyDescent="0.2">
      <c r="A96" s="7" t="str">
        <f t="shared" ca="1" si="8"/>
        <v>9</v>
      </c>
      <c r="B96" s="7" t="str">
        <f ca="1">OFFSET(ORÇAMENTO!C$15,$L96,0)</f>
        <v>S</v>
      </c>
      <c r="C96" s="7" t="str">
        <f ca="1">OFFSET(ORÇAMENTO!L$15,$L96,0)</f>
        <v>F</v>
      </c>
      <c r="D96" s="116" t="str">
        <f ca="1">OFFSET(ORÇAMENTO!N$15,$L96,0)</f>
        <v>Serviço</v>
      </c>
      <c r="E96" s="117" t="str">
        <f ca="1">OFFSET(ORÇAMENTO!O$15,$L96,0)</f>
        <v>1.4.12.0.2.</v>
      </c>
      <c r="F96" s="163" t="str">
        <f ca="1">OFFSET(ORÇAMENTO!R$15,$L96,0)</f>
        <v>ARMAÇÃO DE PILAR OU VIGA DE ESTRUTURA CONVENCIONAL DE CONCRETO ARMADO UTILIZANDO AÇO CA-60 DE 5,0 MM - MONTAGEM. AF_06/2022</v>
      </c>
      <c r="G96" s="164" t="str">
        <f ca="1">IF($D96&lt;&gt;"Serviço","",OFFSET(ORÇAMENTO!S$15,$L96,0))</f>
        <v>KG</v>
      </c>
      <c r="H96" s="122" cm="1">
        <f t="array" aca="1" ref="H96" ca="1">IF($D96&lt;&gt;"Serviço",0,IF(ACOMPANHAMENTO="BM",ROUND(OFFSET(ORÇAMENTO!AJ$15,$L96,0),15-13*ORÇAMENTO!$AF$7),IF(IFERROR(CÁLCULO.FrentesPreenchidas,0)=0,0,SUM(ROUND(OFFSET($P96,0,1,1,CÁLCULO.FrentesPreenchidas),15-13*ORÇAMENTO!$AF$7)))))</f>
        <v>175.8</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c r="L96" s="165">
        <f t="shared" ca="1" si="9"/>
        <v>81</v>
      </c>
      <c r="M96" s="166">
        <f ca="1">IF($D96&lt;&gt;"Serviço","",
          IF(AUTOEVENTO="manual",$A96,
                IF(ISERROR(MATCH($A96,$A$15:OFFSET($A96,-1,0),0)),MAX($M$15:OFFSET(M96,-1,0))+1,
                      INDEX($M$15:OFFSET(M96,-1,0),MATCH($A96,$A$15:OFFSET($A96,-1,0),0)))))</f>
        <v>4</v>
      </c>
      <c r="N96" s="167" t="str">
        <f ca="1">IF($D96&lt;&gt;"Serviço","",
         IF(AUTOEVENTO="Manual",
                IF($A96=0,"&lt;-- defina o número do agrupador",
                       OFFSET(EVENTOS!$D$15,$A96-$A$15,0)),
                OFFSET($F$15,$A96,0)))</f>
        <v>INFRAESTRUTURA</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1000000000000</v>
      </c>
      <c r="AN96" s="171">
        <f ca="1">IF(OR($D96&lt;&gt;"Serviço",AND(AUTOEVENTO="Manual",$M96=$A$15)),0,
         IF(OFFSET(CRONOPLE!$F$15,$M96-$A$15,AN$13)=0,10^12,OFFSET(CRONOPLE!$F$15,$M96-$A$15,AN$13)))</f>
        <v>1000000000000</v>
      </c>
      <c r="AO96" s="171">
        <f ca="1">IF(OR($D96&lt;&gt;"Serviço",AND(AUTOEVENTO="Manual",$M96=$A$15)),0,
         IF(OFFSET(CRONOPLE!$F$15,$M96-$A$15,AO$13)=0,10^12,OFFSET(CRONOPLE!$F$15,$M96-$A$15,AO$13)))</f>
        <v>1000000000000</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ht="38.25" x14ac:dyDescent="0.2">
      <c r="A97" s="7" t="str">
        <f t="shared" ca="1" si="8"/>
        <v>9</v>
      </c>
      <c r="B97" s="7" t="str">
        <f ca="1">OFFSET(ORÇAMENTO!C$15,$L97,0)</f>
        <v>S</v>
      </c>
      <c r="C97" s="7" t="str">
        <f ca="1">OFFSET(ORÇAMENTO!L$15,$L97,0)</f>
        <v>F</v>
      </c>
      <c r="D97" s="116" t="str">
        <f ca="1">OFFSET(ORÇAMENTO!N$15,$L97,0)</f>
        <v>Serviço</v>
      </c>
      <c r="E97" s="117" t="str">
        <f ca="1">OFFSET(ORÇAMENTO!O$15,$L97,0)</f>
        <v>1.4.12.0.3.</v>
      </c>
      <c r="F97" s="163" t="str">
        <f ca="1">OFFSET(ORÇAMENTO!R$15,$L97,0)</f>
        <v>ARMAÇÃO DE PILAR OU VIGA DE ESTRUTURA CONVENCIONAL DE CONCRETO ARMADO UTILIZANDO AÇO CA-50 DE 8,0 MM - MONTAGEM. AF_06/2022</v>
      </c>
      <c r="G97" s="164" t="str">
        <f ca="1">IF($D97&lt;&gt;"Serviço","",OFFSET(ORÇAMENTO!S$15,$L97,0))</f>
        <v>KG</v>
      </c>
      <c r="H97" s="122" cm="1">
        <f t="array" aca="1" ref="H97" ca="1">IF($D97&lt;&gt;"Serviço",0,IF(ACOMPANHAMENTO="BM",ROUND(OFFSET(ORÇAMENTO!AJ$15,$L97,0),15-13*ORÇAMENTO!$AF$7),IF(IFERROR(CÁLCULO.FrentesPreenchidas,0)=0,0,SUM(ROUND(OFFSET($P97,0,1,1,CÁLCULO.FrentesPreenchidas),15-13*ORÇAMENTO!$AF$7)))))</f>
        <v>288</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f t="shared" ca="1" si="9"/>
        <v>82</v>
      </c>
      <c r="M97" s="166">
        <f ca="1">IF($D97&lt;&gt;"Serviço","",
          IF(AUTOEVENTO="manual",$A97,
                IF(ISERROR(MATCH($A97,$A$15:OFFSET($A97,-1,0),0)),MAX($M$15:OFFSET(M97,-1,0))+1,
                      INDEX($M$15:OFFSET(M97,-1,0),MATCH($A97,$A$15:OFFSET($A97,-1,0),0)))))</f>
        <v>4</v>
      </c>
      <c r="N97" s="167" t="str">
        <f ca="1">IF($D97&lt;&gt;"Serviço","",
         IF(AUTOEVENTO="Manual",
                IF($A97=0,"&lt;-- defina o número do agrupador",
                       OFFSET(EVENTOS!$D$15,$A97-$A$15,0)),
                OFFSET($F$15,$A97,0)))</f>
        <v>INFRAESTRUTURA</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1000000000000</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38.25" x14ac:dyDescent="0.2">
      <c r="A98" s="7" t="str">
        <f t="shared" ca="1" si="8"/>
        <v>9</v>
      </c>
      <c r="B98" s="7" t="str">
        <f ca="1">OFFSET(ORÇAMENTO!C$15,$L98,0)</f>
        <v>S</v>
      </c>
      <c r="C98" s="7" t="str">
        <f ca="1">OFFSET(ORÇAMENTO!L$15,$L98,0)</f>
        <v>F</v>
      </c>
      <c r="D98" s="116" t="str">
        <f ca="1">OFFSET(ORÇAMENTO!N$15,$L98,0)</f>
        <v>Serviço</v>
      </c>
      <c r="E98" s="117" t="str">
        <f ca="1">OFFSET(ORÇAMENTO!O$15,$L98,0)</f>
        <v>1.4.12.0.4.</v>
      </c>
      <c r="F98" s="163" t="str">
        <f ca="1">OFFSET(ORÇAMENTO!R$15,$L98,0)</f>
        <v>ARMAÇÃO DE PILAR OU VIGA DE ESTRUTURA CONVENCIONAL DE CONCRETO ARMADO UTILIZANDO AÇO CA-50 DE 10,0 MM - MONTAGEM. AF_06/2022</v>
      </c>
      <c r="G98" s="164" t="str">
        <f ca="1">IF($D98&lt;&gt;"Serviço","",OFFSET(ORÇAMENTO!S$15,$L98,0))</f>
        <v>KG</v>
      </c>
      <c r="H98" s="122" cm="1">
        <f t="array" aca="1" ref="H98" ca="1">IF($D98&lt;&gt;"Serviço",0,IF(ACOMPANHAMENTO="BM",ROUND(OFFSET(ORÇAMENTO!AJ$15,$L98,0),15-13*ORÇAMENTO!$AF$7),IF(IFERROR(CÁLCULO.FrentesPreenchidas,0)=0,0,SUM(ROUND(OFFSET($P98,0,1,1,CÁLCULO.FrentesPreenchidas),15-13*ORÇAMENTO!$AF$7)))))</f>
        <v>147.72</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c r="L98" s="165">
        <f t="shared" ca="1" si="9"/>
        <v>83</v>
      </c>
      <c r="M98" s="166">
        <f ca="1">IF($D98&lt;&gt;"Serviço","",
          IF(AUTOEVENTO="manual",$A98,
                IF(ISERROR(MATCH($A98,$A$15:OFFSET($A98,-1,0),0)),MAX($M$15:OFFSET(M98,-1,0))+1,
                      INDEX($M$15:OFFSET(M98,-1,0),MATCH($A98,$A$15:OFFSET($A98,-1,0),0)))))</f>
        <v>4</v>
      </c>
      <c r="N98" s="167" t="str">
        <f ca="1">IF($D98&lt;&gt;"Serviço","",
         IF(AUTOEVENTO="Manual",
                IF($A98=0,"&lt;-- defina o número do agrupador",
                       OFFSET(EVENTOS!$D$15,$A98-$A$15,0)),
                OFFSET($F$15,$A98,0)))</f>
        <v>INFRAESTRUTURA</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1000000000000</v>
      </c>
      <c r="AN98" s="171">
        <f ca="1">IF(OR($D98&lt;&gt;"Serviço",AND(AUTOEVENTO="Manual",$M98=$A$15)),0,
         IF(OFFSET(CRONOPLE!$F$15,$M98-$A$15,AN$13)=0,10^12,OFFSET(CRONOPLE!$F$15,$M98-$A$15,AN$13)))</f>
        <v>1000000000000</v>
      </c>
      <c r="AO98" s="171">
        <f ca="1">IF(OR($D98&lt;&gt;"Serviço",AND(AUTOEVENTO="Manual",$M98=$A$15)),0,
         IF(OFFSET(CRONOPLE!$F$15,$M98-$A$15,AO$13)=0,10^12,OFFSET(CRONOPLE!$F$15,$M98-$A$15,AO$13)))</f>
        <v>1000000000000</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ht="38.25" x14ac:dyDescent="0.2">
      <c r="A99" s="7" t="str">
        <f t="shared" ca="1" si="8"/>
        <v>9</v>
      </c>
      <c r="B99" s="7" t="str">
        <f ca="1">OFFSET(ORÇAMENTO!C$15,$L99,0)</f>
        <v>S</v>
      </c>
      <c r="C99" s="7" t="str">
        <f ca="1">OFFSET(ORÇAMENTO!L$15,$L99,0)</f>
        <v>F</v>
      </c>
      <c r="D99" s="116" t="str">
        <f ca="1">OFFSET(ORÇAMENTO!N$15,$L99,0)</f>
        <v>Serviço</v>
      </c>
      <c r="E99" s="117" t="str">
        <f ca="1">OFFSET(ORÇAMENTO!O$15,$L99,0)</f>
        <v>1.4.12.0.5.</v>
      </c>
      <c r="F99" s="163" t="str">
        <f ca="1">OFFSET(ORÇAMENTO!R$15,$L99,0)</f>
        <v>CONCRETAGEM DE VIGAS E LAJES, FCK=25 MPA, PARA LAJES MACIÇAS OU NERVURADAS COM USO DE BOMBA - LANÇAMENTO, ADENSAMENTO E ACABAMENTO. AF_02/2022_PS</v>
      </c>
      <c r="G99" s="164" t="str">
        <f ca="1">IF($D99&lt;&gt;"Serviço","",OFFSET(ORÇAMENTO!S$15,$L99,0))</f>
        <v>M3</v>
      </c>
      <c r="H99" s="122" cm="1">
        <f t="array" aca="1" ref="H99" ca="1">IF($D99&lt;&gt;"Serviço",0,IF(ACOMPANHAMENTO="BM",ROUND(OFFSET(ORÇAMENTO!AJ$15,$L99,0),15-13*ORÇAMENTO!$AF$7),IF(IFERROR(CÁLCULO.FrentesPreenchidas,0)=0,0,SUM(ROUND(OFFSET($P99,0,1,1,CÁLCULO.FrentesPreenchidas),15-13*ORÇAMENTO!$AF$7)))))</f>
        <v>11.1</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c r="L99" s="165">
        <f t="shared" ca="1" si="9"/>
        <v>84</v>
      </c>
      <c r="M99" s="166">
        <f ca="1">IF($D99&lt;&gt;"Serviço","",
          IF(AUTOEVENTO="manual",$A99,
                IF(ISERROR(MATCH($A99,$A$15:OFFSET($A99,-1,0),0)),MAX($M$15:OFFSET(M99,-1,0))+1,
                      INDEX($M$15:OFFSET(M99,-1,0),MATCH($A99,$A$15:OFFSET($A99,-1,0),0)))))</f>
        <v>4</v>
      </c>
      <c r="N99" s="167" t="str">
        <f ca="1">IF($D99&lt;&gt;"Serviço","",
         IF(AUTOEVENTO="Manual",
                IF($A99=0,"&lt;-- defina o número do agrupador",
                       OFFSET(EVENTOS!$D$15,$A99-$A$15,0)),
                OFFSET($F$15,$A99,0)))</f>
        <v>INFRAESTRUTURA</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1000000000000</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12.75" x14ac:dyDescent="0.2">
      <c r="A100" s="7" t="str">
        <f t="shared" ca="1" si="8"/>
        <v>9</v>
      </c>
      <c r="B100" s="7">
        <f ca="1">OFFSET(ORÇAMENTO!C$15,$L100,0)</f>
        <v>3</v>
      </c>
      <c r="C100" s="7" t="str">
        <f ca="1">OFFSET(ORÇAMENTO!L$15,$L100,0)</f>
        <v>F</v>
      </c>
      <c r="D100" s="116" t="str">
        <f ca="1">OFFSET(ORÇAMENTO!N$15,$L100,0)</f>
        <v>Nível 3</v>
      </c>
      <c r="E100" s="117" t="str">
        <f ca="1">OFFSET(ORÇAMENTO!O$15,$L100,0)</f>
        <v>1.4.13.</v>
      </c>
      <c r="F100" s="163" t="str">
        <f ca="1">OFFSET(ORÇAMENTO!R$15,$L100,0)</f>
        <v>LAJES - RESERVATÓRIO</v>
      </c>
      <c r="G100" s="164" t="str">
        <f ca="1">IF($D100&lt;&gt;"Serviço","",OFFSET(ORÇAMENTO!S$15,$L100,0))</f>
        <v/>
      </c>
      <c r="H100" s="122" cm="1">
        <f t="array" aca="1" ref="H100" ca="1">IF($D100&lt;&gt;"Serviço",0,IF(ACOMPANHAMENTO="BM",ROUND(OFFSET(ORÇAMENTO!AJ$15,$L100,0),15-13*ORÇAMENTO!$AF$7),IF(IFERROR(CÁLCULO.FrentesPreenchidas,0)=0,0,SUM(ROUND(OFFSET($P100,0,1,1,CÁLCULO.FrentesPreenchidas),15-13*ORÇAMENTO!$AF$7)))))</f>
        <v>0</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c r="L100" s="165">
        <f t="shared" ca="1" si="9"/>
        <v>85</v>
      </c>
      <c r="M100" s="166" t="str">
        <f ca="1">IF($D100&lt;&gt;"Serviço","",
          IF(AUTOEVENTO="manual",$A100,
                IF(ISERROR(MATCH($A100,$A$15:OFFSET($A100,-1,0),0)),MAX($M$15:OFFSET(M100,-1,0))+1,
                      INDEX($M$15:OFFSET(M100,-1,0),MATCH($A100,$A$15:OFFSET($A100,-1,0),0)))))</f>
        <v/>
      </c>
      <c r="N100" s="167" t="str">
        <f ca="1">IF($D100&lt;&gt;"Serviço","",
         IF(AUTOEVENTO="Manual",
                IF($A100=0,"&lt;-- defina o número do agrupador",
                       OFFSET(EVENTOS!$D$15,$A100-$A$15,0)),
                OFFSET($F$15,$A100,0)))</f>
        <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0</v>
      </c>
      <c r="AN100" s="171">
        <f ca="1">IF(OR($D100&lt;&gt;"Serviço",AND(AUTOEVENTO="Manual",$M100=$A$15)),0,
         IF(OFFSET(CRONOPLE!$F$15,$M100-$A$15,AN$13)=0,10^12,OFFSET(CRONOPLE!$F$15,$M100-$A$15,AN$13)))</f>
        <v>0</v>
      </c>
      <c r="AO100" s="171">
        <f ca="1">IF(OR($D100&lt;&gt;"Serviço",AND(AUTOEVENTO="Manual",$M100=$A$15)),0,
         IF(OFFSET(CRONOPLE!$F$15,$M100-$A$15,AO$13)=0,10^12,OFFSET(CRONOPLE!$F$15,$M100-$A$15,AO$13)))</f>
        <v>0</v>
      </c>
      <c r="AP100" s="171">
        <f ca="1">IF(OR($D100&lt;&gt;"Serviço",AND(AUTOEVENTO="Manual",$M100=$A$15)),0,
         IF(OFFSET(CRONOPLE!$F$15,$M100-$A$15,AP$13)=0,10^12,OFFSET(CRONOPLE!$F$15,$M100-$A$15,AP$13)))</f>
        <v>0</v>
      </c>
      <c r="AQ100" s="171">
        <f ca="1">IF(OR($D100&lt;&gt;"Serviço",AND(AUTOEVENTO="Manual",$M100=$A$15)),0,
         IF(OFFSET(CRONOPLE!$F$15,$M100-$A$15,AQ$13)=0,10^12,OFFSET(CRONOPLE!$F$15,$M100-$A$15,AQ$13)))</f>
        <v>0</v>
      </c>
      <c r="AR100" s="171">
        <f ca="1">IF(OR($D100&lt;&gt;"Serviço",AND(AUTOEVENTO="Manual",$M100=$A$15)),0,
         IF(OFFSET(CRONOPLE!$F$15,$M100-$A$15,AR$13)=0,10^12,OFFSET(CRONOPLE!$F$15,$M100-$A$15,AR$13)))</f>
        <v>0</v>
      </c>
      <c r="AS100" s="171">
        <f ca="1">IF(OR($D100&lt;&gt;"Serviço",AND(AUTOEVENTO="Manual",$M100=$A$15)),0,
         IF(OFFSET(CRONOPLE!$F$15,$M100-$A$15,AS$13)=0,10^12,OFFSET(CRONOPLE!$F$15,$M100-$A$15,AS$13)))</f>
        <v>0</v>
      </c>
      <c r="AT100" s="171">
        <f ca="1">IF(OR($D100&lt;&gt;"Serviço",AND(AUTOEVENTO="Manual",$M100=$A$15)),0,
         IF(OFFSET(CRONOPLE!$F$15,$M100-$A$15,AT$13)=0,10^12,OFFSET(CRONOPLE!$F$15,$M100-$A$15,AT$13)))</f>
        <v>0</v>
      </c>
      <c r="AU100" s="171">
        <f ca="1">IF(OR($D100&lt;&gt;"Serviço",AND(AUTOEVENTO="Manual",$M100=$A$15)),0,
         IF(OFFSET(CRONOPLE!$F$15,$M100-$A$15,AU$13)=0,10^12,OFFSET(CRONOPLE!$F$15,$M100-$A$15,AU$13)))</f>
        <v>0</v>
      </c>
      <c r="AV100" s="171">
        <f ca="1">IF(OR($D100&lt;&gt;"Serviço",AND(AUTOEVENTO="Manual",$M100=$A$15)),0,
         IF(OFFSET(CRONOPLE!$F$15,$M100-$A$15,AV$13)=0,10^12,OFFSET(CRONOPLE!$F$15,$M100-$A$15,AV$13)))</f>
        <v>0</v>
      </c>
      <c r="AX100" s="172" cm="1">
        <f t="array" aca="1" ref="AX100" ca="1">IF(OR($D100&lt;&gt;"Serviço",AND(AUTOEVENTO="Manual",$M100=$A$15),$M100&gt;(ROW(PLE.lastrow)-ROW(PLE.firstrow))),0,
           IF(OFFSET(PLE!$G$15,$M100-$A$15,AX$13)="",10^12,OFFSET(PLE!$G$15,$M100-$A$15,AX$13)))</f>
        <v>0</v>
      </c>
      <c r="AY100" s="172" cm="1">
        <f t="array" aca="1" ref="AY100" ca="1">IF(OR($D100&lt;&gt;"Serviço",AND(AUTOEVENTO="Manual",$M100=$A$15),$M100&gt;(ROW(PLE.lastrow)-ROW(PLE.firstrow))),0,
           IF(OFFSET(PLE!$G$15,$M100-$A$15,AY$13)="",10^12,OFFSET(PLE!$G$15,$M100-$A$15,AY$13)))</f>
        <v>0</v>
      </c>
      <c r="AZ100" s="172" cm="1">
        <f t="array" aca="1" ref="AZ100" ca="1">IF(OR($D100&lt;&gt;"Serviço",AND(AUTOEVENTO="Manual",$M100=$A$15),$M100&gt;(ROW(PLE.lastrow)-ROW(PLE.firstrow))),0,
           IF(OFFSET(PLE!$G$15,$M100-$A$15,AZ$13)="",10^12,OFFSET(PLE!$G$15,$M100-$A$15,AZ$13)))</f>
        <v>0</v>
      </c>
      <c r="BA100" s="172" cm="1">
        <f t="array" aca="1" ref="BA100" ca="1">IF(OR($D100&lt;&gt;"Serviço",AND(AUTOEVENTO="Manual",$M100=$A$15),$M100&gt;(ROW(PLE.lastrow)-ROW(PLE.firstrow))),0,
           IF(OFFSET(PLE!$G$15,$M100-$A$15,BA$13)="",10^12,OFFSET(PLE!$G$15,$M100-$A$15,BA$13)))</f>
        <v>0</v>
      </c>
      <c r="BB100" s="172" cm="1">
        <f t="array" aca="1" ref="BB100" ca="1">IF(OR($D100&lt;&gt;"Serviço",AND(AUTOEVENTO="Manual",$M100=$A$15),$M100&gt;(ROW(PLE.lastrow)-ROW(PLE.firstrow))),0,
           IF(OFFSET(PLE!$G$15,$M100-$A$15,BB$13)="",10^12,OFFSET(PLE!$G$15,$M100-$A$15,BB$13)))</f>
        <v>0</v>
      </c>
      <c r="BC100" s="172" cm="1">
        <f t="array" aca="1" ref="BC100" ca="1">IF(OR($D100&lt;&gt;"Serviço",AND(AUTOEVENTO="Manual",$M100=$A$15),$M100&gt;(ROW(PLE.lastrow)-ROW(PLE.firstrow))),0,
           IF(OFFSET(PLE!$G$15,$M100-$A$15,BC$13)="",10^12,OFFSET(PLE!$G$15,$M100-$A$15,BC$13)))</f>
        <v>0</v>
      </c>
      <c r="BD100" s="172" cm="1">
        <f t="array" aca="1" ref="BD100" ca="1">IF(OR($D100&lt;&gt;"Serviço",AND(AUTOEVENTO="Manual",$M100=$A$15),$M100&gt;(ROW(PLE.lastrow)-ROW(PLE.firstrow))),0,
           IF(OFFSET(PLE!$G$15,$M100-$A$15,BD$13)="",10^12,OFFSET(PLE!$G$15,$M100-$A$15,BD$13)))</f>
        <v>0</v>
      </c>
      <c r="BE100" s="172" cm="1">
        <f t="array" aca="1" ref="BE100" ca="1">IF(OR($D100&lt;&gt;"Serviço",AND(AUTOEVENTO="Manual",$M100=$A$15),$M100&gt;(ROW(PLE.lastrow)-ROW(PLE.firstrow))),0,
           IF(OFFSET(PLE!$G$15,$M100-$A$15,BE$13)="",10^12,OFFSET(PLE!$G$15,$M100-$A$15,BE$13)))</f>
        <v>0</v>
      </c>
      <c r="BF100" s="172" cm="1">
        <f t="array" aca="1" ref="BF100" ca="1">IF(OR($D100&lt;&gt;"Serviço",AND(AUTOEVENTO="Manual",$M100=$A$15),$M100&gt;(ROW(PLE.lastrow)-ROW(PLE.firstrow))),0,
           IF(OFFSET(PLE!$G$15,$M100-$A$15,BF$13)="",10^12,OFFSET(PLE!$G$15,$M100-$A$15,BF$13)))</f>
        <v>0</v>
      </c>
      <c r="BG100" s="172" cm="1">
        <f t="array" aca="1" ref="BG100" ca="1">IF(OR($D100&lt;&gt;"Serviço",AND(AUTOEVENTO="Manual",$M100=$A$15),$M100&gt;(ROW(PLE.lastrow)-ROW(PLE.firstrow))),0,
           IF(OFFSET(PLE!$G$15,$M100-$A$15,BG$13)="",10^12,OFFSET(PLE!$G$15,$M100-$A$15,BG$13)))</f>
        <v>0</v>
      </c>
    </row>
    <row r="101" spans="1:59" ht="38.25" x14ac:dyDescent="0.2">
      <c r="A101" s="7" t="str">
        <f t="shared" ca="1" si="8"/>
        <v>9</v>
      </c>
      <c r="B101" s="7" t="str">
        <f ca="1">OFFSET(ORÇAMENTO!C$15,$L101,0)</f>
        <v>S</v>
      </c>
      <c r="C101" s="7" t="str">
        <f ca="1">OFFSET(ORÇAMENTO!L$15,$L101,0)</f>
        <v>F</v>
      </c>
      <c r="D101" s="116" t="str">
        <f ca="1">OFFSET(ORÇAMENTO!N$15,$L101,0)</f>
        <v>Serviço</v>
      </c>
      <c r="E101" s="117" t="str">
        <f ca="1">OFFSET(ORÇAMENTO!O$15,$L101,0)</f>
        <v>1.4.13.0.1.</v>
      </c>
      <c r="F101" s="163" t="str">
        <f ca="1">OFFSET(ORÇAMENTO!R$15,$L101,0)</f>
        <v>LAJE PRÉ-MOLDADA UNIDIRECIONAL, BIAPOIADA, PARA PISO, ENCHIMENTO EM CERÂMICA, VIGOTA TRELIÇADA, ALTURA TOTAL DA LAJE "LT" = 16 CM (ENCHIMENTO+CAPA) = (12+4)</v>
      </c>
      <c r="G101" s="164" t="str">
        <f ca="1">IF($D101&lt;&gt;"Serviço","",OFFSET(ORÇAMENTO!S$15,$L101,0))</f>
        <v>M2</v>
      </c>
      <c r="H101" s="122" cm="1">
        <f t="array" aca="1" ref="H101" ca="1">IF($D101&lt;&gt;"Serviço",0,IF(ACOMPANHAMENTO="BM",ROUND(OFFSET(ORÇAMENTO!AJ$15,$L101,0),15-13*ORÇAMENTO!$AF$7),IF(IFERROR(CÁLCULO.FrentesPreenchidas,0)=0,0,SUM(ROUND(OFFSET($P101,0,1,1,CÁLCULO.FrentesPreenchidas),15-13*ORÇAMENTO!$AF$7)))))</f>
        <v>96.75</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c r="L101" s="165">
        <f t="shared" ca="1" si="9"/>
        <v>86</v>
      </c>
      <c r="M101" s="166">
        <f ca="1">IF($D101&lt;&gt;"Serviço","",
          IF(AUTOEVENTO="manual",$A101,
                IF(ISERROR(MATCH($A101,$A$15:OFFSET($A101,-1,0),0)),MAX($M$15:OFFSET(M101,-1,0))+1,
                      INDEX($M$15:OFFSET(M101,-1,0),MATCH($A101,$A$15:OFFSET($A101,-1,0),0)))))</f>
        <v>4</v>
      </c>
      <c r="N101" s="167" t="str">
        <f ca="1">IF($D101&lt;&gt;"Serviço","",
         IF(AUTOEVENTO="Manual",
                IF($A101=0,"&lt;-- defina o número do agrupador",
                       OFFSET(EVENTOS!$D$15,$A101-$A$15,0)),
                OFFSET($F$15,$A101,0)))</f>
        <v>INFRAESTRUTURA</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1000000000000</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25.5" x14ac:dyDescent="0.2">
      <c r="A102" s="7" t="str">
        <f t="shared" ca="1" si="8"/>
        <v>9</v>
      </c>
      <c r="B102" s="7" t="str">
        <f ca="1">OFFSET(ORÇAMENTO!C$15,$L102,0)</f>
        <v>S</v>
      </c>
      <c r="C102" s="7" t="str">
        <f ca="1">OFFSET(ORÇAMENTO!L$15,$L102,0)</f>
        <v>F</v>
      </c>
      <c r="D102" s="116" t="str">
        <f ca="1">OFFSET(ORÇAMENTO!N$15,$L102,0)</f>
        <v>Serviço</v>
      </c>
      <c r="E102" s="117" t="str">
        <f ca="1">OFFSET(ORÇAMENTO!O$15,$L102,0)</f>
        <v>1.4.13.0.2.</v>
      </c>
      <c r="F102" s="163" t="str">
        <f ca="1">OFFSET(ORÇAMENTO!R$15,$L102,0)</f>
        <v>IMPERMEABILIZAÇÃO DE SUPERFÍCIE COM EMULSÃO ASFÁLTICA, 2 DEMÃOS. AF_09/2023</v>
      </c>
      <c r="G102" s="164" t="str">
        <f ca="1">IF($D102&lt;&gt;"Serviço","",OFFSET(ORÇAMENTO!S$15,$L102,0))</f>
        <v>M2</v>
      </c>
      <c r="H102" s="122" cm="1">
        <f t="array" aca="1" ref="H102" ca="1">IF($D102&lt;&gt;"Serviço",0,IF(ACOMPANHAMENTO="BM",ROUND(OFFSET(ORÇAMENTO!AJ$15,$L102,0),15-13*ORÇAMENTO!$AF$7),IF(IFERROR(CÁLCULO.FrentesPreenchidas,0)=0,0,SUM(ROUND(OFFSET($P102,0,1,1,CÁLCULO.FrentesPreenchidas),15-13*ORÇAMENTO!$AF$7)))))</f>
        <v>96.75</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t="shared" ca="1" si="9"/>
        <v>87</v>
      </c>
      <c r="M102" s="166">
        <f ca="1">IF($D102&lt;&gt;"Serviço","",
          IF(AUTOEVENTO="manual",$A102,
                IF(ISERROR(MATCH($A102,$A$15:OFFSET($A102,-1,0),0)),MAX($M$15:OFFSET(M102,-1,0))+1,
                      INDEX($M$15:OFFSET(M102,-1,0),MATCH($A102,$A$15:OFFSET($A102,-1,0),0)))))</f>
        <v>4</v>
      </c>
      <c r="N102" s="167" t="str">
        <f ca="1">IF($D102&lt;&gt;"Serviço","",
         IF(AUTOEVENTO="Manual",
                IF($A102=0,"&lt;-- defina o número do agrupador",
                       OFFSET(EVENTOS!$D$15,$A102-$A$15,0)),
                OFFSET($F$15,$A102,0)))</f>
        <v>INFRAESTRUTURA</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1000000000000</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ht="12.75" x14ac:dyDescent="0.2">
      <c r="A103" s="7" t="str">
        <f t="shared" ca="1" si="8"/>
        <v>88.</v>
      </c>
      <c r="B103" s="7">
        <f ca="1">OFFSET(ORÇAMENTO!C$15,$L103,0)</f>
        <v>2</v>
      </c>
      <c r="C103" s="7" t="str">
        <f ca="1">OFFSET(ORÇAMENTO!L$15,$L103,0)</f>
        <v>F</v>
      </c>
      <c r="D103" s="116" t="str">
        <f ca="1">OFFSET(ORÇAMENTO!N$15,$L103,0)</f>
        <v>Nível 2</v>
      </c>
      <c r="E103" s="117" t="str">
        <f ca="1">OFFSET(ORÇAMENTO!O$15,$L103,0)</f>
        <v>1.5.</v>
      </c>
      <c r="F103" s="163" t="str">
        <f ca="1">OFFSET(ORÇAMENTO!R$15,$L103,0)</f>
        <v>ALVENARIAS E VEDAÇÕES</v>
      </c>
      <c r="G103" s="164" t="str">
        <f ca="1">IF($D103&lt;&gt;"Serviço","",OFFSET(ORÇAMENTO!S$15,$L103,0))</f>
        <v/>
      </c>
      <c r="H103" s="122" cm="1">
        <f t="array" aca="1" ref="H103" ca="1">IF($D103&lt;&gt;"Serviço",0,IF(ACOMPANHAMENTO="BM",ROUND(OFFSET(ORÇAMENTO!AJ$15,$L103,0),15-13*ORÇAMENTO!$AF$7),IF(IFERROR(CÁLCULO.FrentesPreenchidas,0)=0,0,SUM(ROUND(OFFSET($P103,0,1,1,CÁLCULO.FrentesPreenchidas),15-13*ORÇAMENTO!$AF$7)))))</f>
        <v>0</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c r="L103" s="165">
        <f t="shared" ca="1" si="9"/>
        <v>88</v>
      </c>
      <c r="M103" s="166" t="str">
        <f ca="1">IF($D103&lt;&gt;"Serviço","",
          IF(AUTOEVENTO="manual",$A103,
                IF(ISERROR(MATCH($A103,$A$15:OFFSET($A103,-1,0),0)),MAX($M$15:OFFSET(M103,-1,0))+1,
                      INDEX($M$15:OFFSET(M103,-1,0),MATCH($A103,$A$15:OFFSET($A103,-1,0),0)))))</f>
        <v/>
      </c>
      <c r="N103" s="167" t="str">
        <f ca="1">IF($D103&lt;&gt;"Serviço","",
         IF(AUTOEVENTO="Manual",
                IF($A103=0,"&lt;-- defina o número do agrupador",
                       OFFSET(EVENTOS!$D$15,$A103-$A$15,0)),
                OFFSET($F$15,$A103,0)))</f>
        <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0</v>
      </c>
      <c r="AN103" s="171">
        <f ca="1">IF(OR($D103&lt;&gt;"Serviço",AND(AUTOEVENTO="Manual",$M103=$A$15)),0,
         IF(OFFSET(CRONOPLE!$F$15,$M103-$A$15,AN$13)=0,10^12,OFFSET(CRONOPLE!$F$15,$M103-$A$15,AN$13)))</f>
        <v>0</v>
      </c>
      <c r="AO103" s="171">
        <f ca="1">IF(OR($D103&lt;&gt;"Serviço",AND(AUTOEVENTO="Manual",$M103=$A$15)),0,
         IF(OFFSET(CRONOPLE!$F$15,$M103-$A$15,AO$13)=0,10^12,OFFSET(CRONOPLE!$F$15,$M103-$A$15,AO$13)))</f>
        <v>0</v>
      </c>
      <c r="AP103" s="171">
        <f ca="1">IF(OR($D103&lt;&gt;"Serviço",AND(AUTOEVENTO="Manual",$M103=$A$15)),0,
         IF(OFFSET(CRONOPLE!$F$15,$M103-$A$15,AP$13)=0,10^12,OFFSET(CRONOPLE!$F$15,$M103-$A$15,AP$13)))</f>
        <v>0</v>
      </c>
      <c r="AQ103" s="171">
        <f ca="1">IF(OR($D103&lt;&gt;"Serviço",AND(AUTOEVENTO="Manual",$M103=$A$15)),0,
         IF(OFFSET(CRONOPLE!$F$15,$M103-$A$15,AQ$13)=0,10^12,OFFSET(CRONOPLE!$F$15,$M103-$A$15,AQ$13)))</f>
        <v>0</v>
      </c>
      <c r="AR103" s="171">
        <f ca="1">IF(OR($D103&lt;&gt;"Serviço",AND(AUTOEVENTO="Manual",$M103=$A$15)),0,
         IF(OFFSET(CRONOPLE!$F$15,$M103-$A$15,AR$13)=0,10^12,OFFSET(CRONOPLE!$F$15,$M103-$A$15,AR$13)))</f>
        <v>0</v>
      </c>
      <c r="AS103" s="171">
        <f ca="1">IF(OR($D103&lt;&gt;"Serviço",AND(AUTOEVENTO="Manual",$M103=$A$15)),0,
         IF(OFFSET(CRONOPLE!$F$15,$M103-$A$15,AS$13)=0,10^12,OFFSET(CRONOPLE!$F$15,$M103-$A$15,AS$13)))</f>
        <v>0</v>
      </c>
      <c r="AT103" s="171">
        <f ca="1">IF(OR($D103&lt;&gt;"Serviço",AND(AUTOEVENTO="Manual",$M103=$A$15)),0,
         IF(OFFSET(CRONOPLE!$F$15,$M103-$A$15,AT$13)=0,10^12,OFFSET(CRONOPLE!$F$15,$M103-$A$15,AT$13)))</f>
        <v>0</v>
      </c>
      <c r="AU103" s="171">
        <f ca="1">IF(OR($D103&lt;&gt;"Serviço",AND(AUTOEVENTO="Manual",$M103=$A$15)),0,
         IF(OFFSET(CRONOPLE!$F$15,$M103-$A$15,AU$13)=0,10^12,OFFSET(CRONOPLE!$F$15,$M103-$A$15,AU$13)))</f>
        <v>0</v>
      </c>
      <c r="AV103" s="171">
        <f ca="1">IF(OR($D103&lt;&gt;"Serviço",AND(AUTOEVENTO="Manual",$M103=$A$15)),0,
         IF(OFFSET(CRONOPLE!$F$15,$M103-$A$15,AV$13)=0,10^12,OFFSET(CRONOPLE!$F$15,$M103-$A$15,AV$13)))</f>
        <v>0</v>
      </c>
      <c r="AX103" s="172" cm="1">
        <f t="array" aca="1" ref="AX103" ca="1">IF(OR($D103&lt;&gt;"Serviço",AND(AUTOEVENTO="Manual",$M103=$A$15),$M103&gt;(ROW(PLE.lastrow)-ROW(PLE.firstrow))),0,
           IF(OFFSET(PLE!$G$15,$M103-$A$15,AX$13)="",10^12,OFFSET(PLE!$G$15,$M103-$A$15,AX$13)))</f>
        <v>0</v>
      </c>
      <c r="AY103" s="172" cm="1">
        <f t="array" aca="1" ref="AY103" ca="1">IF(OR($D103&lt;&gt;"Serviço",AND(AUTOEVENTO="Manual",$M103=$A$15),$M103&gt;(ROW(PLE.lastrow)-ROW(PLE.firstrow))),0,
           IF(OFFSET(PLE!$G$15,$M103-$A$15,AY$13)="",10^12,OFFSET(PLE!$G$15,$M103-$A$15,AY$13)))</f>
        <v>0</v>
      </c>
      <c r="AZ103" s="172" cm="1">
        <f t="array" aca="1" ref="AZ103" ca="1">IF(OR($D103&lt;&gt;"Serviço",AND(AUTOEVENTO="Manual",$M103=$A$15),$M103&gt;(ROW(PLE.lastrow)-ROW(PLE.firstrow))),0,
           IF(OFFSET(PLE!$G$15,$M103-$A$15,AZ$13)="",10^12,OFFSET(PLE!$G$15,$M103-$A$15,AZ$13)))</f>
        <v>0</v>
      </c>
      <c r="BA103" s="172" cm="1">
        <f t="array" aca="1" ref="BA103" ca="1">IF(OR($D103&lt;&gt;"Serviço",AND(AUTOEVENTO="Manual",$M103=$A$15),$M103&gt;(ROW(PLE.lastrow)-ROW(PLE.firstrow))),0,
           IF(OFFSET(PLE!$G$15,$M103-$A$15,BA$13)="",10^12,OFFSET(PLE!$G$15,$M103-$A$15,BA$13)))</f>
        <v>0</v>
      </c>
      <c r="BB103" s="172" cm="1">
        <f t="array" aca="1" ref="BB103" ca="1">IF(OR($D103&lt;&gt;"Serviço",AND(AUTOEVENTO="Manual",$M103=$A$15),$M103&gt;(ROW(PLE.lastrow)-ROW(PLE.firstrow))),0,
           IF(OFFSET(PLE!$G$15,$M103-$A$15,BB$13)="",10^12,OFFSET(PLE!$G$15,$M103-$A$15,BB$13)))</f>
        <v>0</v>
      </c>
      <c r="BC103" s="172" cm="1">
        <f t="array" aca="1" ref="BC103" ca="1">IF(OR($D103&lt;&gt;"Serviço",AND(AUTOEVENTO="Manual",$M103=$A$15),$M103&gt;(ROW(PLE.lastrow)-ROW(PLE.firstrow))),0,
           IF(OFFSET(PLE!$G$15,$M103-$A$15,BC$13)="",10^12,OFFSET(PLE!$G$15,$M103-$A$15,BC$13)))</f>
        <v>0</v>
      </c>
      <c r="BD103" s="172" cm="1">
        <f t="array" aca="1" ref="BD103" ca="1">IF(OR($D103&lt;&gt;"Serviço",AND(AUTOEVENTO="Manual",$M103=$A$15),$M103&gt;(ROW(PLE.lastrow)-ROW(PLE.firstrow))),0,
           IF(OFFSET(PLE!$G$15,$M103-$A$15,BD$13)="",10^12,OFFSET(PLE!$G$15,$M103-$A$15,BD$13)))</f>
        <v>0</v>
      </c>
      <c r="BE103" s="172" cm="1">
        <f t="array" aca="1" ref="BE103" ca="1">IF(OR($D103&lt;&gt;"Serviço",AND(AUTOEVENTO="Manual",$M103=$A$15),$M103&gt;(ROW(PLE.lastrow)-ROW(PLE.firstrow))),0,
           IF(OFFSET(PLE!$G$15,$M103-$A$15,BE$13)="",10^12,OFFSET(PLE!$G$15,$M103-$A$15,BE$13)))</f>
        <v>0</v>
      </c>
      <c r="BF103" s="172" cm="1">
        <f t="array" aca="1" ref="BF103" ca="1">IF(OR($D103&lt;&gt;"Serviço",AND(AUTOEVENTO="Manual",$M103=$A$15),$M103&gt;(ROW(PLE.lastrow)-ROW(PLE.firstrow))),0,
           IF(OFFSET(PLE!$G$15,$M103-$A$15,BF$13)="",10^12,OFFSET(PLE!$G$15,$M103-$A$15,BF$13)))</f>
        <v>0</v>
      </c>
      <c r="BG103" s="172" cm="1">
        <f t="array" aca="1" ref="BG103" ca="1">IF(OR($D103&lt;&gt;"Serviço",AND(AUTOEVENTO="Manual",$M103=$A$15),$M103&gt;(ROW(PLE.lastrow)-ROW(PLE.firstrow))),0,
           IF(OFFSET(PLE!$G$15,$M103-$A$15,BG$13)="",10^12,OFFSET(PLE!$G$15,$M103-$A$15,BG$13)))</f>
        <v>0</v>
      </c>
    </row>
    <row r="104" spans="1:59" ht="12.75" x14ac:dyDescent="0.2">
      <c r="A104" s="7" t="str">
        <f t="shared" ca="1" si="8"/>
        <v>88.</v>
      </c>
      <c r="B104" s="7">
        <f ca="1">OFFSET(ORÇAMENTO!C$15,$L104,0)</f>
        <v>3</v>
      </c>
      <c r="C104" s="7" t="str">
        <f ca="1">OFFSET(ORÇAMENTO!L$15,$L104,0)</f>
        <v>F</v>
      </c>
      <c r="D104" s="116" t="str">
        <f ca="1">OFFSET(ORÇAMENTO!N$15,$L104,0)</f>
        <v>Nível 3</v>
      </c>
      <c r="E104" s="117" t="str">
        <f ca="1">OFFSET(ORÇAMENTO!O$15,$L104,0)</f>
        <v>1.5.1.</v>
      </c>
      <c r="F104" s="163" t="str">
        <f ca="1">OFFSET(ORÇAMENTO!R$15,$L104,0)</f>
        <v>EMBASAMENTO</v>
      </c>
      <c r="G104" s="164" t="str">
        <f ca="1">IF($D104&lt;&gt;"Serviço","",OFFSET(ORÇAMENTO!S$15,$L104,0))</f>
        <v/>
      </c>
      <c r="H104" s="122" cm="1">
        <f t="array" aca="1" ref="H104" ca="1">IF($D104&lt;&gt;"Serviço",0,IF(ACOMPANHAMENTO="BM",ROUND(OFFSET(ORÇAMENTO!AJ$15,$L104,0),15-13*ORÇAMENTO!$AF$7),IF(IFERROR(CÁLCULO.FrentesPreenchidas,0)=0,0,SUM(ROUND(OFFSET($P104,0,1,1,CÁLCULO.FrentesPreenchidas),15-13*ORÇAMENTO!$AF$7)))))</f>
        <v>0</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c r="L104" s="165">
        <f t="shared" ca="1" si="9"/>
        <v>89</v>
      </c>
      <c r="M104" s="166" t="str">
        <f ca="1">IF($D104&lt;&gt;"Serviço","",
          IF(AUTOEVENTO="manual",$A104,
                IF(ISERROR(MATCH($A104,$A$15:OFFSET($A104,-1,0),0)),MAX($M$15:OFFSET(M104,-1,0))+1,
                      INDEX($M$15:OFFSET(M104,-1,0),MATCH($A104,$A$15:OFFSET($A104,-1,0),0)))))</f>
        <v/>
      </c>
      <c r="N104" s="167" t="str">
        <f ca="1">IF($D104&lt;&gt;"Serviço","",
         IF(AUTOEVENTO="Manual",
                IF($A104=0,"&lt;-- defina o número do agrupador",
                       OFFSET(EVENTOS!$D$15,$A104-$A$15,0)),
                OFFSET($F$15,$A104,0)))</f>
        <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0</v>
      </c>
      <c r="AN104" s="171">
        <f ca="1">IF(OR($D104&lt;&gt;"Serviço",AND(AUTOEVENTO="Manual",$M104=$A$15)),0,
         IF(OFFSET(CRONOPLE!$F$15,$M104-$A$15,AN$13)=0,10^12,OFFSET(CRONOPLE!$F$15,$M104-$A$15,AN$13)))</f>
        <v>0</v>
      </c>
      <c r="AO104" s="171">
        <f ca="1">IF(OR($D104&lt;&gt;"Serviço",AND(AUTOEVENTO="Manual",$M104=$A$15)),0,
         IF(OFFSET(CRONOPLE!$F$15,$M104-$A$15,AO$13)=0,10^12,OFFSET(CRONOPLE!$F$15,$M104-$A$15,AO$13)))</f>
        <v>0</v>
      </c>
      <c r="AP104" s="171">
        <f ca="1">IF(OR($D104&lt;&gt;"Serviço",AND(AUTOEVENTO="Manual",$M104=$A$15)),0,
         IF(OFFSET(CRONOPLE!$F$15,$M104-$A$15,AP$13)=0,10^12,OFFSET(CRONOPLE!$F$15,$M104-$A$15,AP$13)))</f>
        <v>0</v>
      </c>
      <c r="AQ104" s="171">
        <f ca="1">IF(OR($D104&lt;&gt;"Serviço",AND(AUTOEVENTO="Manual",$M104=$A$15)),0,
         IF(OFFSET(CRONOPLE!$F$15,$M104-$A$15,AQ$13)=0,10^12,OFFSET(CRONOPLE!$F$15,$M104-$A$15,AQ$13)))</f>
        <v>0</v>
      </c>
      <c r="AR104" s="171">
        <f ca="1">IF(OR($D104&lt;&gt;"Serviço",AND(AUTOEVENTO="Manual",$M104=$A$15)),0,
         IF(OFFSET(CRONOPLE!$F$15,$M104-$A$15,AR$13)=0,10^12,OFFSET(CRONOPLE!$F$15,$M104-$A$15,AR$13)))</f>
        <v>0</v>
      </c>
      <c r="AS104" s="171">
        <f ca="1">IF(OR($D104&lt;&gt;"Serviço",AND(AUTOEVENTO="Manual",$M104=$A$15)),0,
         IF(OFFSET(CRONOPLE!$F$15,$M104-$A$15,AS$13)=0,10^12,OFFSET(CRONOPLE!$F$15,$M104-$A$15,AS$13)))</f>
        <v>0</v>
      </c>
      <c r="AT104" s="171">
        <f ca="1">IF(OR($D104&lt;&gt;"Serviço",AND(AUTOEVENTO="Manual",$M104=$A$15)),0,
         IF(OFFSET(CRONOPLE!$F$15,$M104-$A$15,AT$13)=0,10^12,OFFSET(CRONOPLE!$F$15,$M104-$A$15,AT$13)))</f>
        <v>0</v>
      </c>
      <c r="AU104" s="171">
        <f ca="1">IF(OR($D104&lt;&gt;"Serviço",AND(AUTOEVENTO="Manual",$M104=$A$15)),0,
         IF(OFFSET(CRONOPLE!$F$15,$M104-$A$15,AU$13)=0,10^12,OFFSET(CRONOPLE!$F$15,$M104-$A$15,AU$13)))</f>
        <v>0</v>
      </c>
      <c r="AV104" s="171">
        <f ca="1">IF(OR($D104&lt;&gt;"Serviço",AND(AUTOEVENTO="Manual",$M104=$A$15)),0,
         IF(OFFSET(CRONOPLE!$F$15,$M104-$A$15,AV$13)=0,10^12,OFFSET(CRONOPLE!$F$15,$M104-$A$15,AV$13)))</f>
        <v>0</v>
      </c>
      <c r="AX104" s="172" cm="1">
        <f t="array" aca="1" ref="AX104" ca="1">IF(OR($D104&lt;&gt;"Serviço",AND(AUTOEVENTO="Manual",$M104=$A$15),$M104&gt;(ROW(PLE.lastrow)-ROW(PLE.firstrow))),0,
           IF(OFFSET(PLE!$G$15,$M104-$A$15,AX$13)="",10^12,OFFSET(PLE!$G$15,$M104-$A$15,AX$13)))</f>
        <v>0</v>
      </c>
      <c r="AY104" s="172" cm="1">
        <f t="array" aca="1" ref="AY104" ca="1">IF(OR($D104&lt;&gt;"Serviço",AND(AUTOEVENTO="Manual",$M104=$A$15),$M104&gt;(ROW(PLE.lastrow)-ROW(PLE.firstrow))),0,
           IF(OFFSET(PLE!$G$15,$M104-$A$15,AY$13)="",10^12,OFFSET(PLE!$G$15,$M104-$A$15,AY$13)))</f>
        <v>0</v>
      </c>
      <c r="AZ104" s="172" cm="1">
        <f t="array" aca="1" ref="AZ104" ca="1">IF(OR($D104&lt;&gt;"Serviço",AND(AUTOEVENTO="Manual",$M104=$A$15),$M104&gt;(ROW(PLE.lastrow)-ROW(PLE.firstrow))),0,
           IF(OFFSET(PLE!$G$15,$M104-$A$15,AZ$13)="",10^12,OFFSET(PLE!$G$15,$M104-$A$15,AZ$13)))</f>
        <v>0</v>
      </c>
      <c r="BA104" s="172" cm="1">
        <f t="array" aca="1" ref="BA104" ca="1">IF(OR($D104&lt;&gt;"Serviço",AND(AUTOEVENTO="Manual",$M104=$A$15),$M104&gt;(ROW(PLE.lastrow)-ROW(PLE.firstrow))),0,
           IF(OFFSET(PLE!$G$15,$M104-$A$15,BA$13)="",10^12,OFFSET(PLE!$G$15,$M104-$A$15,BA$13)))</f>
        <v>0</v>
      </c>
      <c r="BB104" s="172" cm="1">
        <f t="array" aca="1" ref="BB104" ca="1">IF(OR($D104&lt;&gt;"Serviço",AND(AUTOEVENTO="Manual",$M104=$A$15),$M104&gt;(ROW(PLE.lastrow)-ROW(PLE.firstrow))),0,
           IF(OFFSET(PLE!$G$15,$M104-$A$15,BB$13)="",10^12,OFFSET(PLE!$G$15,$M104-$A$15,BB$13)))</f>
        <v>0</v>
      </c>
      <c r="BC104" s="172" cm="1">
        <f t="array" aca="1" ref="BC104" ca="1">IF(OR($D104&lt;&gt;"Serviço",AND(AUTOEVENTO="Manual",$M104=$A$15),$M104&gt;(ROW(PLE.lastrow)-ROW(PLE.firstrow))),0,
           IF(OFFSET(PLE!$G$15,$M104-$A$15,BC$13)="",10^12,OFFSET(PLE!$G$15,$M104-$A$15,BC$13)))</f>
        <v>0</v>
      </c>
      <c r="BD104" s="172" cm="1">
        <f t="array" aca="1" ref="BD104" ca="1">IF(OR($D104&lt;&gt;"Serviço",AND(AUTOEVENTO="Manual",$M104=$A$15),$M104&gt;(ROW(PLE.lastrow)-ROW(PLE.firstrow))),0,
           IF(OFFSET(PLE!$G$15,$M104-$A$15,BD$13)="",10^12,OFFSET(PLE!$G$15,$M104-$A$15,BD$13)))</f>
        <v>0</v>
      </c>
      <c r="BE104" s="172" cm="1">
        <f t="array" aca="1" ref="BE104" ca="1">IF(OR($D104&lt;&gt;"Serviço",AND(AUTOEVENTO="Manual",$M104=$A$15),$M104&gt;(ROW(PLE.lastrow)-ROW(PLE.firstrow))),0,
           IF(OFFSET(PLE!$G$15,$M104-$A$15,BE$13)="",10^12,OFFSET(PLE!$G$15,$M104-$A$15,BE$13)))</f>
        <v>0</v>
      </c>
      <c r="BF104" s="172" cm="1">
        <f t="array" aca="1" ref="BF104" ca="1">IF(OR($D104&lt;&gt;"Serviço",AND(AUTOEVENTO="Manual",$M104=$A$15),$M104&gt;(ROW(PLE.lastrow)-ROW(PLE.firstrow))),0,
           IF(OFFSET(PLE!$G$15,$M104-$A$15,BF$13)="",10^12,OFFSET(PLE!$G$15,$M104-$A$15,BF$13)))</f>
        <v>0</v>
      </c>
      <c r="BG104" s="172" cm="1">
        <f t="array" aca="1" ref="BG104" ca="1">IF(OR($D104&lt;&gt;"Serviço",AND(AUTOEVENTO="Manual",$M104=$A$15),$M104&gt;(ROW(PLE.lastrow)-ROW(PLE.firstrow))),0,
           IF(OFFSET(PLE!$G$15,$M104-$A$15,BG$13)="",10^12,OFFSET(PLE!$G$15,$M104-$A$15,BG$13)))</f>
        <v>0</v>
      </c>
    </row>
    <row r="105" spans="1:59" ht="38.25" x14ac:dyDescent="0.2">
      <c r="A105" s="7" t="str">
        <f t="shared" ca="1" si="8"/>
        <v>88</v>
      </c>
      <c r="B105" s="7" t="str">
        <f ca="1">OFFSET(ORÇAMENTO!C$15,$L105,0)</f>
        <v>S</v>
      </c>
      <c r="C105" s="7" t="str">
        <f ca="1">OFFSET(ORÇAMENTO!L$15,$L105,0)</f>
        <v>F</v>
      </c>
      <c r="D105" s="116" t="str">
        <f ca="1">OFFSET(ORÇAMENTO!N$15,$L105,0)</f>
        <v>Serviço</v>
      </c>
      <c r="E105" s="117" t="str">
        <f ca="1">OFFSET(ORÇAMENTO!O$15,$L105,0)</f>
        <v>1.5.1.0.1.</v>
      </c>
      <c r="F105" s="163" t="str">
        <f ca="1">OFFSET(ORÇAMENTO!R$15,$L105,0)</f>
        <v>ALVENARIA DE VEDAÇÃO DE BLOCOS CERÂMICOS MACIÇOS DE 5X10X20CM (ESPESSURA 10CM) E ARGAMASSA DE ASSENTAMENTO COM PREPARO EM BETONEIRA. AF_05/2020</v>
      </c>
      <c r="G105" s="164" t="str">
        <f ca="1">IF($D105&lt;&gt;"Serviço","",OFFSET(ORÇAMENTO!S$15,$L105,0))</f>
        <v>M2</v>
      </c>
      <c r="H105" s="122" cm="1">
        <f t="array" aca="1" ref="H105" ca="1">IF($D105&lt;&gt;"Serviço",0,IF(ACOMPANHAMENTO="BM",ROUND(OFFSET(ORÇAMENTO!AJ$15,$L105,0),15-13*ORÇAMENTO!$AF$7),IF(IFERROR(CÁLCULO.FrentesPreenchidas,0)=0,0,SUM(ROUND(OFFSET($P105,0,1,1,CÁLCULO.FrentesPreenchidas),15-13*ORÇAMENTO!$AF$7)))))</f>
        <v>93</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9"/>
        <v>90</v>
      </c>
      <c r="M105" s="166">
        <f ca="1">IF($D105&lt;&gt;"Serviço","",
          IF(AUTOEVENTO="manual",$A105,
                IF(ISERROR(MATCH($A105,$A$15:OFFSET($A105,-1,0),0)),MAX($M$15:OFFSET(M105,-1,0))+1,
                      INDEX($M$15:OFFSET(M105,-1,0),MATCH($A105,$A$15:OFFSET($A105,-1,0),0)))))</f>
        <v>5</v>
      </c>
      <c r="N105" s="167" t="str">
        <f ca="1">IF($D105&lt;&gt;"Serviço","",
         IF(AUTOEVENTO="Manual",
                IF($A105=0,"&lt;-- defina o número do agrupador",
                       OFFSET(EVENTOS!$D$15,$A105-$A$15,0)),
                OFFSET($F$15,$A105,0)))</f>
        <v>ALVENARIAS E VEDAÇÕES</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1000000000000</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ht="12.75" x14ac:dyDescent="0.2">
      <c r="A106" s="7" t="str">
        <f t="shared" ca="1" si="8"/>
        <v>88</v>
      </c>
      <c r="B106" s="7">
        <f ca="1">OFFSET(ORÇAMENTO!C$15,$L106,0)</f>
        <v>3</v>
      </c>
      <c r="C106" s="7" t="str">
        <f ca="1">OFFSET(ORÇAMENTO!L$15,$L106,0)</f>
        <v>F</v>
      </c>
      <c r="D106" s="116" t="str">
        <f ca="1">OFFSET(ORÇAMENTO!N$15,$L106,0)</f>
        <v>Nível 3</v>
      </c>
      <c r="E106" s="117" t="str">
        <f ca="1">OFFSET(ORÇAMENTO!O$15,$L106,0)</f>
        <v>1.5.2.</v>
      </c>
      <c r="F106" s="163" t="str">
        <f ca="1">OFFSET(ORÇAMENTO!R$15,$L106,0)</f>
        <v>ALVENARIAS DE VEDAÇÕES E DIVISÓRIAS</v>
      </c>
      <c r="G106" s="164" t="str">
        <f ca="1">IF($D106&lt;&gt;"Serviço","",OFFSET(ORÇAMENTO!S$15,$L106,0))</f>
        <v/>
      </c>
      <c r="H106" s="122" cm="1">
        <f t="array" aca="1" ref="H106" ca="1">IF($D106&lt;&gt;"Serviço",0,IF(ACOMPANHAMENTO="BM",ROUND(OFFSET(ORÇAMENTO!AJ$15,$L106,0),15-13*ORÇAMENTO!$AF$7),IF(IFERROR(CÁLCULO.FrentesPreenchidas,0)=0,0,SUM(ROUND(OFFSET($P106,0,1,1,CÁLCULO.FrentesPreenchidas),15-13*ORÇAMENTO!$AF$7)))))</f>
        <v>0</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c r="L106" s="165">
        <f t="shared" ca="1" si="9"/>
        <v>91</v>
      </c>
      <c r="M106" s="166" t="str">
        <f ca="1">IF($D106&lt;&gt;"Serviço","",
          IF(AUTOEVENTO="manual",$A106,
                IF(ISERROR(MATCH($A106,$A$15:OFFSET($A106,-1,0),0)),MAX($M$15:OFFSET(M106,-1,0))+1,
                      INDEX($M$15:OFFSET(M106,-1,0),MATCH($A106,$A$15:OFFSET($A106,-1,0),0)))))</f>
        <v/>
      </c>
      <c r="N106" s="167" t="str">
        <f ca="1">IF($D106&lt;&gt;"Serviço","",
         IF(AUTOEVENTO="Manual",
                IF($A106=0,"&lt;-- defina o número do agrupador",
                       OFFSET(EVENTOS!$D$15,$A106-$A$15,0)),
                OFFSET($F$15,$A106,0)))</f>
        <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0</v>
      </c>
      <c r="AN106" s="171">
        <f ca="1">IF(OR($D106&lt;&gt;"Serviço",AND(AUTOEVENTO="Manual",$M106=$A$15)),0,
         IF(OFFSET(CRONOPLE!$F$15,$M106-$A$15,AN$13)=0,10^12,OFFSET(CRONOPLE!$F$15,$M106-$A$15,AN$13)))</f>
        <v>0</v>
      </c>
      <c r="AO106" s="171">
        <f ca="1">IF(OR($D106&lt;&gt;"Serviço",AND(AUTOEVENTO="Manual",$M106=$A$15)),0,
         IF(OFFSET(CRONOPLE!$F$15,$M106-$A$15,AO$13)=0,10^12,OFFSET(CRONOPLE!$F$15,$M106-$A$15,AO$13)))</f>
        <v>0</v>
      </c>
      <c r="AP106" s="171">
        <f ca="1">IF(OR($D106&lt;&gt;"Serviço",AND(AUTOEVENTO="Manual",$M106=$A$15)),0,
         IF(OFFSET(CRONOPLE!$F$15,$M106-$A$15,AP$13)=0,10^12,OFFSET(CRONOPLE!$F$15,$M106-$A$15,AP$13)))</f>
        <v>0</v>
      </c>
      <c r="AQ106" s="171">
        <f ca="1">IF(OR($D106&lt;&gt;"Serviço",AND(AUTOEVENTO="Manual",$M106=$A$15)),0,
         IF(OFFSET(CRONOPLE!$F$15,$M106-$A$15,AQ$13)=0,10^12,OFFSET(CRONOPLE!$F$15,$M106-$A$15,AQ$13)))</f>
        <v>0</v>
      </c>
      <c r="AR106" s="171">
        <f ca="1">IF(OR($D106&lt;&gt;"Serviço",AND(AUTOEVENTO="Manual",$M106=$A$15)),0,
         IF(OFFSET(CRONOPLE!$F$15,$M106-$A$15,AR$13)=0,10^12,OFFSET(CRONOPLE!$F$15,$M106-$A$15,AR$13)))</f>
        <v>0</v>
      </c>
      <c r="AS106" s="171">
        <f ca="1">IF(OR($D106&lt;&gt;"Serviço",AND(AUTOEVENTO="Manual",$M106=$A$15)),0,
         IF(OFFSET(CRONOPLE!$F$15,$M106-$A$15,AS$13)=0,10^12,OFFSET(CRONOPLE!$F$15,$M106-$A$15,AS$13)))</f>
        <v>0</v>
      </c>
      <c r="AT106" s="171">
        <f ca="1">IF(OR($D106&lt;&gt;"Serviço",AND(AUTOEVENTO="Manual",$M106=$A$15)),0,
         IF(OFFSET(CRONOPLE!$F$15,$M106-$A$15,AT$13)=0,10^12,OFFSET(CRONOPLE!$F$15,$M106-$A$15,AT$13)))</f>
        <v>0</v>
      </c>
      <c r="AU106" s="171">
        <f ca="1">IF(OR($D106&lt;&gt;"Serviço",AND(AUTOEVENTO="Manual",$M106=$A$15)),0,
         IF(OFFSET(CRONOPLE!$F$15,$M106-$A$15,AU$13)=0,10^12,OFFSET(CRONOPLE!$F$15,$M106-$A$15,AU$13)))</f>
        <v>0</v>
      </c>
      <c r="AV106" s="171">
        <f ca="1">IF(OR($D106&lt;&gt;"Serviço",AND(AUTOEVENTO="Manual",$M106=$A$15)),0,
         IF(OFFSET(CRONOPLE!$F$15,$M106-$A$15,AV$13)=0,10^12,OFFSET(CRONOPLE!$F$15,$M106-$A$15,AV$13)))</f>
        <v>0</v>
      </c>
      <c r="AX106" s="172" cm="1">
        <f t="array" aca="1" ref="AX106" ca="1">IF(OR($D106&lt;&gt;"Serviço",AND(AUTOEVENTO="Manual",$M106=$A$15),$M106&gt;(ROW(PLE.lastrow)-ROW(PLE.firstrow))),0,
           IF(OFFSET(PLE!$G$15,$M106-$A$15,AX$13)="",10^12,OFFSET(PLE!$G$15,$M106-$A$15,AX$13)))</f>
        <v>0</v>
      </c>
      <c r="AY106" s="172" cm="1">
        <f t="array" aca="1" ref="AY106" ca="1">IF(OR($D106&lt;&gt;"Serviço",AND(AUTOEVENTO="Manual",$M106=$A$15),$M106&gt;(ROW(PLE.lastrow)-ROW(PLE.firstrow))),0,
           IF(OFFSET(PLE!$G$15,$M106-$A$15,AY$13)="",10^12,OFFSET(PLE!$G$15,$M106-$A$15,AY$13)))</f>
        <v>0</v>
      </c>
      <c r="AZ106" s="172" cm="1">
        <f t="array" aca="1" ref="AZ106" ca="1">IF(OR($D106&lt;&gt;"Serviço",AND(AUTOEVENTO="Manual",$M106=$A$15),$M106&gt;(ROW(PLE.lastrow)-ROW(PLE.firstrow))),0,
           IF(OFFSET(PLE!$G$15,$M106-$A$15,AZ$13)="",10^12,OFFSET(PLE!$G$15,$M106-$A$15,AZ$13)))</f>
        <v>0</v>
      </c>
      <c r="BA106" s="172" cm="1">
        <f t="array" aca="1" ref="BA106" ca="1">IF(OR($D106&lt;&gt;"Serviço",AND(AUTOEVENTO="Manual",$M106=$A$15),$M106&gt;(ROW(PLE.lastrow)-ROW(PLE.firstrow))),0,
           IF(OFFSET(PLE!$G$15,$M106-$A$15,BA$13)="",10^12,OFFSET(PLE!$G$15,$M106-$A$15,BA$13)))</f>
        <v>0</v>
      </c>
      <c r="BB106" s="172" cm="1">
        <f t="array" aca="1" ref="BB106" ca="1">IF(OR($D106&lt;&gt;"Serviço",AND(AUTOEVENTO="Manual",$M106=$A$15),$M106&gt;(ROW(PLE.lastrow)-ROW(PLE.firstrow))),0,
           IF(OFFSET(PLE!$G$15,$M106-$A$15,BB$13)="",10^12,OFFSET(PLE!$G$15,$M106-$A$15,BB$13)))</f>
        <v>0</v>
      </c>
      <c r="BC106" s="172" cm="1">
        <f t="array" aca="1" ref="BC106" ca="1">IF(OR($D106&lt;&gt;"Serviço",AND(AUTOEVENTO="Manual",$M106=$A$15),$M106&gt;(ROW(PLE.lastrow)-ROW(PLE.firstrow))),0,
           IF(OFFSET(PLE!$G$15,$M106-$A$15,BC$13)="",10^12,OFFSET(PLE!$G$15,$M106-$A$15,BC$13)))</f>
        <v>0</v>
      </c>
      <c r="BD106" s="172" cm="1">
        <f t="array" aca="1" ref="BD106" ca="1">IF(OR($D106&lt;&gt;"Serviço",AND(AUTOEVENTO="Manual",$M106=$A$15),$M106&gt;(ROW(PLE.lastrow)-ROW(PLE.firstrow))),0,
           IF(OFFSET(PLE!$G$15,$M106-$A$15,BD$13)="",10^12,OFFSET(PLE!$G$15,$M106-$A$15,BD$13)))</f>
        <v>0</v>
      </c>
      <c r="BE106" s="172" cm="1">
        <f t="array" aca="1" ref="BE106" ca="1">IF(OR($D106&lt;&gt;"Serviço",AND(AUTOEVENTO="Manual",$M106=$A$15),$M106&gt;(ROW(PLE.lastrow)-ROW(PLE.firstrow))),0,
           IF(OFFSET(PLE!$G$15,$M106-$A$15,BE$13)="",10^12,OFFSET(PLE!$G$15,$M106-$A$15,BE$13)))</f>
        <v>0</v>
      </c>
      <c r="BF106" s="172" cm="1">
        <f t="array" aca="1" ref="BF106" ca="1">IF(OR($D106&lt;&gt;"Serviço",AND(AUTOEVENTO="Manual",$M106=$A$15),$M106&gt;(ROW(PLE.lastrow)-ROW(PLE.firstrow))),0,
           IF(OFFSET(PLE!$G$15,$M106-$A$15,BF$13)="",10^12,OFFSET(PLE!$G$15,$M106-$A$15,BF$13)))</f>
        <v>0</v>
      </c>
      <c r="BG106" s="172" cm="1">
        <f t="array" aca="1" ref="BG106" ca="1">IF(OR($D106&lt;&gt;"Serviço",AND(AUTOEVENTO="Manual",$M106=$A$15),$M106&gt;(ROW(PLE.lastrow)-ROW(PLE.firstrow))),0,
           IF(OFFSET(PLE!$G$15,$M106-$A$15,BG$13)="",10^12,OFFSET(PLE!$G$15,$M106-$A$15,BG$13)))</f>
        <v>0</v>
      </c>
    </row>
    <row r="107" spans="1:59" ht="51" x14ac:dyDescent="0.2">
      <c r="A107" s="7" t="str">
        <f t="shared" ca="1" si="8"/>
        <v>88</v>
      </c>
      <c r="B107" s="7" t="str">
        <f ca="1">OFFSET(ORÇAMENTO!C$15,$L107,0)</f>
        <v>S</v>
      </c>
      <c r="C107" s="7" t="str">
        <f ca="1">OFFSET(ORÇAMENTO!L$15,$L107,0)</f>
        <v>F</v>
      </c>
      <c r="D107" s="116" t="str">
        <f ca="1">OFFSET(ORÇAMENTO!N$15,$L107,0)</f>
        <v>Serviço</v>
      </c>
      <c r="E107" s="117" t="str">
        <f ca="1">OFFSET(ORÇAMENTO!O$15,$L107,0)</f>
        <v>1.5.2.0.1.</v>
      </c>
      <c r="F107" s="163" t="str">
        <f ca="1">OFFSET(ORÇAMENTO!R$15,$L107,0)</f>
        <v>ALVENARIA DE VEDAÇÃO DE BLOCOS CERÂMICOS FURADOS NA HORIZONTAL DE 11,5X14X24 CM (ESPESSURA 11,5 CM) E ARGAMASSA DE ASSENTAMENTO COM PREPARO MANUAL. AF_12/2021</v>
      </c>
      <c r="G107" s="164" t="str">
        <f ca="1">IF($D107&lt;&gt;"Serviço","",OFFSET(ORÇAMENTO!S$15,$L107,0))</f>
        <v>M2</v>
      </c>
      <c r="H107" s="122" cm="1">
        <f t="array" aca="1" ref="H107" ca="1">IF($D107&lt;&gt;"Serviço",0,IF(ACOMPANHAMENTO="BM",ROUND(OFFSET(ORÇAMENTO!AJ$15,$L107,0),15-13*ORÇAMENTO!$AF$7),IF(IFERROR(CÁLCULO.FrentesPreenchidas,0)=0,0,SUM(ROUND(OFFSET($P107,0,1,1,CÁLCULO.FrentesPreenchidas),15-13*ORÇAMENTO!$AF$7)))))</f>
        <v>4583.76</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c r="L107" s="165">
        <f t="shared" ca="1" si="9"/>
        <v>92</v>
      </c>
      <c r="M107" s="166">
        <f ca="1">IF($D107&lt;&gt;"Serviço","",
          IF(AUTOEVENTO="manual",$A107,
                IF(ISERROR(MATCH($A107,$A$15:OFFSET($A107,-1,0),0)),MAX($M$15:OFFSET(M107,-1,0))+1,
                      INDEX($M$15:OFFSET(M107,-1,0),MATCH($A107,$A$15:OFFSET($A107,-1,0),0)))))</f>
        <v>5</v>
      </c>
      <c r="N107" s="167" t="str">
        <f ca="1">IF($D107&lt;&gt;"Serviço","",
         IF(AUTOEVENTO="Manual",
                IF($A107=0,"&lt;-- defina o número do agrupador",
                       OFFSET(EVENTOS!$D$15,$A107-$A$15,0)),
                OFFSET($F$15,$A107,0)))</f>
        <v>ALVENARIAS E VEDAÇÕES</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1000000000000</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12.75" x14ac:dyDescent="0.2">
      <c r="A108" s="7" t="str">
        <f t="shared" ca="1" si="8"/>
        <v>88</v>
      </c>
      <c r="B108" s="7">
        <f ca="1">OFFSET(ORÇAMENTO!C$15,$L108,0)</f>
        <v>3</v>
      </c>
      <c r="C108" s="7" t="str">
        <f ca="1">OFFSET(ORÇAMENTO!L$15,$L108,0)</f>
        <v>F</v>
      </c>
      <c r="D108" s="116" t="str">
        <f ca="1">OFFSET(ORÇAMENTO!N$15,$L108,0)</f>
        <v>Nível 3</v>
      </c>
      <c r="E108" s="117" t="str">
        <f ca="1">OFFSET(ORÇAMENTO!O$15,$L108,0)</f>
        <v>1.5.3.</v>
      </c>
      <c r="F108" s="163" t="str">
        <f ca="1">OFFSET(ORÇAMENTO!R$15,$L108,0)</f>
        <v>VERGAS E CONTRAVERGAS</v>
      </c>
      <c r="G108" s="164" t="str">
        <f ca="1">IF($D108&lt;&gt;"Serviço","",OFFSET(ORÇAMENTO!S$15,$L108,0))</f>
        <v/>
      </c>
      <c r="H108" s="122" cm="1">
        <f t="array" aca="1" ref="H108" ca="1">IF($D108&lt;&gt;"Serviço",0,IF(ACOMPANHAMENTO="BM",ROUND(OFFSET(ORÇAMENTO!AJ$15,$L108,0),15-13*ORÇAMENTO!$AF$7),IF(IFERROR(CÁLCULO.FrentesPreenchidas,0)=0,0,SUM(ROUND(OFFSET($P108,0,1,1,CÁLCULO.FrentesPreenchidas),15-13*ORÇAMENTO!$AF$7)))))</f>
        <v>0</v>
      </c>
      <c r="I108" s="468"/>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c r="L108" s="165">
        <f t="shared" ca="1" si="9"/>
        <v>93</v>
      </c>
      <c r="M108" s="166" t="str">
        <f ca="1">IF($D108&lt;&gt;"Serviço","",
          IF(AUTOEVENTO="manual",$A108,
                IF(ISERROR(MATCH($A108,$A$15:OFFSET($A108,-1,0),0)),MAX($M$15:OFFSET(M108,-1,0))+1,
                      INDEX($M$15:OFFSET(M108,-1,0),MATCH($A108,$A$15:OFFSET($A108,-1,0),0)))))</f>
        <v/>
      </c>
      <c r="N108" s="167" t="str">
        <f ca="1">IF($D108&lt;&gt;"Serviço","",
         IF(AUTOEVENTO="Manual",
                IF($A108=0,"&lt;-- defina o número do agrupador",
                       OFFSET(EVENTOS!$D$15,$A108-$A$15,0)),
                OFFSET($F$15,$A108,0)))</f>
        <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0</v>
      </c>
      <c r="AN108" s="171">
        <f ca="1">IF(OR($D108&lt;&gt;"Serviço",AND(AUTOEVENTO="Manual",$M108=$A$15)),0,
         IF(OFFSET(CRONOPLE!$F$15,$M108-$A$15,AN$13)=0,10^12,OFFSET(CRONOPLE!$F$15,$M108-$A$15,AN$13)))</f>
        <v>0</v>
      </c>
      <c r="AO108" s="171">
        <f ca="1">IF(OR($D108&lt;&gt;"Serviço",AND(AUTOEVENTO="Manual",$M108=$A$15)),0,
         IF(OFFSET(CRONOPLE!$F$15,$M108-$A$15,AO$13)=0,10^12,OFFSET(CRONOPLE!$F$15,$M108-$A$15,AO$13)))</f>
        <v>0</v>
      </c>
      <c r="AP108" s="171">
        <f ca="1">IF(OR($D108&lt;&gt;"Serviço",AND(AUTOEVENTO="Manual",$M108=$A$15)),0,
         IF(OFFSET(CRONOPLE!$F$15,$M108-$A$15,AP$13)=0,10^12,OFFSET(CRONOPLE!$F$15,$M108-$A$15,AP$13)))</f>
        <v>0</v>
      </c>
      <c r="AQ108" s="171">
        <f ca="1">IF(OR($D108&lt;&gt;"Serviço",AND(AUTOEVENTO="Manual",$M108=$A$15)),0,
         IF(OFFSET(CRONOPLE!$F$15,$M108-$A$15,AQ$13)=0,10^12,OFFSET(CRONOPLE!$F$15,$M108-$A$15,AQ$13)))</f>
        <v>0</v>
      </c>
      <c r="AR108" s="171">
        <f ca="1">IF(OR($D108&lt;&gt;"Serviço",AND(AUTOEVENTO="Manual",$M108=$A$15)),0,
         IF(OFFSET(CRONOPLE!$F$15,$M108-$A$15,AR$13)=0,10^12,OFFSET(CRONOPLE!$F$15,$M108-$A$15,AR$13)))</f>
        <v>0</v>
      </c>
      <c r="AS108" s="171">
        <f ca="1">IF(OR($D108&lt;&gt;"Serviço",AND(AUTOEVENTO="Manual",$M108=$A$15)),0,
         IF(OFFSET(CRONOPLE!$F$15,$M108-$A$15,AS$13)=0,10^12,OFFSET(CRONOPLE!$F$15,$M108-$A$15,AS$13)))</f>
        <v>0</v>
      </c>
      <c r="AT108" s="171">
        <f ca="1">IF(OR($D108&lt;&gt;"Serviço",AND(AUTOEVENTO="Manual",$M108=$A$15)),0,
         IF(OFFSET(CRONOPLE!$F$15,$M108-$A$15,AT$13)=0,10^12,OFFSET(CRONOPLE!$F$15,$M108-$A$15,AT$13)))</f>
        <v>0</v>
      </c>
      <c r="AU108" s="171">
        <f ca="1">IF(OR($D108&lt;&gt;"Serviço",AND(AUTOEVENTO="Manual",$M108=$A$15)),0,
         IF(OFFSET(CRONOPLE!$F$15,$M108-$A$15,AU$13)=0,10^12,OFFSET(CRONOPLE!$F$15,$M108-$A$15,AU$13)))</f>
        <v>0</v>
      </c>
      <c r="AV108" s="171">
        <f ca="1">IF(OR($D108&lt;&gt;"Serviço",AND(AUTOEVENTO="Manual",$M108=$A$15)),0,
         IF(OFFSET(CRONOPLE!$F$15,$M108-$A$15,AV$13)=0,10^12,OFFSET(CRONOPLE!$F$15,$M108-$A$15,AV$13)))</f>
        <v>0</v>
      </c>
      <c r="AX108" s="172" cm="1">
        <f t="array" aca="1" ref="AX108" ca="1">IF(OR($D108&lt;&gt;"Serviço",AND(AUTOEVENTO="Manual",$M108=$A$15),$M108&gt;(ROW(PLE.lastrow)-ROW(PLE.firstrow))),0,
           IF(OFFSET(PLE!$G$15,$M108-$A$15,AX$13)="",10^12,OFFSET(PLE!$G$15,$M108-$A$15,AX$13)))</f>
        <v>0</v>
      </c>
      <c r="AY108" s="172" cm="1">
        <f t="array" aca="1" ref="AY108" ca="1">IF(OR($D108&lt;&gt;"Serviço",AND(AUTOEVENTO="Manual",$M108=$A$15),$M108&gt;(ROW(PLE.lastrow)-ROW(PLE.firstrow))),0,
           IF(OFFSET(PLE!$G$15,$M108-$A$15,AY$13)="",10^12,OFFSET(PLE!$G$15,$M108-$A$15,AY$13)))</f>
        <v>0</v>
      </c>
      <c r="AZ108" s="172" cm="1">
        <f t="array" aca="1" ref="AZ108" ca="1">IF(OR($D108&lt;&gt;"Serviço",AND(AUTOEVENTO="Manual",$M108=$A$15),$M108&gt;(ROW(PLE.lastrow)-ROW(PLE.firstrow))),0,
           IF(OFFSET(PLE!$G$15,$M108-$A$15,AZ$13)="",10^12,OFFSET(PLE!$G$15,$M108-$A$15,AZ$13)))</f>
        <v>0</v>
      </c>
      <c r="BA108" s="172" cm="1">
        <f t="array" aca="1" ref="BA108" ca="1">IF(OR($D108&lt;&gt;"Serviço",AND(AUTOEVENTO="Manual",$M108=$A$15),$M108&gt;(ROW(PLE.lastrow)-ROW(PLE.firstrow))),0,
           IF(OFFSET(PLE!$G$15,$M108-$A$15,BA$13)="",10^12,OFFSET(PLE!$G$15,$M108-$A$15,BA$13)))</f>
        <v>0</v>
      </c>
      <c r="BB108" s="172" cm="1">
        <f t="array" aca="1" ref="BB108" ca="1">IF(OR($D108&lt;&gt;"Serviço",AND(AUTOEVENTO="Manual",$M108=$A$15),$M108&gt;(ROW(PLE.lastrow)-ROW(PLE.firstrow))),0,
           IF(OFFSET(PLE!$G$15,$M108-$A$15,BB$13)="",10^12,OFFSET(PLE!$G$15,$M108-$A$15,BB$13)))</f>
        <v>0</v>
      </c>
      <c r="BC108" s="172" cm="1">
        <f t="array" aca="1" ref="BC108" ca="1">IF(OR($D108&lt;&gt;"Serviço",AND(AUTOEVENTO="Manual",$M108=$A$15),$M108&gt;(ROW(PLE.lastrow)-ROW(PLE.firstrow))),0,
           IF(OFFSET(PLE!$G$15,$M108-$A$15,BC$13)="",10^12,OFFSET(PLE!$G$15,$M108-$A$15,BC$13)))</f>
        <v>0</v>
      </c>
      <c r="BD108" s="172" cm="1">
        <f t="array" aca="1" ref="BD108" ca="1">IF(OR($D108&lt;&gt;"Serviço",AND(AUTOEVENTO="Manual",$M108=$A$15),$M108&gt;(ROW(PLE.lastrow)-ROW(PLE.firstrow))),0,
           IF(OFFSET(PLE!$G$15,$M108-$A$15,BD$13)="",10^12,OFFSET(PLE!$G$15,$M108-$A$15,BD$13)))</f>
        <v>0</v>
      </c>
      <c r="BE108" s="172" cm="1">
        <f t="array" aca="1" ref="BE108" ca="1">IF(OR($D108&lt;&gt;"Serviço",AND(AUTOEVENTO="Manual",$M108=$A$15),$M108&gt;(ROW(PLE.lastrow)-ROW(PLE.firstrow))),0,
           IF(OFFSET(PLE!$G$15,$M108-$A$15,BE$13)="",10^12,OFFSET(PLE!$G$15,$M108-$A$15,BE$13)))</f>
        <v>0</v>
      </c>
      <c r="BF108" s="172" cm="1">
        <f t="array" aca="1" ref="BF108" ca="1">IF(OR($D108&lt;&gt;"Serviço",AND(AUTOEVENTO="Manual",$M108=$A$15),$M108&gt;(ROW(PLE.lastrow)-ROW(PLE.firstrow))),0,
           IF(OFFSET(PLE!$G$15,$M108-$A$15,BF$13)="",10^12,OFFSET(PLE!$G$15,$M108-$A$15,BF$13)))</f>
        <v>0</v>
      </c>
      <c r="BG108" s="172" cm="1">
        <f t="array" aca="1" ref="BG108" ca="1">IF(OR($D108&lt;&gt;"Serviço",AND(AUTOEVENTO="Manual",$M108=$A$15),$M108&gt;(ROW(PLE.lastrow)-ROW(PLE.firstrow))),0,
           IF(OFFSET(PLE!$G$15,$M108-$A$15,BG$13)="",10^12,OFFSET(PLE!$G$15,$M108-$A$15,BG$13)))</f>
        <v>0</v>
      </c>
    </row>
    <row r="109" spans="1:59" ht="25.5" x14ac:dyDescent="0.2">
      <c r="A109" s="7" t="str">
        <f t="shared" ca="1" si="8"/>
        <v>88</v>
      </c>
      <c r="B109" s="7" t="str">
        <f ca="1">OFFSET(ORÇAMENTO!C$15,$L109,0)</f>
        <v>S</v>
      </c>
      <c r="C109" s="7" t="str">
        <f ca="1">OFFSET(ORÇAMENTO!L$15,$L109,0)</f>
        <v>F</v>
      </c>
      <c r="D109" s="116" t="str">
        <f ca="1">OFFSET(ORÇAMENTO!N$15,$L109,0)</f>
        <v>Serviço</v>
      </c>
      <c r="E109" s="117" t="str">
        <f ca="1">OFFSET(ORÇAMENTO!O$15,$L109,0)</f>
        <v>1.5.3.0.1.</v>
      </c>
      <c r="F109" s="163" t="str">
        <f ca="1">OFFSET(ORÇAMENTO!R$15,$L109,0)</f>
        <v>VERGA MOLDADA IN LOCO EM CONCRETO, ESPESSURA DE *10* CM. AF_03/2024</v>
      </c>
      <c r="G109" s="164" t="str">
        <f ca="1">IF($D109&lt;&gt;"Serviço","",OFFSET(ORÇAMENTO!S$15,$L109,0))</f>
        <v>M</v>
      </c>
      <c r="H109" s="122" cm="1">
        <f t="array" aca="1" ref="H109" ca="1">IF($D109&lt;&gt;"Serviço",0,IF(ACOMPANHAMENTO="BM",ROUND(OFFSET(ORÇAMENTO!AJ$15,$L109,0),15-13*ORÇAMENTO!$AF$7),IF(IFERROR(CÁLCULO.FrentesPreenchidas,0)=0,0,SUM(ROUND(OFFSET($P109,0,1,1,CÁLCULO.FrentesPreenchidas),15-13*ORÇAMENTO!$AF$7)))))</f>
        <v>12.8</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c r="L109" s="165">
        <f t="shared" ca="1" si="9"/>
        <v>94</v>
      </c>
      <c r="M109" s="166">
        <f ca="1">IF($D109&lt;&gt;"Serviço","",
          IF(AUTOEVENTO="manual",$A109,
                IF(ISERROR(MATCH($A109,$A$15:OFFSET($A109,-1,0),0)),MAX($M$15:OFFSET(M109,-1,0))+1,
                      INDEX($M$15:OFFSET(M109,-1,0),MATCH($A109,$A$15:OFFSET($A109,-1,0),0)))))</f>
        <v>5</v>
      </c>
      <c r="N109" s="167" t="str">
        <f ca="1">IF($D109&lt;&gt;"Serviço","",
         IF(AUTOEVENTO="Manual",
                IF($A109=0,"&lt;-- defina o número do agrupador",
                       OFFSET(EVENTOS!$D$15,$A109-$A$15,0)),
                OFFSET($F$15,$A109,0)))</f>
        <v>ALVENARIAS E VEDAÇÕES</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1000000000000</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25.5" x14ac:dyDescent="0.2">
      <c r="A110" s="7" t="str">
        <f t="shared" ca="1" si="8"/>
        <v>88</v>
      </c>
      <c r="B110" s="7" t="str">
        <f ca="1">OFFSET(ORÇAMENTO!C$15,$L110,0)</f>
        <v>S</v>
      </c>
      <c r="C110" s="7" t="str">
        <f ca="1">OFFSET(ORÇAMENTO!L$15,$L110,0)</f>
        <v>F</v>
      </c>
      <c r="D110" s="116" t="str">
        <f ca="1">OFFSET(ORÇAMENTO!N$15,$L110,0)</f>
        <v>Serviço</v>
      </c>
      <c r="E110" s="117" t="str">
        <f ca="1">OFFSET(ORÇAMENTO!O$15,$L110,0)</f>
        <v>1.5.3.0.2.</v>
      </c>
      <c r="F110" s="163" t="str">
        <f ca="1">OFFSET(ORÇAMENTO!R$15,$L110,0)</f>
        <v>CONTRAVERGA MOLDADA IN LOCO EM CONCRETO, ESPESSURA DE *10* CM. AF_03/2024</v>
      </c>
      <c r="G110" s="164" t="str">
        <f ca="1">IF($D110&lt;&gt;"Serviço","",OFFSET(ORÇAMENTO!S$15,$L110,0))</f>
        <v>M</v>
      </c>
      <c r="H110" s="122" cm="1">
        <f t="array" aca="1" ref="H110" ca="1">IF($D110&lt;&gt;"Serviço",0,IF(ACOMPANHAMENTO="BM",ROUND(OFFSET(ORÇAMENTO!AJ$15,$L110,0),15-13*ORÇAMENTO!$AF$7),IF(IFERROR(CÁLCULO.FrentesPreenchidas,0)=0,0,SUM(ROUND(OFFSET($P110,0,1,1,CÁLCULO.FrentesPreenchidas),15-13*ORÇAMENTO!$AF$7)))))</f>
        <v>6.7</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t="shared" ca="1" si="9"/>
        <v>95</v>
      </c>
      <c r="M110" s="166">
        <f ca="1">IF($D110&lt;&gt;"Serviço","",
          IF(AUTOEVENTO="manual",$A110,
                IF(ISERROR(MATCH($A110,$A$15:OFFSET($A110,-1,0),0)),MAX($M$15:OFFSET(M110,-1,0))+1,
                      INDEX($M$15:OFFSET(M110,-1,0),MATCH($A110,$A$15:OFFSET($A110,-1,0),0)))))</f>
        <v>5</v>
      </c>
      <c r="N110" s="167" t="str">
        <f ca="1">IF($D110&lt;&gt;"Serviço","",
         IF(AUTOEVENTO="Manual",
                IF($A110=0,"&lt;-- defina o número do agrupador",
                       OFFSET(EVENTOS!$D$15,$A110-$A$15,0)),
                OFFSET($F$15,$A110,0)))</f>
        <v>ALVENARIAS E VEDAÇÕES</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1000000000000</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ht="12.75" x14ac:dyDescent="0.2">
      <c r="A111" s="7" t="str">
        <f t="shared" ca="1" si="8"/>
        <v>96.</v>
      </c>
      <c r="B111" s="7">
        <f ca="1">OFFSET(ORÇAMENTO!C$15,$L111,0)</f>
        <v>2</v>
      </c>
      <c r="C111" s="7" t="str">
        <f ca="1">OFFSET(ORÇAMENTO!L$15,$L111,0)</f>
        <v>F</v>
      </c>
      <c r="D111" s="116" t="str">
        <f ca="1">OFFSET(ORÇAMENTO!N$15,$L111,0)</f>
        <v>Nível 2</v>
      </c>
      <c r="E111" s="117" t="str">
        <f ca="1">OFFSET(ORÇAMENTO!O$15,$L111,0)</f>
        <v>1.6.</v>
      </c>
      <c r="F111" s="163" t="str">
        <f ca="1">OFFSET(ORÇAMENTO!R$15,$L111,0)</f>
        <v>COBERTURA</v>
      </c>
      <c r="G111" s="164" t="str">
        <f ca="1">IF($D111&lt;&gt;"Serviço","",OFFSET(ORÇAMENTO!S$15,$L111,0))</f>
        <v/>
      </c>
      <c r="H111" s="122" cm="1">
        <f t="array" aca="1" ref="H111" ca="1">IF($D111&lt;&gt;"Serviço",0,IF(ACOMPANHAMENTO="BM",ROUND(OFFSET(ORÇAMENTO!AJ$15,$L111,0),15-13*ORÇAMENTO!$AF$7),IF(IFERROR(CÁLCULO.FrentesPreenchidas,0)=0,0,SUM(ROUND(OFFSET($P111,0,1,1,CÁLCULO.FrentesPreenchidas),15-13*ORÇAMENTO!$AF$7)))))</f>
        <v>0</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c r="L111" s="165">
        <f t="shared" ca="1" si="9"/>
        <v>96</v>
      </c>
      <c r="M111" s="166" t="str">
        <f ca="1">IF($D111&lt;&gt;"Serviço","",
          IF(AUTOEVENTO="manual",$A111,
                IF(ISERROR(MATCH($A111,$A$15:OFFSET($A111,-1,0),0)),MAX($M$15:OFFSET(M111,-1,0))+1,
                      INDEX($M$15:OFFSET(M111,-1,0),MATCH($A111,$A$15:OFFSET($A111,-1,0),0)))))</f>
        <v/>
      </c>
      <c r="N111" s="167" t="str">
        <f ca="1">IF($D111&lt;&gt;"Serviço","",
         IF(AUTOEVENTO="Manual",
                IF($A111=0,"&lt;-- defina o número do agrupador",
                       OFFSET(EVENTOS!$D$15,$A111-$A$15,0)),
                OFFSET($F$15,$A111,0)))</f>
        <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0</v>
      </c>
      <c r="AN111" s="171">
        <f ca="1">IF(OR($D111&lt;&gt;"Serviço",AND(AUTOEVENTO="Manual",$M111=$A$15)),0,
         IF(OFFSET(CRONOPLE!$F$15,$M111-$A$15,AN$13)=0,10^12,OFFSET(CRONOPLE!$F$15,$M111-$A$15,AN$13)))</f>
        <v>0</v>
      </c>
      <c r="AO111" s="171">
        <f ca="1">IF(OR($D111&lt;&gt;"Serviço",AND(AUTOEVENTO="Manual",$M111=$A$15)),0,
         IF(OFFSET(CRONOPLE!$F$15,$M111-$A$15,AO$13)=0,10^12,OFFSET(CRONOPLE!$F$15,$M111-$A$15,AO$13)))</f>
        <v>0</v>
      </c>
      <c r="AP111" s="171">
        <f ca="1">IF(OR($D111&lt;&gt;"Serviço",AND(AUTOEVENTO="Manual",$M111=$A$15)),0,
         IF(OFFSET(CRONOPLE!$F$15,$M111-$A$15,AP$13)=0,10^12,OFFSET(CRONOPLE!$F$15,$M111-$A$15,AP$13)))</f>
        <v>0</v>
      </c>
      <c r="AQ111" s="171">
        <f ca="1">IF(OR($D111&lt;&gt;"Serviço",AND(AUTOEVENTO="Manual",$M111=$A$15)),0,
         IF(OFFSET(CRONOPLE!$F$15,$M111-$A$15,AQ$13)=0,10^12,OFFSET(CRONOPLE!$F$15,$M111-$A$15,AQ$13)))</f>
        <v>0</v>
      </c>
      <c r="AR111" s="171">
        <f ca="1">IF(OR($D111&lt;&gt;"Serviço",AND(AUTOEVENTO="Manual",$M111=$A$15)),0,
         IF(OFFSET(CRONOPLE!$F$15,$M111-$A$15,AR$13)=0,10^12,OFFSET(CRONOPLE!$F$15,$M111-$A$15,AR$13)))</f>
        <v>0</v>
      </c>
      <c r="AS111" s="171">
        <f ca="1">IF(OR($D111&lt;&gt;"Serviço",AND(AUTOEVENTO="Manual",$M111=$A$15)),0,
         IF(OFFSET(CRONOPLE!$F$15,$M111-$A$15,AS$13)=0,10^12,OFFSET(CRONOPLE!$F$15,$M111-$A$15,AS$13)))</f>
        <v>0</v>
      </c>
      <c r="AT111" s="171">
        <f ca="1">IF(OR($D111&lt;&gt;"Serviço",AND(AUTOEVENTO="Manual",$M111=$A$15)),0,
         IF(OFFSET(CRONOPLE!$F$15,$M111-$A$15,AT$13)=0,10^12,OFFSET(CRONOPLE!$F$15,$M111-$A$15,AT$13)))</f>
        <v>0</v>
      </c>
      <c r="AU111" s="171">
        <f ca="1">IF(OR($D111&lt;&gt;"Serviço",AND(AUTOEVENTO="Manual",$M111=$A$15)),0,
         IF(OFFSET(CRONOPLE!$F$15,$M111-$A$15,AU$13)=0,10^12,OFFSET(CRONOPLE!$F$15,$M111-$A$15,AU$13)))</f>
        <v>0</v>
      </c>
      <c r="AV111" s="171">
        <f ca="1">IF(OR($D111&lt;&gt;"Serviço",AND(AUTOEVENTO="Manual",$M111=$A$15)),0,
         IF(OFFSET(CRONOPLE!$F$15,$M111-$A$15,AV$13)=0,10^12,OFFSET(CRONOPLE!$F$15,$M111-$A$15,AV$13)))</f>
        <v>0</v>
      </c>
      <c r="AX111" s="172" cm="1">
        <f t="array" aca="1" ref="AX111" ca="1">IF(OR($D111&lt;&gt;"Serviço",AND(AUTOEVENTO="Manual",$M111=$A$15),$M111&gt;(ROW(PLE.lastrow)-ROW(PLE.firstrow))),0,
           IF(OFFSET(PLE!$G$15,$M111-$A$15,AX$13)="",10^12,OFFSET(PLE!$G$15,$M111-$A$15,AX$13)))</f>
        <v>0</v>
      </c>
      <c r="AY111" s="172" cm="1">
        <f t="array" aca="1" ref="AY111" ca="1">IF(OR($D111&lt;&gt;"Serviço",AND(AUTOEVENTO="Manual",$M111=$A$15),$M111&gt;(ROW(PLE.lastrow)-ROW(PLE.firstrow))),0,
           IF(OFFSET(PLE!$G$15,$M111-$A$15,AY$13)="",10^12,OFFSET(PLE!$G$15,$M111-$A$15,AY$13)))</f>
        <v>0</v>
      </c>
      <c r="AZ111" s="172" cm="1">
        <f t="array" aca="1" ref="AZ111" ca="1">IF(OR($D111&lt;&gt;"Serviço",AND(AUTOEVENTO="Manual",$M111=$A$15),$M111&gt;(ROW(PLE.lastrow)-ROW(PLE.firstrow))),0,
           IF(OFFSET(PLE!$G$15,$M111-$A$15,AZ$13)="",10^12,OFFSET(PLE!$G$15,$M111-$A$15,AZ$13)))</f>
        <v>0</v>
      </c>
      <c r="BA111" s="172" cm="1">
        <f t="array" aca="1" ref="BA111" ca="1">IF(OR($D111&lt;&gt;"Serviço",AND(AUTOEVENTO="Manual",$M111=$A$15),$M111&gt;(ROW(PLE.lastrow)-ROW(PLE.firstrow))),0,
           IF(OFFSET(PLE!$G$15,$M111-$A$15,BA$13)="",10^12,OFFSET(PLE!$G$15,$M111-$A$15,BA$13)))</f>
        <v>0</v>
      </c>
      <c r="BB111" s="172" cm="1">
        <f t="array" aca="1" ref="BB111" ca="1">IF(OR($D111&lt;&gt;"Serviço",AND(AUTOEVENTO="Manual",$M111=$A$15),$M111&gt;(ROW(PLE.lastrow)-ROW(PLE.firstrow))),0,
           IF(OFFSET(PLE!$G$15,$M111-$A$15,BB$13)="",10^12,OFFSET(PLE!$G$15,$M111-$A$15,BB$13)))</f>
        <v>0</v>
      </c>
      <c r="BC111" s="172" cm="1">
        <f t="array" aca="1" ref="BC111" ca="1">IF(OR($D111&lt;&gt;"Serviço",AND(AUTOEVENTO="Manual",$M111=$A$15),$M111&gt;(ROW(PLE.lastrow)-ROW(PLE.firstrow))),0,
           IF(OFFSET(PLE!$G$15,$M111-$A$15,BC$13)="",10^12,OFFSET(PLE!$G$15,$M111-$A$15,BC$13)))</f>
        <v>0</v>
      </c>
      <c r="BD111" s="172" cm="1">
        <f t="array" aca="1" ref="BD111" ca="1">IF(OR($D111&lt;&gt;"Serviço",AND(AUTOEVENTO="Manual",$M111=$A$15),$M111&gt;(ROW(PLE.lastrow)-ROW(PLE.firstrow))),0,
           IF(OFFSET(PLE!$G$15,$M111-$A$15,BD$13)="",10^12,OFFSET(PLE!$G$15,$M111-$A$15,BD$13)))</f>
        <v>0</v>
      </c>
      <c r="BE111" s="172" cm="1">
        <f t="array" aca="1" ref="BE111" ca="1">IF(OR($D111&lt;&gt;"Serviço",AND(AUTOEVENTO="Manual",$M111=$A$15),$M111&gt;(ROW(PLE.lastrow)-ROW(PLE.firstrow))),0,
           IF(OFFSET(PLE!$G$15,$M111-$A$15,BE$13)="",10^12,OFFSET(PLE!$G$15,$M111-$A$15,BE$13)))</f>
        <v>0</v>
      </c>
      <c r="BF111" s="172" cm="1">
        <f t="array" aca="1" ref="BF111" ca="1">IF(OR($D111&lt;&gt;"Serviço",AND(AUTOEVENTO="Manual",$M111=$A$15),$M111&gt;(ROW(PLE.lastrow)-ROW(PLE.firstrow))),0,
           IF(OFFSET(PLE!$G$15,$M111-$A$15,BF$13)="",10^12,OFFSET(PLE!$G$15,$M111-$A$15,BF$13)))</f>
        <v>0</v>
      </c>
      <c r="BG111" s="172" cm="1">
        <f t="array" aca="1" ref="BG111" ca="1">IF(OR($D111&lt;&gt;"Serviço",AND(AUTOEVENTO="Manual",$M111=$A$15),$M111&gt;(ROW(PLE.lastrow)-ROW(PLE.firstrow))),0,
           IF(OFFSET(PLE!$G$15,$M111-$A$15,BG$13)="",10^12,OFFSET(PLE!$G$15,$M111-$A$15,BG$13)))</f>
        <v>0</v>
      </c>
    </row>
    <row r="112" spans="1:59" ht="12.75" x14ac:dyDescent="0.2">
      <c r="A112" s="7" t="str">
        <f t="shared" ca="1" si="8"/>
        <v>96.</v>
      </c>
      <c r="B112" s="7">
        <f ca="1">OFFSET(ORÇAMENTO!C$15,$L112,0)</f>
        <v>3</v>
      </c>
      <c r="C112" s="7" t="str">
        <f ca="1">OFFSET(ORÇAMENTO!L$15,$L112,0)</f>
        <v>F</v>
      </c>
      <c r="D112" s="116" t="str">
        <f ca="1">OFFSET(ORÇAMENTO!N$15,$L112,0)</f>
        <v>Nível 3</v>
      </c>
      <c r="E112" s="117" t="str">
        <f ca="1">OFFSET(ORÇAMENTO!O$15,$L112,0)</f>
        <v>1.6.1.</v>
      </c>
      <c r="F112" s="163" t="str">
        <f ca="1">OFFSET(ORÇAMENTO!R$15,$L112,0)</f>
        <v>ESTRUTURA EM MADEIRA</v>
      </c>
      <c r="G112" s="164" t="str">
        <f ca="1">IF($D112&lt;&gt;"Serviço","",OFFSET(ORÇAMENTO!S$15,$L112,0))</f>
        <v/>
      </c>
      <c r="H112" s="122" cm="1">
        <f t="array" aca="1" ref="H112" ca="1">IF($D112&lt;&gt;"Serviço",0,IF(ACOMPANHAMENTO="BM",ROUND(OFFSET(ORÇAMENTO!AJ$15,$L112,0),15-13*ORÇAMENTO!$AF$7),IF(IFERROR(CÁLCULO.FrentesPreenchidas,0)=0,0,SUM(ROUND(OFFSET($P112,0,1,1,CÁLCULO.FrentesPreenchidas),15-13*ORÇAMENTO!$AF$7)))))</f>
        <v>0</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9"/>
        <v>97</v>
      </c>
      <c r="M112" s="166" t="str">
        <f ca="1">IF($D112&lt;&gt;"Serviço","",
          IF(AUTOEVENTO="manual",$A112,
                IF(ISERROR(MATCH($A112,$A$15:OFFSET($A112,-1,0),0)),MAX($M$15:OFFSET(M112,-1,0))+1,
                      INDEX($M$15:OFFSET(M112,-1,0),MATCH($A112,$A$15:OFFSET($A112,-1,0),0)))))</f>
        <v/>
      </c>
      <c r="N112" s="167" t="str">
        <f ca="1">IF($D112&lt;&gt;"Serviço","",
         IF(AUTOEVENTO="Manual",
                IF($A112=0,"&lt;-- defina o número do agrupador",
                       OFFSET(EVENTOS!$D$15,$A112-$A$15,0)),
                OFFSET($F$15,$A112,0)))</f>
        <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0</v>
      </c>
      <c r="AN112" s="171">
        <f ca="1">IF(OR($D112&lt;&gt;"Serviço",AND(AUTOEVENTO="Manual",$M112=$A$15)),0,
         IF(OFFSET(CRONOPLE!$F$15,$M112-$A$15,AN$13)=0,10^12,OFFSET(CRONOPLE!$F$15,$M112-$A$15,AN$13)))</f>
        <v>0</v>
      </c>
      <c r="AO112" s="171">
        <f ca="1">IF(OR($D112&lt;&gt;"Serviço",AND(AUTOEVENTO="Manual",$M112=$A$15)),0,
         IF(OFFSET(CRONOPLE!$F$15,$M112-$A$15,AO$13)=0,10^12,OFFSET(CRONOPLE!$F$15,$M112-$A$15,AO$13)))</f>
        <v>0</v>
      </c>
      <c r="AP112" s="171">
        <f ca="1">IF(OR($D112&lt;&gt;"Serviço",AND(AUTOEVENTO="Manual",$M112=$A$15)),0,
         IF(OFFSET(CRONOPLE!$F$15,$M112-$A$15,AP$13)=0,10^12,OFFSET(CRONOPLE!$F$15,$M112-$A$15,AP$13)))</f>
        <v>0</v>
      </c>
      <c r="AQ112" s="171">
        <f ca="1">IF(OR($D112&lt;&gt;"Serviço",AND(AUTOEVENTO="Manual",$M112=$A$15)),0,
         IF(OFFSET(CRONOPLE!$F$15,$M112-$A$15,AQ$13)=0,10^12,OFFSET(CRONOPLE!$F$15,$M112-$A$15,AQ$13)))</f>
        <v>0</v>
      </c>
      <c r="AR112" s="171">
        <f ca="1">IF(OR($D112&lt;&gt;"Serviço",AND(AUTOEVENTO="Manual",$M112=$A$15)),0,
         IF(OFFSET(CRONOPLE!$F$15,$M112-$A$15,AR$13)=0,10^12,OFFSET(CRONOPLE!$F$15,$M112-$A$15,AR$13)))</f>
        <v>0</v>
      </c>
      <c r="AS112" s="171">
        <f ca="1">IF(OR($D112&lt;&gt;"Serviço",AND(AUTOEVENTO="Manual",$M112=$A$15)),0,
         IF(OFFSET(CRONOPLE!$F$15,$M112-$A$15,AS$13)=0,10^12,OFFSET(CRONOPLE!$F$15,$M112-$A$15,AS$13)))</f>
        <v>0</v>
      </c>
      <c r="AT112" s="171">
        <f ca="1">IF(OR($D112&lt;&gt;"Serviço",AND(AUTOEVENTO="Manual",$M112=$A$15)),0,
         IF(OFFSET(CRONOPLE!$F$15,$M112-$A$15,AT$13)=0,10^12,OFFSET(CRONOPLE!$F$15,$M112-$A$15,AT$13)))</f>
        <v>0</v>
      </c>
      <c r="AU112" s="171">
        <f ca="1">IF(OR($D112&lt;&gt;"Serviço",AND(AUTOEVENTO="Manual",$M112=$A$15)),0,
         IF(OFFSET(CRONOPLE!$F$15,$M112-$A$15,AU$13)=0,10^12,OFFSET(CRONOPLE!$F$15,$M112-$A$15,AU$13)))</f>
        <v>0</v>
      </c>
      <c r="AV112" s="171">
        <f ca="1">IF(OR($D112&lt;&gt;"Serviço",AND(AUTOEVENTO="Manual",$M112=$A$15)),0,
         IF(OFFSET(CRONOPLE!$F$15,$M112-$A$15,AV$13)=0,10^12,OFFSET(CRONOPLE!$F$15,$M112-$A$15,AV$13)))</f>
        <v>0</v>
      </c>
      <c r="AX112" s="172" cm="1">
        <f t="array" aca="1" ref="AX112" ca="1">IF(OR($D112&lt;&gt;"Serviço",AND(AUTOEVENTO="Manual",$M112=$A$15),$M112&gt;(ROW(PLE.lastrow)-ROW(PLE.firstrow))),0,
           IF(OFFSET(PLE!$G$15,$M112-$A$15,AX$13)="",10^12,OFFSET(PLE!$G$15,$M112-$A$15,AX$13)))</f>
        <v>0</v>
      </c>
      <c r="AY112" s="172" cm="1">
        <f t="array" aca="1" ref="AY112" ca="1">IF(OR($D112&lt;&gt;"Serviço",AND(AUTOEVENTO="Manual",$M112=$A$15),$M112&gt;(ROW(PLE.lastrow)-ROW(PLE.firstrow))),0,
           IF(OFFSET(PLE!$G$15,$M112-$A$15,AY$13)="",10^12,OFFSET(PLE!$G$15,$M112-$A$15,AY$13)))</f>
        <v>0</v>
      </c>
      <c r="AZ112" s="172" cm="1">
        <f t="array" aca="1" ref="AZ112" ca="1">IF(OR($D112&lt;&gt;"Serviço",AND(AUTOEVENTO="Manual",$M112=$A$15),$M112&gt;(ROW(PLE.lastrow)-ROW(PLE.firstrow))),0,
           IF(OFFSET(PLE!$G$15,$M112-$A$15,AZ$13)="",10^12,OFFSET(PLE!$G$15,$M112-$A$15,AZ$13)))</f>
        <v>0</v>
      </c>
      <c r="BA112" s="172" cm="1">
        <f t="array" aca="1" ref="BA112" ca="1">IF(OR($D112&lt;&gt;"Serviço",AND(AUTOEVENTO="Manual",$M112=$A$15),$M112&gt;(ROW(PLE.lastrow)-ROW(PLE.firstrow))),0,
           IF(OFFSET(PLE!$G$15,$M112-$A$15,BA$13)="",10^12,OFFSET(PLE!$G$15,$M112-$A$15,BA$13)))</f>
        <v>0</v>
      </c>
      <c r="BB112" s="172" cm="1">
        <f t="array" aca="1" ref="BB112" ca="1">IF(OR($D112&lt;&gt;"Serviço",AND(AUTOEVENTO="Manual",$M112=$A$15),$M112&gt;(ROW(PLE.lastrow)-ROW(PLE.firstrow))),0,
           IF(OFFSET(PLE!$G$15,$M112-$A$15,BB$13)="",10^12,OFFSET(PLE!$G$15,$M112-$A$15,BB$13)))</f>
        <v>0</v>
      </c>
      <c r="BC112" s="172" cm="1">
        <f t="array" aca="1" ref="BC112" ca="1">IF(OR($D112&lt;&gt;"Serviço",AND(AUTOEVENTO="Manual",$M112=$A$15),$M112&gt;(ROW(PLE.lastrow)-ROW(PLE.firstrow))),0,
           IF(OFFSET(PLE!$G$15,$M112-$A$15,BC$13)="",10^12,OFFSET(PLE!$G$15,$M112-$A$15,BC$13)))</f>
        <v>0</v>
      </c>
      <c r="BD112" s="172" cm="1">
        <f t="array" aca="1" ref="BD112" ca="1">IF(OR($D112&lt;&gt;"Serviço",AND(AUTOEVENTO="Manual",$M112=$A$15),$M112&gt;(ROW(PLE.lastrow)-ROW(PLE.firstrow))),0,
           IF(OFFSET(PLE!$G$15,$M112-$A$15,BD$13)="",10^12,OFFSET(PLE!$G$15,$M112-$A$15,BD$13)))</f>
        <v>0</v>
      </c>
      <c r="BE112" s="172" cm="1">
        <f t="array" aca="1" ref="BE112" ca="1">IF(OR($D112&lt;&gt;"Serviço",AND(AUTOEVENTO="Manual",$M112=$A$15),$M112&gt;(ROW(PLE.lastrow)-ROW(PLE.firstrow))),0,
           IF(OFFSET(PLE!$G$15,$M112-$A$15,BE$13)="",10^12,OFFSET(PLE!$G$15,$M112-$A$15,BE$13)))</f>
        <v>0</v>
      </c>
      <c r="BF112" s="172" cm="1">
        <f t="array" aca="1" ref="BF112" ca="1">IF(OR($D112&lt;&gt;"Serviço",AND(AUTOEVENTO="Manual",$M112=$A$15),$M112&gt;(ROW(PLE.lastrow)-ROW(PLE.firstrow))),0,
           IF(OFFSET(PLE!$G$15,$M112-$A$15,BF$13)="",10^12,OFFSET(PLE!$G$15,$M112-$A$15,BF$13)))</f>
        <v>0</v>
      </c>
      <c r="BG112" s="172" cm="1">
        <f t="array" aca="1" ref="BG112" ca="1">IF(OR($D112&lt;&gt;"Serviço",AND(AUTOEVENTO="Manual",$M112=$A$15),$M112&gt;(ROW(PLE.lastrow)-ROW(PLE.firstrow))),0,
           IF(OFFSET(PLE!$G$15,$M112-$A$15,BG$13)="",10^12,OFFSET(PLE!$G$15,$M112-$A$15,BG$13)))</f>
        <v>0</v>
      </c>
    </row>
    <row r="113" spans="1:59" ht="51" x14ac:dyDescent="0.2">
      <c r="A113" s="7" t="str">
        <f t="shared" ca="1" si="8"/>
        <v>96</v>
      </c>
      <c r="B113" s="7" t="str">
        <f ca="1">OFFSET(ORÇAMENTO!C$15,$L113,0)</f>
        <v>S</v>
      </c>
      <c r="C113" s="7" t="str">
        <f ca="1">OFFSET(ORÇAMENTO!L$15,$L113,0)</f>
        <v>F</v>
      </c>
      <c r="D113" s="116" t="str">
        <f ca="1">OFFSET(ORÇAMENTO!N$15,$L113,0)</f>
        <v>Serviço</v>
      </c>
      <c r="E113" s="117" t="str">
        <f ca="1">OFFSET(ORÇAMENTO!O$15,$L113,0)</f>
        <v>1.6.1.0.1.</v>
      </c>
      <c r="F113" s="163" t="str">
        <f ca="1">OFFSET(ORÇAMENTO!R$15,$L113,0)</f>
        <v>FABRICAÇÃO E INSTALAÇÃO DE TESOURA INTEIRA EM MADEIRA NÃO APARELHADA, VÃO DE 8 M, PARA TELHA ONDULADA DE FIBROCIMENTO, METÁLICA, PLÁSTICA OU TERMOACÚSTICA, INCLUSO IÇAMENTO. AF_10/2025</v>
      </c>
      <c r="G113" s="164" t="str">
        <f ca="1">IF($D113&lt;&gt;"Serviço","",OFFSET(ORÇAMENTO!S$15,$L113,0))</f>
        <v>UN</v>
      </c>
      <c r="H113" s="122" cm="1">
        <f t="array" aca="1" ref="H113" ca="1">IF($D113&lt;&gt;"Serviço",0,IF(ACOMPANHAMENTO="BM",ROUND(OFFSET(ORÇAMENTO!AJ$15,$L113,0),15-13*ORÇAMENTO!$AF$7),IF(IFERROR(CÁLCULO.FrentesPreenchidas,0)=0,0,SUM(ROUND(OFFSET($P113,0,1,1,CÁLCULO.FrentesPreenchidas),15-13*ORÇAMENTO!$AF$7)))))</f>
        <v>120</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c r="L113" s="165">
        <f t="shared" ca="1" si="9"/>
        <v>98</v>
      </c>
      <c r="M113" s="166">
        <f ca="1">IF($D113&lt;&gt;"Serviço","",
          IF(AUTOEVENTO="manual",$A113,
                IF(ISERROR(MATCH($A113,$A$15:OFFSET($A113,-1,0),0)),MAX($M$15:OFFSET(M113,-1,0))+1,
                      INDEX($M$15:OFFSET(M113,-1,0),MATCH($A113,$A$15:OFFSET($A113,-1,0),0)))))</f>
        <v>6</v>
      </c>
      <c r="N113" s="167" t="str">
        <f ca="1">IF($D113&lt;&gt;"Serviço","",
         IF(AUTOEVENTO="Manual",
                IF($A113=0,"&lt;-- defina o número do agrupador",
                       OFFSET(EVENTOS!$D$15,$A113-$A$15,0)),
                OFFSET($F$15,$A113,0)))</f>
        <v>COBERTURA</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1000000000000</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51" x14ac:dyDescent="0.2">
      <c r="A114" s="7" t="str">
        <f t="shared" ca="1" si="8"/>
        <v>96</v>
      </c>
      <c r="B114" s="7" t="str">
        <f ca="1">OFFSET(ORÇAMENTO!C$15,$L114,0)</f>
        <v>S</v>
      </c>
      <c r="C114" s="7" t="str">
        <f ca="1">OFFSET(ORÇAMENTO!L$15,$L114,0)</f>
        <v>F</v>
      </c>
      <c r="D114" s="116" t="str">
        <f ca="1">OFFSET(ORÇAMENTO!N$15,$L114,0)</f>
        <v>Serviço</v>
      </c>
      <c r="E114" s="117" t="str">
        <f ca="1">OFFSET(ORÇAMENTO!O$15,$L114,0)</f>
        <v>1.6.1.0.2.</v>
      </c>
      <c r="F114" s="163" t="str">
        <f ca="1">OFFSET(ORÇAMENTO!R$15,$L114,0)</f>
        <v>FABRICAÇÃO E INSTALAÇÃO DE MEIA TESOURA DE MADEIRA NÃO APARELHADA, COM VÃO DE 4 M, PARA TELHA ONDULADA DE FIBROCIMENTO, ALUMÍNIO, PLÁSTICA OU TERMOACÚSTICA, INCLUSO IÇAMENTO. AF_10/2025</v>
      </c>
      <c r="G114" s="164" t="str">
        <f ca="1">IF($D114&lt;&gt;"Serviço","",OFFSET(ORÇAMENTO!S$15,$L114,0))</f>
        <v>UN</v>
      </c>
      <c r="H114" s="122" cm="1">
        <f t="array" aca="1" ref="H114" ca="1">IF($D114&lt;&gt;"Serviço",0,IF(ACOMPANHAMENTO="BM",ROUND(OFFSET(ORÇAMENTO!AJ$15,$L114,0),15-13*ORÇAMENTO!$AF$7),IF(IFERROR(CÁLCULO.FrentesPreenchidas,0)=0,0,SUM(ROUND(OFFSET($P114,0,1,1,CÁLCULO.FrentesPreenchidas),15-13*ORÇAMENTO!$AF$7)))))</f>
        <v>120</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c r="L114" s="165">
        <f t="shared" ca="1" si="9"/>
        <v>99</v>
      </c>
      <c r="M114" s="166">
        <f ca="1">IF($D114&lt;&gt;"Serviço","",
          IF(AUTOEVENTO="manual",$A114,
                IF(ISERROR(MATCH($A114,$A$15:OFFSET($A114,-1,0),0)),MAX($M$15:OFFSET(M114,-1,0))+1,
                      INDEX($M$15:OFFSET(M114,-1,0),MATCH($A114,$A$15:OFFSET($A114,-1,0),0)))))</f>
        <v>6</v>
      </c>
      <c r="N114" s="167" t="str">
        <f ca="1">IF($D114&lt;&gt;"Serviço","",
         IF(AUTOEVENTO="Manual",
                IF($A114=0,"&lt;-- defina o número do agrupador",
                       OFFSET(EVENTOS!$D$15,$A114-$A$15,0)),
                OFFSET($F$15,$A114,0)))</f>
        <v>COBERTURA</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1000000000000</v>
      </c>
      <c r="AN114" s="171">
        <f ca="1">IF(OR($D114&lt;&gt;"Serviço",AND(AUTOEVENTO="Manual",$M114=$A$15)),0,
         IF(OFFSET(CRONOPLE!$F$15,$M114-$A$15,AN$13)=0,10^12,OFFSET(CRONOPLE!$F$15,$M114-$A$15,AN$13)))</f>
        <v>1000000000000</v>
      </c>
      <c r="AO114" s="171">
        <f ca="1">IF(OR($D114&lt;&gt;"Serviço",AND(AUTOEVENTO="Manual",$M114=$A$15)),0,
         IF(OFFSET(CRONOPLE!$F$15,$M114-$A$15,AO$13)=0,10^12,OFFSET(CRONOPLE!$F$15,$M114-$A$15,AO$13)))</f>
        <v>1000000000000</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cm="1">
        <f t="array" aca="1" ref="AX114" ca="1">IF(OR($D114&lt;&gt;"Serviço",AND(AUTOEVENTO="Manual",$M114=$A$15),$M114&gt;(ROW(PLE.lastrow)-ROW(PLE.firstrow))),0,
           IF(OFFSET(PLE!$G$15,$M114-$A$15,AX$13)="",10^12,OFFSET(PLE!$G$15,$M114-$A$15,AX$13)))</f>
        <v>1000000000000</v>
      </c>
      <c r="AY114" s="172" cm="1">
        <f t="array" aca="1" ref="AY114" ca="1">IF(OR($D114&lt;&gt;"Serviço",AND(AUTOEVENTO="Manual",$M114=$A$15),$M114&gt;(ROW(PLE.lastrow)-ROW(PLE.firstrow))),0,
           IF(OFFSET(PLE!$G$15,$M114-$A$15,AY$13)="",10^12,OFFSET(PLE!$G$15,$M114-$A$15,AY$13)))</f>
        <v>1000000000000</v>
      </c>
      <c r="AZ114" s="172" cm="1">
        <f t="array" aca="1" ref="AZ114" ca="1">IF(OR($D114&lt;&gt;"Serviço",AND(AUTOEVENTO="Manual",$M114=$A$15),$M114&gt;(ROW(PLE.lastrow)-ROW(PLE.firstrow))),0,
           IF(OFFSET(PLE!$G$15,$M114-$A$15,AZ$13)="",10^12,OFFSET(PLE!$G$15,$M114-$A$15,AZ$13)))</f>
        <v>1000000000000</v>
      </c>
      <c r="BA114" s="172" cm="1">
        <f t="array" aca="1" ref="BA114" ca="1">IF(OR($D114&lt;&gt;"Serviço",AND(AUTOEVENTO="Manual",$M114=$A$15),$M114&gt;(ROW(PLE.lastrow)-ROW(PLE.firstrow))),0,
           IF(OFFSET(PLE!$G$15,$M114-$A$15,BA$13)="",10^12,OFFSET(PLE!$G$15,$M114-$A$15,BA$13)))</f>
        <v>1000000000000</v>
      </c>
      <c r="BB114" s="172" cm="1">
        <f t="array" aca="1" ref="BB114" ca="1">IF(OR($D114&lt;&gt;"Serviço",AND(AUTOEVENTO="Manual",$M114=$A$15),$M114&gt;(ROW(PLE.lastrow)-ROW(PLE.firstrow))),0,
           IF(OFFSET(PLE!$G$15,$M114-$A$15,BB$13)="",10^12,OFFSET(PLE!$G$15,$M114-$A$15,BB$13)))</f>
        <v>1000000000000</v>
      </c>
      <c r="BC114" s="172" cm="1">
        <f t="array" aca="1" ref="BC114" ca="1">IF(OR($D114&lt;&gt;"Serviço",AND(AUTOEVENTO="Manual",$M114=$A$15),$M114&gt;(ROW(PLE.lastrow)-ROW(PLE.firstrow))),0,
           IF(OFFSET(PLE!$G$15,$M114-$A$15,BC$13)="",10^12,OFFSET(PLE!$G$15,$M114-$A$15,BC$13)))</f>
        <v>1000000000000</v>
      </c>
      <c r="BD114" s="172" cm="1">
        <f t="array" aca="1" ref="BD114" ca="1">IF(OR($D114&lt;&gt;"Serviço",AND(AUTOEVENTO="Manual",$M114=$A$15),$M114&gt;(ROW(PLE.lastrow)-ROW(PLE.firstrow))),0,
           IF(OFFSET(PLE!$G$15,$M114-$A$15,BD$13)="",10^12,OFFSET(PLE!$G$15,$M114-$A$15,BD$13)))</f>
        <v>1000000000000</v>
      </c>
      <c r="BE114" s="172" cm="1">
        <f t="array" aca="1" ref="BE114" ca="1">IF(OR($D114&lt;&gt;"Serviço",AND(AUTOEVENTO="Manual",$M114=$A$15),$M114&gt;(ROW(PLE.lastrow)-ROW(PLE.firstrow))),0,
           IF(OFFSET(PLE!$G$15,$M114-$A$15,BE$13)="",10^12,OFFSET(PLE!$G$15,$M114-$A$15,BE$13)))</f>
        <v>1000000000000</v>
      </c>
      <c r="BF114" s="172" cm="1">
        <f t="array" aca="1" ref="BF114" ca="1">IF(OR($D114&lt;&gt;"Serviço",AND(AUTOEVENTO="Manual",$M114=$A$15),$M114&gt;(ROW(PLE.lastrow)-ROW(PLE.firstrow))),0,
           IF(OFFSET(PLE!$G$15,$M114-$A$15,BF$13)="",10^12,OFFSET(PLE!$G$15,$M114-$A$15,BF$13)))</f>
        <v>1000000000000</v>
      </c>
      <c r="BG114" s="172" cm="1">
        <f t="array" aca="1" ref="BG114" ca="1">IF(OR($D114&lt;&gt;"Serviço",AND(AUTOEVENTO="Manual",$M114=$A$15),$M114&gt;(ROW(PLE.lastrow)-ROW(PLE.firstrow))),0,
           IF(OFFSET(PLE!$G$15,$M114-$A$15,BG$13)="",10^12,OFFSET(PLE!$G$15,$M114-$A$15,BG$13)))</f>
        <v>1000000000000</v>
      </c>
    </row>
    <row r="115" spans="1:59" ht="51" x14ac:dyDescent="0.2">
      <c r="A115" s="7" t="str">
        <f t="shared" ca="1" si="8"/>
        <v>96</v>
      </c>
      <c r="B115" s="7" t="str">
        <f ca="1">OFFSET(ORÇAMENTO!C$15,$L115,0)</f>
        <v>S</v>
      </c>
      <c r="C115" s="7" t="str">
        <f ca="1">OFFSET(ORÇAMENTO!L$15,$L115,0)</f>
        <v>F</v>
      </c>
      <c r="D115" s="116" t="str">
        <f ca="1">OFFSET(ORÇAMENTO!N$15,$L115,0)</f>
        <v>Serviço</v>
      </c>
      <c r="E115" s="117" t="str">
        <f ca="1">OFFSET(ORÇAMENTO!O$15,$L115,0)</f>
        <v>1.6.1.0.3.</v>
      </c>
      <c r="F115" s="163" t="str">
        <f ca="1">OFFSET(ORÇAMENTO!R$15,$L115,0)</f>
        <v>TRAMA DE MADEIRA COMPOSTA POR TERÇAS PARA TELHADOS DE ATÉ 2 ÁGUAS PARA TELHA ONDULADA DE FIBROCIMENTO, METÁLICA, PLÁSTICA OU TERMOACÚSTICA, INCLUSO TRANSPORTE VERTICAL. AF_10/2025</v>
      </c>
      <c r="G115" s="164" t="str">
        <f ca="1">IF($D115&lt;&gt;"Serviço","",OFFSET(ORÇAMENTO!S$15,$L115,0))</f>
        <v>M2</v>
      </c>
      <c r="H115" s="122" cm="1">
        <f t="array" aca="1" ref="H115" ca="1">IF($D115&lt;&gt;"Serviço",0,IF(ACOMPANHAMENTO="BM",ROUND(OFFSET(ORÇAMENTO!AJ$15,$L115,0),15-13*ORÇAMENTO!$AF$7),IF(IFERROR(CÁLCULO.FrentesPreenchidas,0)=0,0,SUM(ROUND(OFFSET($P115,0,1,1,CÁLCULO.FrentesPreenchidas),15-13*ORÇAMENTO!$AF$7)))))</f>
        <v>1534.2</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c r="L115" s="165">
        <f t="shared" ca="1" si="9"/>
        <v>100</v>
      </c>
      <c r="M115" s="166">
        <f ca="1">IF($D115&lt;&gt;"Serviço","",
          IF(AUTOEVENTO="manual",$A115,
                IF(ISERROR(MATCH($A115,$A$15:OFFSET($A115,-1,0),0)),MAX($M$15:OFFSET(M115,-1,0))+1,
                      INDEX($M$15:OFFSET(M115,-1,0),MATCH($A115,$A$15:OFFSET($A115,-1,0),0)))))</f>
        <v>6</v>
      </c>
      <c r="N115" s="167" t="str">
        <f ca="1">IF($D115&lt;&gt;"Serviço","",
         IF(AUTOEVENTO="Manual",
                IF($A115=0,"&lt;-- defina o número do agrupador",
                       OFFSET(EVENTOS!$D$15,$A115-$A$15,0)),
                OFFSET($F$15,$A115,0)))</f>
        <v>COBERTURA</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1000000000000</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12.75" x14ac:dyDescent="0.2">
      <c r="A116" s="7" t="str">
        <f t="shared" ca="1" si="8"/>
        <v>96</v>
      </c>
      <c r="B116" s="7">
        <f ca="1">OFFSET(ORÇAMENTO!C$15,$L116,0)</f>
        <v>3</v>
      </c>
      <c r="C116" s="7" t="str">
        <f ca="1">OFFSET(ORÇAMENTO!L$15,$L116,0)</f>
        <v>F</v>
      </c>
      <c r="D116" s="116" t="str">
        <f ca="1">OFFSET(ORÇAMENTO!N$15,$L116,0)</f>
        <v>Nível 3</v>
      </c>
      <c r="E116" s="117" t="str">
        <f ca="1">OFFSET(ORÇAMENTO!O$15,$L116,0)</f>
        <v>1.6.2.</v>
      </c>
      <c r="F116" s="163" t="str">
        <f ca="1">OFFSET(ORÇAMENTO!R$15,$L116,0)</f>
        <v>TELHAMENTO</v>
      </c>
      <c r="G116" s="164" t="str">
        <f ca="1">IF($D116&lt;&gt;"Serviço","",OFFSET(ORÇAMENTO!S$15,$L116,0))</f>
        <v/>
      </c>
      <c r="H116" s="122" cm="1">
        <f t="array" aca="1" ref="H116" ca="1">IF($D116&lt;&gt;"Serviço",0,IF(ACOMPANHAMENTO="BM",ROUND(OFFSET(ORÇAMENTO!AJ$15,$L116,0),15-13*ORÇAMENTO!$AF$7),IF(IFERROR(CÁLCULO.FrentesPreenchidas,0)=0,0,SUM(ROUND(OFFSET($P116,0,1,1,CÁLCULO.FrentesPreenchidas),15-13*ORÇAMENTO!$AF$7)))))</f>
        <v>0</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c r="L116" s="165">
        <f t="shared" ca="1" si="9"/>
        <v>101</v>
      </c>
      <c r="M116" s="166" t="str">
        <f ca="1">IF($D116&lt;&gt;"Serviço","",
          IF(AUTOEVENTO="manual",$A116,
                IF(ISERROR(MATCH($A116,$A$15:OFFSET($A116,-1,0),0)),MAX($M$15:OFFSET(M116,-1,0))+1,
                      INDEX($M$15:OFFSET(M116,-1,0),MATCH($A116,$A$15:OFFSET($A116,-1,0),0)))))</f>
        <v/>
      </c>
      <c r="N116" s="167" t="str">
        <f ca="1">IF($D116&lt;&gt;"Serviço","",
         IF(AUTOEVENTO="Manual",
                IF($A116=0,"&lt;-- defina o número do agrupador",
                       OFFSET(EVENTOS!$D$15,$A116-$A$15,0)),
                OFFSET($F$15,$A116,0)))</f>
        <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0</v>
      </c>
      <c r="AN116" s="171">
        <f ca="1">IF(OR($D116&lt;&gt;"Serviço",AND(AUTOEVENTO="Manual",$M116=$A$15)),0,
         IF(OFFSET(CRONOPLE!$F$15,$M116-$A$15,AN$13)=0,10^12,OFFSET(CRONOPLE!$F$15,$M116-$A$15,AN$13)))</f>
        <v>0</v>
      </c>
      <c r="AO116" s="171">
        <f ca="1">IF(OR($D116&lt;&gt;"Serviço",AND(AUTOEVENTO="Manual",$M116=$A$15)),0,
         IF(OFFSET(CRONOPLE!$F$15,$M116-$A$15,AO$13)=0,10^12,OFFSET(CRONOPLE!$F$15,$M116-$A$15,AO$13)))</f>
        <v>0</v>
      </c>
      <c r="AP116" s="171">
        <f ca="1">IF(OR($D116&lt;&gt;"Serviço",AND(AUTOEVENTO="Manual",$M116=$A$15)),0,
         IF(OFFSET(CRONOPLE!$F$15,$M116-$A$15,AP$13)=0,10^12,OFFSET(CRONOPLE!$F$15,$M116-$A$15,AP$13)))</f>
        <v>0</v>
      </c>
      <c r="AQ116" s="171">
        <f ca="1">IF(OR($D116&lt;&gt;"Serviço",AND(AUTOEVENTO="Manual",$M116=$A$15)),0,
         IF(OFFSET(CRONOPLE!$F$15,$M116-$A$15,AQ$13)=0,10^12,OFFSET(CRONOPLE!$F$15,$M116-$A$15,AQ$13)))</f>
        <v>0</v>
      </c>
      <c r="AR116" s="171">
        <f ca="1">IF(OR($D116&lt;&gt;"Serviço",AND(AUTOEVENTO="Manual",$M116=$A$15)),0,
         IF(OFFSET(CRONOPLE!$F$15,$M116-$A$15,AR$13)=0,10^12,OFFSET(CRONOPLE!$F$15,$M116-$A$15,AR$13)))</f>
        <v>0</v>
      </c>
      <c r="AS116" s="171">
        <f ca="1">IF(OR($D116&lt;&gt;"Serviço",AND(AUTOEVENTO="Manual",$M116=$A$15)),0,
         IF(OFFSET(CRONOPLE!$F$15,$M116-$A$15,AS$13)=0,10^12,OFFSET(CRONOPLE!$F$15,$M116-$A$15,AS$13)))</f>
        <v>0</v>
      </c>
      <c r="AT116" s="171">
        <f ca="1">IF(OR($D116&lt;&gt;"Serviço",AND(AUTOEVENTO="Manual",$M116=$A$15)),0,
         IF(OFFSET(CRONOPLE!$F$15,$M116-$A$15,AT$13)=0,10^12,OFFSET(CRONOPLE!$F$15,$M116-$A$15,AT$13)))</f>
        <v>0</v>
      </c>
      <c r="AU116" s="171">
        <f ca="1">IF(OR($D116&lt;&gt;"Serviço",AND(AUTOEVENTO="Manual",$M116=$A$15)),0,
         IF(OFFSET(CRONOPLE!$F$15,$M116-$A$15,AU$13)=0,10^12,OFFSET(CRONOPLE!$F$15,$M116-$A$15,AU$13)))</f>
        <v>0</v>
      </c>
      <c r="AV116" s="171">
        <f ca="1">IF(OR($D116&lt;&gt;"Serviço",AND(AUTOEVENTO="Manual",$M116=$A$15)),0,
         IF(OFFSET(CRONOPLE!$F$15,$M116-$A$15,AV$13)=0,10^12,OFFSET(CRONOPLE!$F$15,$M116-$A$15,AV$13)))</f>
        <v>0</v>
      </c>
      <c r="AX116" s="172" cm="1">
        <f t="array" aca="1" ref="AX116" ca="1">IF(OR($D116&lt;&gt;"Serviço",AND(AUTOEVENTO="Manual",$M116=$A$15),$M116&gt;(ROW(PLE.lastrow)-ROW(PLE.firstrow))),0,
           IF(OFFSET(PLE!$G$15,$M116-$A$15,AX$13)="",10^12,OFFSET(PLE!$G$15,$M116-$A$15,AX$13)))</f>
        <v>0</v>
      </c>
      <c r="AY116" s="172" cm="1">
        <f t="array" aca="1" ref="AY116" ca="1">IF(OR($D116&lt;&gt;"Serviço",AND(AUTOEVENTO="Manual",$M116=$A$15),$M116&gt;(ROW(PLE.lastrow)-ROW(PLE.firstrow))),0,
           IF(OFFSET(PLE!$G$15,$M116-$A$15,AY$13)="",10^12,OFFSET(PLE!$G$15,$M116-$A$15,AY$13)))</f>
        <v>0</v>
      </c>
      <c r="AZ116" s="172" cm="1">
        <f t="array" aca="1" ref="AZ116" ca="1">IF(OR($D116&lt;&gt;"Serviço",AND(AUTOEVENTO="Manual",$M116=$A$15),$M116&gt;(ROW(PLE.lastrow)-ROW(PLE.firstrow))),0,
           IF(OFFSET(PLE!$G$15,$M116-$A$15,AZ$13)="",10^12,OFFSET(PLE!$G$15,$M116-$A$15,AZ$13)))</f>
        <v>0</v>
      </c>
      <c r="BA116" s="172" cm="1">
        <f t="array" aca="1" ref="BA116" ca="1">IF(OR($D116&lt;&gt;"Serviço",AND(AUTOEVENTO="Manual",$M116=$A$15),$M116&gt;(ROW(PLE.lastrow)-ROW(PLE.firstrow))),0,
           IF(OFFSET(PLE!$G$15,$M116-$A$15,BA$13)="",10^12,OFFSET(PLE!$G$15,$M116-$A$15,BA$13)))</f>
        <v>0</v>
      </c>
      <c r="BB116" s="172" cm="1">
        <f t="array" aca="1" ref="BB116" ca="1">IF(OR($D116&lt;&gt;"Serviço",AND(AUTOEVENTO="Manual",$M116=$A$15),$M116&gt;(ROW(PLE.lastrow)-ROW(PLE.firstrow))),0,
           IF(OFFSET(PLE!$G$15,$M116-$A$15,BB$13)="",10^12,OFFSET(PLE!$G$15,$M116-$A$15,BB$13)))</f>
        <v>0</v>
      </c>
      <c r="BC116" s="172" cm="1">
        <f t="array" aca="1" ref="BC116" ca="1">IF(OR($D116&lt;&gt;"Serviço",AND(AUTOEVENTO="Manual",$M116=$A$15),$M116&gt;(ROW(PLE.lastrow)-ROW(PLE.firstrow))),0,
           IF(OFFSET(PLE!$G$15,$M116-$A$15,BC$13)="",10^12,OFFSET(PLE!$G$15,$M116-$A$15,BC$13)))</f>
        <v>0</v>
      </c>
      <c r="BD116" s="172" cm="1">
        <f t="array" aca="1" ref="BD116" ca="1">IF(OR($D116&lt;&gt;"Serviço",AND(AUTOEVENTO="Manual",$M116=$A$15),$M116&gt;(ROW(PLE.lastrow)-ROW(PLE.firstrow))),0,
           IF(OFFSET(PLE!$G$15,$M116-$A$15,BD$13)="",10^12,OFFSET(PLE!$G$15,$M116-$A$15,BD$13)))</f>
        <v>0</v>
      </c>
      <c r="BE116" s="172" cm="1">
        <f t="array" aca="1" ref="BE116" ca="1">IF(OR($D116&lt;&gt;"Serviço",AND(AUTOEVENTO="Manual",$M116=$A$15),$M116&gt;(ROW(PLE.lastrow)-ROW(PLE.firstrow))),0,
           IF(OFFSET(PLE!$G$15,$M116-$A$15,BE$13)="",10^12,OFFSET(PLE!$G$15,$M116-$A$15,BE$13)))</f>
        <v>0</v>
      </c>
      <c r="BF116" s="172" cm="1">
        <f t="array" aca="1" ref="BF116" ca="1">IF(OR($D116&lt;&gt;"Serviço",AND(AUTOEVENTO="Manual",$M116=$A$15),$M116&gt;(ROW(PLE.lastrow)-ROW(PLE.firstrow))),0,
           IF(OFFSET(PLE!$G$15,$M116-$A$15,BF$13)="",10^12,OFFSET(PLE!$G$15,$M116-$A$15,BF$13)))</f>
        <v>0</v>
      </c>
      <c r="BG116" s="172" cm="1">
        <f t="array" aca="1" ref="BG116" ca="1">IF(OR($D116&lt;&gt;"Serviço",AND(AUTOEVENTO="Manual",$M116=$A$15),$M116&gt;(ROW(PLE.lastrow)-ROW(PLE.firstrow))),0,
           IF(OFFSET(PLE!$G$15,$M116-$A$15,BG$13)="",10^12,OFFSET(PLE!$G$15,$M116-$A$15,BG$13)))</f>
        <v>0</v>
      </c>
    </row>
    <row r="117" spans="1:59" ht="51" x14ac:dyDescent="0.2">
      <c r="A117" s="7" t="str">
        <f t="shared" ca="1" si="8"/>
        <v>96</v>
      </c>
      <c r="B117" s="7" t="str">
        <f ca="1">OFFSET(ORÇAMENTO!C$15,$L117,0)</f>
        <v>S</v>
      </c>
      <c r="C117" s="7" t="str">
        <f ca="1">OFFSET(ORÇAMENTO!L$15,$L117,0)</f>
        <v>F</v>
      </c>
      <c r="D117" s="116" t="str">
        <f ca="1">OFFSET(ORÇAMENTO!N$15,$L117,0)</f>
        <v>Serviço</v>
      </c>
      <c r="E117" s="117" t="str">
        <f ca="1">OFFSET(ORÇAMENTO!O$15,$L117,0)</f>
        <v>1.6.2.0.1.</v>
      </c>
      <c r="F117" s="163" t="str">
        <f ca="1">OFFSET(ORÇAMENTO!R$15,$L117,0)</f>
        <v>TELHAMENTO COM TELHA ONDULADA DE FIBROCIMENTO E = 6 MM, COM RECOBRIMENTO LATERAL DE 1/4 DE ONDA PARA TELHADO COM INCLINAÇÃO MAIOR QUE 10°, COM ATÉ 2 ÁGUAS, INCLUSO IÇAMENTO. AF_07/2019</v>
      </c>
      <c r="G117" s="164" t="str">
        <f ca="1">IF($D117&lt;&gt;"Serviço","",OFFSET(ORÇAMENTO!S$15,$L117,0))</f>
        <v>M2</v>
      </c>
      <c r="H117" s="122" cm="1">
        <f t="array" aca="1" ref="H117" ca="1">IF($D117&lt;&gt;"Serviço",0,IF(ACOMPANHAMENTO="BM",ROUND(OFFSET(ORÇAMENTO!AJ$15,$L117,0),15-13*ORÇAMENTO!$AF$7),IF(IFERROR(CÁLCULO.FrentesPreenchidas,0)=0,0,SUM(ROUND(OFFSET($P117,0,1,1,CÁLCULO.FrentesPreenchidas),15-13*ORÇAMENTO!$AF$7)))))</f>
        <v>1665.9</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c r="L117" s="165">
        <f t="shared" ca="1" si="9"/>
        <v>102</v>
      </c>
      <c r="M117" s="166">
        <f ca="1">IF($D117&lt;&gt;"Serviço","",
          IF(AUTOEVENTO="manual",$A117,
                IF(ISERROR(MATCH($A117,$A$15:OFFSET($A117,-1,0),0)),MAX($M$15:OFFSET(M117,-1,0))+1,
                      INDEX($M$15:OFFSET(M117,-1,0),MATCH($A117,$A$15:OFFSET($A117,-1,0),0)))))</f>
        <v>6</v>
      </c>
      <c r="N117" s="167" t="str">
        <f ca="1">IF($D117&lt;&gt;"Serviço","",
         IF(AUTOEVENTO="Manual",
                IF($A117=0,"&lt;-- defina o número do agrupador",
                       OFFSET(EVENTOS!$D$15,$A117-$A$15,0)),
                OFFSET($F$15,$A117,0)))</f>
        <v>COBERTURA</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1000000000000</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25.5" x14ac:dyDescent="0.2">
      <c r="A118" s="7" t="str">
        <f t="shared" ca="1" si="8"/>
        <v>96</v>
      </c>
      <c r="B118" s="7" t="str">
        <f ca="1">OFFSET(ORÇAMENTO!C$15,$L118,0)</f>
        <v>S</v>
      </c>
      <c r="C118" s="7" t="str">
        <f ca="1">OFFSET(ORÇAMENTO!L$15,$L118,0)</f>
        <v>F</v>
      </c>
      <c r="D118" s="116" t="str">
        <f ca="1">OFFSET(ORÇAMENTO!N$15,$L118,0)</f>
        <v>Serviço</v>
      </c>
      <c r="E118" s="117" t="str">
        <f ca="1">OFFSET(ORÇAMENTO!O$15,$L118,0)</f>
        <v>1.6.2.0.2.</v>
      </c>
      <c r="F118" s="163" t="str">
        <f ca="1">OFFSET(ORÇAMENTO!R$15,$L118,0)</f>
        <v>CUMEEIRA PARA TELHA DE FIBROCIMENTO ONDULADA E = 6 MM, INCLUSO ACESSÓRIOS DE FIXAÇÃO E IÇAMENTO. AF_07/2019</v>
      </c>
      <c r="G118" s="164" t="str">
        <f ca="1">IF($D118&lt;&gt;"Serviço","",OFFSET(ORÇAMENTO!S$15,$L118,0))</f>
        <v>M</v>
      </c>
      <c r="H118" s="122" cm="1">
        <f t="array" aca="1" ref="H118" ca="1">IF($D118&lt;&gt;"Serviço",0,IF(ACOMPANHAMENTO="BM",ROUND(OFFSET(ORÇAMENTO!AJ$15,$L118,0),15-13*ORÇAMENTO!$AF$7),IF(IFERROR(CÁLCULO.FrentesPreenchidas,0)=0,0,SUM(ROUND(OFFSET($P118,0,1,1,CÁLCULO.FrentesPreenchidas),15-13*ORÇAMENTO!$AF$7)))))</f>
        <v>126</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c r="L118" s="165">
        <f t="shared" ca="1" si="9"/>
        <v>103</v>
      </c>
      <c r="M118" s="166">
        <f ca="1">IF($D118&lt;&gt;"Serviço","",
          IF(AUTOEVENTO="manual",$A118,
                IF(ISERROR(MATCH($A118,$A$15:OFFSET($A118,-1,0),0)),MAX($M$15:OFFSET(M118,-1,0))+1,
                      INDEX($M$15:OFFSET(M118,-1,0),MATCH($A118,$A$15:OFFSET($A118,-1,0),0)))))</f>
        <v>6</v>
      </c>
      <c r="N118" s="167" t="str">
        <f ca="1">IF($D118&lt;&gt;"Serviço","",
         IF(AUTOEVENTO="Manual",
                IF($A118=0,"&lt;-- defina o número do agrupador",
                       OFFSET(EVENTOS!$D$15,$A118-$A$15,0)),
                OFFSET($F$15,$A118,0)))</f>
        <v>COBERTURA</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1000000000000</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25.5" x14ac:dyDescent="0.2">
      <c r="A119" s="7" t="str">
        <f t="shared" ca="1" si="8"/>
        <v>96</v>
      </c>
      <c r="B119" s="7" t="str">
        <f ca="1">OFFSET(ORÇAMENTO!C$15,$L119,0)</f>
        <v>S</v>
      </c>
      <c r="C119" s="7" t="str">
        <f ca="1">OFFSET(ORÇAMENTO!L$15,$L119,0)</f>
        <v>F</v>
      </c>
      <c r="D119" s="116" t="str">
        <f ca="1">OFFSET(ORÇAMENTO!N$15,$L119,0)</f>
        <v>Serviço</v>
      </c>
      <c r="E119" s="117" t="str">
        <f ca="1">OFFSET(ORÇAMENTO!O$15,$L119,0)</f>
        <v>1.6.2.0.3.</v>
      </c>
      <c r="F119" s="163" t="str">
        <f ca="1">OFFSET(ORÇAMENTO!R$15,$L119,0)</f>
        <v>RUFO EM CHAPA DE AÇO GALVANIZADO NÚMERO 24, CORTE DE 25 CM, INCLUSO TRANSPORTE VERTICAL. AF_07/2019</v>
      </c>
      <c r="G119" s="164" t="str">
        <f ca="1">IF($D119&lt;&gt;"Serviço","",OFFSET(ORÇAMENTO!S$15,$L119,0))</f>
        <v>M</v>
      </c>
      <c r="H119" s="122" cm="1">
        <f t="array" aca="1" ref="H119" ca="1">IF($D119&lt;&gt;"Serviço",0,IF(ACOMPANHAMENTO="BM",ROUND(OFFSET(ORÇAMENTO!AJ$15,$L119,0),15-13*ORÇAMENTO!$AF$7),IF(IFERROR(CÁLCULO.FrentesPreenchidas,0)=0,0,SUM(ROUND(OFFSET($P119,0,1,1,CÁLCULO.FrentesPreenchidas),15-13*ORÇAMENTO!$AF$7)))))</f>
        <v>256.2</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c r="L119" s="165">
        <f t="shared" ca="1" si="9"/>
        <v>104</v>
      </c>
      <c r="M119" s="166">
        <f ca="1">IF($D119&lt;&gt;"Serviço","",
          IF(AUTOEVENTO="manual",$A119,
                IF(ISERROR(MATCH($A119,$A$15:OFFSET($A119,-1,0),0)),MAX($M$15:OFFSET(M119,-1,0))+1,
                      INDEX($M$15:OFFSET(M119,-1,0),MATCH($A119,$A$15:OFFSET($A119,-1,0),0)))))</f>
        <v>6</v>
      </c>
      <c r="N119" s="167" t="str">
        <f ca="1">IF($D119&lt;&gt;"Serviço","",
         IF(AUTOEVENTO="Manual",
                IF($A119=0,"&lt;-- defina o número do agrupador",
                       OFFSET(EVENTOS!$D$15,$A119-$A$15,0)),
                OFFSET($F$15,$A119,0)))</f>
        <v>COBERTURA</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1000000000000</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ht="25.5" x14ac:dyDescent="0.2">
      <c r="A120" s="7" t="str">
        <f ca="1">IFERROR(IF(AUTOEVENTO="Manual",IF(K120&lt;&gt;"",MIN(VALUE(LEFT(K120,FIND(".",K120)-1)),COUNTA(EVENTOS.Lista)),0),IF(OR($B120&gt;AUTOEVENTO,$B120="S",$B120=0),SUBSTITUTE(OFFSET($A120,-1,0),IF($D120="Serviço",".",""),""),$L120&amp;".")),0)</f>
        <v>96</v>
      </c>
      <c r="B120" s="7" t="str">
        <f ca="1">OFFSET(ORÇAMENTO!C$15,$L120,0)</f>
        <v>S</v>
      </c>
      <c r="C120" s="7" t="str">
        <f ca="1">OFFSET(ORÇAMENTO!L$15,$L120,0)</f>
        <v>F</v>
      </c>
      <c r="D120" s="116" t="str">
        <f ca="1">OFFSET(ORÇAMENTO!N$15,$L120,0)</f>
        <v>Serviço</v>
      </c>
      <c r="E120" s="117" t="str">
        <f ca="1">OFFSET(ORÇAMENTO!O$15,$L120,0)</f>
        <v>1.6.2.0.4.</v>
      </c>
      <c r="F120" s="163" t="str">
        <f ca="1">OFFSET(ORÇAMENTO!R$15,$L120,0)</f>
        <v>RUFO EXTERNO/INTERNO EM CHAPA DE AÇO GALVANIZADO NÚMERO 26, CORTE DE 33 CM, INCLUSO IÇAMENTO. AF_07/2019</v>
      </c>
      <c r="G120" s="164" t="str">
        <f ca="1">IF($D120&lt;&gt;"Serviço","",OFFSET(ORÇAMENTO!S$15,$L120,0))</f>
        <v>M</v>
      </c>
      <c r="H120" s="122" cm="1">
        <f t="array" aca="1" ref="H120" ca="1">IF($D120&lt;&gt;"Serviço",0,IF(ACOMPANHAMENTO="BM",ROUND(OFFSET(ORÇAMENTO!AJ$15,$L120,0),15-13*ORÇAMENTO!$AF$7),IF(IFERROR(CÁLCULO.FrentesPreenchidas,0)=0,0,SUM(ROUND(OFFSET($P120,0,1,1,CÁLCULO.FrentesPreenchidas),15-13*ORÇAMENTO!$AF$7)))))</f>
        <v>217.2</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c r="L120" s="165">
        <f ca="1">OFFSET(L120,-1,0)+1</f>
        <v>105</v>
      </c>
      <c r="M120" s="166">
        <f ca="1">IF($D120&lt;&gt;"Serviço","",
          IF(AUTOEVENTO="manual",$A120,
                IF(ISERROR(MATCH($A120,$A$15:OFFSET($A120,-1,0),0)),MAX($M$15:OFFSET(M120,-1,0))+1,
                      INDEX($M$15:OFFSET(M120,-1,0),MATCH($A120,$A$15:OFFSET($A120,-1,0),0)))))</f>
        <v>6</v>
      </c>
      <c r="N120" s="167" t="str">
        <f ca="1">IF($D120&lt;&gt;"Serviço","",
         IF(AUTOEVENTO="Manual",
                IF($A120=0,"&lt;-- defina o número do agrupador",
                       OFFSET(EVENTOS!$D$15,$A120-$A$15,0)),
                OFFSET($F$15,$A120,0)))</f>
        <v>COBERTURA</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1000000000000</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ht="12.75" x14ac:dyDescent="0.2">
      <c r="A121" s="7" t="str">
        <f t="shared" ca="1" si="8"/>
        <v>106.</v>
      </c>
      <c r="B121" s="7">
        <f ca="1">OFFSET(ORÇAMENTO!C$15,$L121,0)</f>
        <v>2</v>
      </c>
      <c r="C121" s="7" t="str">
        <f ca="1">OFFSET(ORÇAMENTO!L$15,$L121,0)</f>
        <v>F</v>
      </c>
      <c r="D121" s="116" t="str">
        <f ca="1">OFFSET(ORÇAMENTO!N$15,$L121,0)</f>
        <v>Nível 2</v>
      </c>
      <c r="E121" s="117" t="str">
        <f ca="1">OFFSET(ORÇAMENTO!O$15,$L121,0)</f>
        <v>1.7.</v>
      </c>
      <c r="F121" s="163" t="str">
        <f ca="1">OFFSET(ORÇAMENTO!R$15,$L121,0)</f>
        <v>ESQUADRIAS</v>
      </c>
      <c r="G121" s="164" t="str">
        <f ca="1">IF($D121&lt;&gt;"Serviço","",OFFSET(ORÇAMENTO!S$15,$L121,0))</f>
        <v/>
      </c>
      <c r="H121" s="122" cm="1">
        <f t="array" aca="1" ref="H121" ca="1">IF($D121&lt;&gt;"Serviço",0,IF(ACOMPANHAMENTO="BM",ROUND(OFFSET(ORÇAMENTO!AJ$15,$L121,0),15-13*ORÇAMENTO!$AF$7),IF(IFERROR(CÁLCULO.FrentesPreenchidas,0)=0,0,SUM(ROUND(OFFSET($P121,0,1,1,CÁLCULO.FrentesPreenchidas),15-13*ORÇAMENTO!$AF$7)))))</f>
        <v>0</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t="shared" ca="1" si="9"/>
        <v>106</v>
      </c>
      <c r="M121" s="166" t="str">
        <f ca="1">IF($D121&lt;&gt;"Serviço","",
          IF(AUTOEVENTO="manual",$A121,
                IF(ISERROR(MATCH($A121,$A$15:OFFSET($A121,-1,0),0)),MAX($M$15:OFFSET(M121,-1,0))+1,
                      INDEX($M$15:OFFSET(M121,-1,0),MATCH($A121,$A$15:OFFSET($A121,-1,0),0)))))</f>
        <v/>
      </c>
      <c r="N121" s="167" t="str">
        <f ca="1">IF($D121&lt;&gt;"Serviço","",
         IF(AUTOEVENTO="Manual",
                IF($A121=0,"&lt;-- defina o número do agrupador",
                       OFFSET(EVENTOS!$D$15,$A121-$A$15,0)),
                OFFSET($F$15,$A121,0)))</f>
        <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0</v>
      </c>
      <c r="AN121" s="171">
        <f ca="1">IF(OR($D121&lt;&gt;"Serviço",AND(AUTOEVENTO="Manual",$M121=$A$15)),0,
         IF(OFFSET(CRONOPLE!$F$15,$M121-$A$15,AN$13)=0,10^12,OFFSET(CRONOPLE!$F$15,$M121-$A$15,AN$13)))</f>
        <v>0</v>
      </c>
      <c r="AO121" s="171">
        <f ca="1">IF(OR($D121&lt;&gt;"Serviço",AND(AUTOEVENTO="Manual",$M121=$A$15)),0,
         IF(OFFSET(CRONOPLE!$F$15,$M121-$A$15,AO$13)=0,10^12,OFFSET(CRONOPLE!$F$15,$M121-$A$15,AO$13)))</f>
        <v>0</v>
      </c>
      <c r="AP121" s="171">
        <f ca="1">IF(OR($D121&lt;&gt;"Serviço",AND(AUTOEVENTO="Manual",$M121=$A$15)),0,
         IF(OFFSET(CRONOPLE!$F$15,$M121-$A$15,AP$13)=0,10^12,OFFSET(CRONOPLE!$F$15,$M121-$A$15,AP$13)))</f>
        <v>0</v>
      </c>
      <c r="AQ121" s="171">
        <f ca="1">IF(OR($D121&lt;&gt;"Serviço",AND(AUTOEVENTO="Manual",$M121=$A$15)),0,
         IF(OFFSET(CRONOPLE!$F$15,$M121-$A$15,AQ$13)=0,10^12,OFFSET(CRONOPLE!$F$15,$M121-$A$15,AQ$13)))</f>
        <v>0</v>
      </c>
      <c r="AR121" s="171">
        <f ca="1">IF(OR($D121&lt;&gt;"Serviço",AND(AUTOEVENTO="Manual",$M121=$A$15)),0,
         IF(OFFSET(CRONOPLE!$F$15,$M121-$A$15,AR$13)=0,10^12,OFFSET(CRONOPLE!$F$15,$M121-$A$15,AR$13)))</f>
        <v>0</v>
      </c>
      <c r="AS121" s="171">
        <f ca="1">IF(OR($D121&lt;&gt;"Serviço",AND(AUTOEVENTO="Manual",$M121=$A$15)),0,
         IF(OFFSET(CRONOPLE!$F$15,$M121-$A$15,AS$13)=0,10^12,OFFSET(CRONOPLE!$F$15,$M121-$A$15,AS$13)))</f>
        <v>0</v>
      </c>
      <c r="AT121" s="171">
        <f ca="1">IF(OR($D121&lt;&gt;"Serviço",AND(AUTOEVENTO="Manual",$M121=$A$15)),0,
         IF(OFFSET(CRONOPLE!$F$15,$M121-$A$15,AT$13)=0,10^12,OFFSET(CRONOPLE!$F$15,$M121-$A$15,AT$13)))</f>
        <v>0</v>
      </c>
      <c r="AU121" s="171">
        <f ca="1">IF(OR($D121&lt;&gt;"Serviço",AND(AUTOEVENTO="Manual",$M121=$A$15)),0,
         IF(OFFSET(CRONOPLE!$F$15,$M121-$A$15,AU$13)=0,10^12,OFFSET(CRONOPLE!$F$15,$M121-$A$15,AU$13)))</f>
        <v>0</v>
      </c>
      <c r="AV121" s="171">
        <f ca="1">IF(OR($D121&lt;&gt;"Serviço",AND(AUTOEVENTO="Manual",$M121=$A$15)),0,
         IF(OFFSET(CRONOPLE!$F$15,$M121-$A$15,AV$13)=0,10^12,OFFSET(CRONOPLE!$F$15,$M121-$A$15,AV$13)))</f>
        <v>0</v>
      </c>
      <c r="AX121" s="172" cm="1">
        <f t="array" aca="1" ref="AX121" ca="1">IF(OR($D121&lt;&gt;"Serviço",AND(AUTOEVENTO="Manual",$M121=$A$15),$M121&gt;(ROW(PLE.lastrow)-ROW(PLE.firstrow))),0,
           IF(OFFSET(PLE!$G$15,$M121-$A$15,AX$13)="",10^12,OFFSET(PLE!$G$15,$M121-$A$15,AX$13)))</f>
        <v>0</v>
      </c>
      <c r="AY121" s="172" cm="1">
        <f t="array" aca="1" ref="AY121" ca="1">IF(OR($D121&lt;&gt;"Serviço",AND(AUTOEVENTO="Manual",$M121=$A$15),$M121&gt;(ROW(PLE.lastrow)-ROW(PLE.firstrow))),0,
           IF(OFFSET(PLE!$G$15,$M121-$A$15,AY$13)="",10^12,OFFSET(PLE!$G$15,$M121-$A$15,AY$13)))</f>
        <v>0</v>
      </c>
      <c r="AZ121" s="172" cm="1">
        <f t="array" aca="1" ref="AZ121" ca="1">IF(OR($D121&lt;&gt;"Serviço",AND(AUTOEVENTO="Manual",$M121=$A$15),$M121&gt;(ROW(PLE.lastrow)-ROW(PLE.firstrow))),0,
           IF(OFFSET(PLE!$G$15,$M121-$A$15,AZ$13)="",10^12,OFFSET(PLE!$G$15,$M121-$A$15,AZ$13)))</f>
        <v>0</v>
      </c>
      <c r="BA121" s="172" cm="1">
        <f t="array" aca="1" ref="BA121" ca="1">IF(OR($D121&lt;&gt;"Serviço",AND(AUTOEVENTO="Manual",$M121=$A$15),$M121&gt;(ROW(PLE.lastrow)-ROW(PLE.firstrow))),0,
           IF(OFFSET(PLE!$G$15,$M121-$A$15,BA$13)="",10^12,OFFSET(PLE!$G$15,$M121-$A$15,BA$13)))</f>
        <v>0</v>
      </c>
      <c r="BB121" s="172" cm="1">
        <f t="array" aca="1" ref="BB121" ca="1">IF(OR($D121&lt;&gt;"Serviço",AND(AUTOEVENTO="Manual",$M121=$A$15),$M121&gt;(ROW(PLE.lastrow)-ROW(PLE.firstrow))),0,
           IF(OFFSET(PLE!$G$15,$M121-$A$15,BB$13)="",10^12,OFFSET(PLE!$G$15,$M121-$A$15,BB$13)))</f>
        <v>0</v>
      </c>
      <c r="BC121" s="172" cm="1">
        <f t="array" aca="1" ref="BC121" ca="1">IF(OR($D121&lt;&gt;"Serviço",AND(AUTOEVENTO="Manual",$M121=$A$15),$M121&gt;(ROW(PLE.lastrow)-ROW(PLE.firstrow))),0,
           IF(OFFSET(PLE!$G$15,$M121-$A$15,BC$13)="",10^12,OFFSET(PLE!$G$15,$M121-$A$15,BC$13)))</f>
        <v>0</v>
      </c>
      <c r="BD121" s="172" cm="1">
        <f t="array" aca="1" ref="BD121" ca="1">IF(OR($D121&lt;&gt;"Serviço",AND(AUTOEVENTO="Manual",$M121=$A$15),$M121&gt;(ROW(PLE.lastrow)-ROW(PLE.firstrow))),0,
           IF(OFFSET(PLE!$G$15,$M121-$A$15,BD$13)="",10^12,OFFSET(PLE!$G$15,$M121-$A$15,BD$13)))</f>
        <v>0</v>
      </c>
      <c r="BE121" s="172" cm="1">
        <f t="array" aca="1" ref="BE121" ca="1">IF(OR($D121&lt;&gt;"Serviço",AND(AUTOEVENTO="Manual",$M121=$A$15),$M121&gt;(ROW(PLE.lastrow)-ROW(PLE.firstrow))),0,
           IF(OFFSET(PLE!$G$15,$M121-$A$15,BE$13)="",10^12,OFFSET(PLE!$G$15,$M121-$A$15,BE$13)))</f>
        <v>0</v>
      </c>
      <c r="BF121" s="172" cm="1">
        <f t="array" aca="1" ref="BF121" ca="1">IF(OR($D121&lt;&gt;"Serviço",AND(AUTOEVENTO="Manual",$M121=$A$15),$M121&gt;(ROW(PLE.lastrow)-ROW(PLE.firstrow))),0,
           IF(OFFSET(PLE!$G$15,$M121-$A$15,BF$13)="",10^12,OFFSET(PLE!$G$15,$M121-$A$15,BF$13)))</f>
        <v>0</v>
      </c>
      <c r="BG121" s="172" cm="1">
        <f t="array" aca="1" ref="BG121" ca="1">IF(OR($D121&lt;&gt;"Serviço",AND(AUTOEVENTO="Manual",$M121=$A$15),$M121&gt;(ROW(PLE.lastrow)-ROW(PLE.firstrow))),0,
           IF(OFFSET(PLE!$G$15,$M121-$A$15,BG$13)="",10^12,OFFSET(PLE!$G$15,$M121-$A$15,BG$13)))</f>
        <v>0</v>
      </c>
    </row>
    <row r="122" spans="1:59" ht="12.75" x14ac:dyDescent="0.2">
      <c r="A122" s="7" t="str">
        <f t="shared" ca="1" si="8"/>
        <v>106.</v>
      </c>
      <c r="B122" s="7">
        <f ca="1">OFFSET(ORÇAMENTO!C$15,$L122,0)</f>
        <v>3</v>
      </c>
      <c r="C122" s="7" t="str">
        <f ca="1">OFFSET(ORÇAMENTO!L$15,$L122,0)</f>
        <v>F</v>
      </c>
      <c r="D122" s="116" t="str">
        <f ca="1">OFFSET(ORÇAMENTO!N$15,$L122,0)</f>
        <v>Nível 3</v>
      </c>
      <c r="E122" s="117" t="str">
        <f ca="1">OFFSET(ORÇAMENTO!O$15,$L122,0)</f>
        <v>1.7.1.</v>
      </c>
      <c r="F122" s="163" t="str">
        <f ca="1">OFFSET(ORÇAMENTO!R$15,$L122,0)</f>
        <v>PORTAS</v>
      </c>
      <c r="G122" s="164" t="str">
        <f ca="1">IF($D122&lt;&gt;"Serviço","",OFFSET(ORÇAMENTO!S$15,$L122,0))</f>
        <v/>
      </c>
      <c r="H122" s="122" cm="1">
        <f t="array" aca="1" ref="H122" ca="1">IF($D122&lt;&gt;"Serviço",0,IF(ACOMPANHAMENTO="BM",ROUND(OFFSET(ORÇAMENTO!AJ$15,$L122,0),15-13*ORÇAMENTO!$AF$7),IF(IFERROR(CÁLCULO.FrentesPreenchidas,0)=0,0,SUM(ROUND(OFFSET($P122,0,1,1,CÁLCULO.FrentesPreenchidas),15-13*ORÇAMENTO!$AF$7)))))</f>
        <v>0</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c r="L122" s="165">
        <f t="shared" ca="1" si="9"/>
        <v>107</v>
      </c>
      <c r="M122" s="166" t="str">
        <f ca="1">IF($D122&lt;&gt;"Serviço","",
          IF(AUTOEVENTO="manual",$A122,
                IF(ISERROR(MATCH($A122,$A$15:OFFSET($A122,-1,0),0)),MAX($M$15:OFFSET(M122,-1,0))+1,
                      INDEX($M$15:OFFSET(M122,-1,0),MATCH($A122,$A$15:OFFSET($A122,-1,0),0)))))</f>
        <v/>
      </c>
      <c r="N122" s="167" t="str">
        <f ca="1">IF($D122&lt;&gt;"Serviço","",
         IF(AUTOEVENTO="Manual",
                IF($A122=0,"&lt;-- defina o número do agrupador",
                       OFFSET(EVENTOS!$D$15,$A122-$A$15,0)),
                OFFSET($F$15,$A122,0)))</f>
        <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0</v>
      </c>
      <c r="AN122" s="171">
        <f ca="1">IF(OR($D122&lt;&gt;"Serviço",AND(AUTOEVENTO="Manual",$M122=$A$15)),0,
         IF(OFFSET(CRONOPLE!$F$15,$M122-$A$15,AN$13)=0,10^12,OFFSET(CRONOPLE!$F$15,$M122-$A$15,AN$13)))</f>
        <v>0</v>
      </c>
      <c r="AO122" s="171">
        <f ca="1">IF(OR($D122&lt;&gt;"Serviço",AND(AUTOEVENTO="Manual",$M122=$A$15)),0,
         IF(OFFSET(CRONOPLE!$F$15,$M122-$A$15,AO$13)=0,10^12,OFFSET(CRONOPLE!$F$15,$M122-$A$15,AO$13)))</f>
        <v>0</v>
      </c>
      <c r="AP122" s="171">
        <f ca="1">IF(OR($D122&lt;&gt;"Serviço",AND(AUTOEVENTO="Manual",$M122=$A$15)),0,
         IF(OFFSET(CRONOPLE!$F$15,$M122-$A$15,AP$13)=0,10^12,OFFSET(CRONOPLE!$F$15,$M122-$A$15,AP$13)))</f>
        <v>0</v>
      </c>
      <c r="AQ122" s="171">
        <f ca="1">IF(OR($D122&lt;&gt;"Serviço",AND(AUTOEVENTO="Manual",$M122=$A$15)),0,
         IF(OFFSET(CRONOPLE!$F$15,$M122-$A$15,AQ$13)=0,10^12,OFFSET(CRONOPLE!$F$15,$M122-$A$15,AQ$13)))</f>
        <v>0</v>
      </c>
      <c r="AR122" s="171">
        <f ca="1">IF(OR($D122&lt;&gt;"Serviço",AND(AUTOEVENTO="Manual",$M122=$A$15)),0,
         IF(OFFSET(CRONOPLE!$F$15,$M122-$A$15,AR$13)=0,10^12,OFFSET(CRONOPLE!$F$15,$M122-$A$15,AR$13)))</f>
        <v>0</v>
      </c>
      <c r="AS122" s="171">
        <f ca="1">IF(OR($D122&lt;&gt;"Serviço",AND(AUTOEVENTO="Manual",$M122=$A$15)),0,
         IF(OFFSET(CRONOPLE!$F$15,$M122-$A$15,AS$13)=0,10^12,OFFSET(CRONOPLE!$F$15,$M122-$A$15,AS$13)))</f>
        <v>0</v>
      </c>
      <c r="AT122" s="171">
        <f ca="1">IF(OR($D122&lt;&gt;"Serviço",AND(AUTOEVENTO="Manual",$M122=$A$15)),0,
         IF(OFFSET(CRONOPLE!$F$15,$M122-$A$15,AT$13)=0,10^12,OFFSET(CRONOPLE!$F$15,$M122-$A$15,AT$13)))</f>
        <v>0</v>
      </c>
      <c r="AU122" s="171">
        <f ca="1">IF(OR($D122&lt;&gt;"Serviço",AND(AUTOEVENTO="Manual",$M122=$A$15)),0,
         IF(OFFSET(CRONOPLE!$F$15,$M122-$A$15,AU$13)=0,10^12,OFFSET(CRONOPLE!$F$15,$M122-$A$15,AU$13)))</f>
        <v>0</v>
      </c>
      <c r="AV122" s="171">
        <f ca="1">IF(OR($D122&lt;&gt;"Serviço",AND(AUTOEVENTO="Manual",$M122=$A$15)),0,
         IF(OFFSET(CRONOPLE!$F$15,$M122-$A$15,AV$13)=0,10^12,OFFSET(CRONOPLE!$F$15,$M122-$A$15,AV$13)))</f>
        <v>0</v>
      </c>
      <c r="AX122" s="172" cm="1">
        <f t="array" aca="1" ref="AX122" ca="1">IF(OR($D122&lt;&gt;"Serviço",AND(AUTOEVENTO="Manual",$M122=$A$15),$M122&gt;(ROW(PLE.lastrow)-ROW(PLE.firstrow))),0,
           IF(OFFSET(PLE!$G$15,$M122-$A$15,AX$13)="",10^12,OFFSET(PLE!$G$15,$M122-$A$15,AX$13)))</f>
        <v>0</v>
      </c>
      <c r="AY122" s="172" cm="1">
        <f t="array" aca="1" ref="AY122" ca="1">IF(OR($D122&lt;&gt;"Serviço",AND(AUTOEVENTO="Manual",$M122=$A$15),$M122&gt;(ROW(PLE.lastrow)-ROW(PLE.firstrow))),0,
           IF(OFFSET(PLE!$G$15,$M122-$A$15,AY$13)="",10^12,OFFSET(PLE!$G$15,$M122-$A$15,AY$13)))</f>
        <v>0</v>
      </c>
      <c r="AZ122" s="172" cm="1">
        <f t="array" aca="1" ref="AZ122" ca="1">IF(OR($D122&lt;&gt;"Serviço",AND(AUTOEVENTO="Manual",$M122=$A$15),$M122&gt;(ROW(PLE.lastrow)-ROW(PLE.firstrow))),0,
           IF(OFFSET(PLE!$G$15,$M122-$A$15,AZ$13)="",10^12,OFFSET(PLE!$G$15,$M122-$A$15,AZ$13)))</f>
        <v>0</v>
      </c>
      <c r="BA122" s="172" cm="1">
        <f t="array" aca="1" ref="BA122" ca="1">IF(OR($D122&lt;&gt;"Serviço",AND(AUTOEVENTO="Manual",$M122=$A$15),$M122&gt;(ROW(PLE.lastrow)-ROW(PLE.firstrow))),0,
           IF(OFFSET(PLE!$G$15,$M122-$A$15,BA$13)="",10^12,OFFSET(PLE!$G$15,$M122-$A$15,BA$13)))</f>
        <v>0</v>
      </c>
      <c r="BB122" s="172" cm="1">
        <f t="array" aca="1" ref="BB122" ca="1">IF(OR($D122&lt;&gt;"Serviço",AND(AUTOEVENTO="Manual",$M122=$A$15),$M122&gt;(ROW(PLE.lastrow)-ROW(PLE.firstrow))),0,
           IF(OFFSET(PLE!$G$15,$M122-$A$15,BB$13)="",10^12,OFFSET(PLE!$G$15,$M122-$A$15,BB$13)))</f>
        <v>0</v>
      </c>
      <c r="BC122" s="172" cm="1">
        <f t="array" aca="1" ref="BC122" ca="1">IF(OR($D122&lt;&gt;"Serviço",AND(AUTOEVENTO="Manual",$M122=$A$15),$M122&gt;(ROW(PLE.lastrow)-ROW(PLE.firstrow))),0,
           IF(OFFSET(PLE!$G$15,$M122-$A$15,BC$13)="",10^12,OFFSET(PLE!$G$15,$M122-$A$15,BC$13)))</f>
        <v>0</v>
      </c>
      <c r="BD122" s="172" cm="1">
        <f t="array" aca="1" ref="BD122" ca="1">IF(OR($D122&lt;&gt;"Serviço",AND(AUTOEVENTO="Manual",$M122=$A$15),$M122&gt;(ROW(PLE.lastrow)-ROW(PLE.firstrow))),0,
           IF(OFFSET(PLE!$G$15,$M122-$A$15,BD$13)="",10^12,OFFSET(PLE!$G$15,$M122-$A$15,BD$13)))</f>
        <v>0</v>
      </c>
      <c r="BE122" s="172" cm="1">
        <f t="array" aca="1" ref="BE122" ca="1">IF(OR($D122&lt;&gt;"Serviço",AND(AUTOEVENTO="Manual",$M122=$A$15),$M122&gt;(ROW(PLE.lastrow)-ROW(PLE.firstrow))),0,
           IF(OFFSET(PLE!$G$15,$M122-$A$15,BE$13)="",10^12,OFFSET(PLE!$G$15,$M122-$A$15,BE$13)))</f>
        <v>0</v>
      </c>
      <c r="BF122" s="172" cm="1">
        <f t="array" aca="1" ref="BF122" ca="1">IF(OR($D122&lt;&gt;"Serviço",AND(AUTOEVENTO="Manual",$M122=$A$15),$M122&gt;(ROW(PLE.lastrow)-ROW(PLE.firstrow))),0,
           IF(OFFSET(PLE!$G$15,$M122-$A$15,BF$13)="",10^12,OFFSET(PLE!$G$15,$M122-$A$15,BF$13)))</f>
        <v>0</v>
      </c>
      <c r="BG122" s="172" cm="1">
        <f t="array" aca="1" ref="BG122" ca="1">IF(OR($D122&lt;&gt;"Serviço",AND(AUTOEVENTO="Manual",$M122=$A$15),$M122&gt;(ROW(PLE.lastrow)-ROW(PLE.firstrow))),0,
           IF(OFFSET(PLE!$G$15,$M122-$A$15,BG$13)="",10^12,OFFSET(PLE!$G$15,$M122-$A$15,BG$13)))</f>
        <v>0</v>
      </c>
    </row>
    <row r="123" spans="1:59" ht="63.75" x14ac:dyDescent="0.2">
      <c r="A123" s="7" t="str">
        <f t="shared" ca="1" si="8"/>
        <v>106</v>
      </c>
      <c r="B123" s="7" t="str">
        <f ca="1">OFFSET(ORÇAMENTO!C$15,$L123,0)</f>
        <v>S</v>
      </c>
      <c r="C123" s="7" t="str">
        <f ca="1">OFFSET(ORÇAMENTO!L$15,$L123,0)</f>
        <v>F</v>
      </c>
      <c r="D123" s="116" t="str">
        <f ca="1">OFFSET(ORÇAMENTO!N$15,$L123,0)</f>
        <v>Serviço</v>
      </c>
      <c r="E123" s="117" t="str">
        <f ca="1">OFFSET(ORÇAMENTO!O$15,$L123,0)</f>
        <v>1.7.1.0.1.</v>
      </c>
      <c r="F123" s="163" t="str">
        <f ca="1">OFFSET(ORÇAMENTO!R$15,$L123,0)</f>
        <v>KIT DE PORTA DE MADEIRA PARA PINTURA, SEMI-OCA (LEVE OU MÉDIA), PADRÃO POPULAR, 80X210CM, ESPESSURA DE 3,5CM, ITENS INCLUSOS: DOBRADIÇAS, MONTAGEM E INSTALAÇÃO DO BATENTE, FECHADURA COM EXECUÇÃO DO FURO - FORNECIMENTO E INSTALAÇÃO. AF_10/2025</v>
      </c>
      <c r="G123" s="164" t="str">
        <f ca="1">IF($D123&lt;&gt;"Serviço","",OFFSET(ORÇAMENTO!S$15,$L123,0))</f>
        <v>UN</v>
      </c>
      <c r="H123" s="122" cm="1">
        <f t="array" aca="1" ref="H123" ca="1">IF($D123&lt;&gt;"Serviço",0,IF(ACOMPANHAMENTO="BM",ROUND(OFFSET(ORÇAMENTO!AJ$15,$L123,0),15-13*ORÇAMENTO!$AF$7),IF(IFERROR(CÁLCULO.FrentesPreenchidas,0)=0,0,SUM(ROUND(OFFSET($P123,0,1,1,CÁLCULO.FrentesPreenchidas),15-13*ORÇAMENTO!$AF$7)))))</f>
        <v>90</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c r="L123" s="165">
        <f t="shared" ca="1" si="9"/>
        <v>108</v>
      </c>
      <c r="M123" s="166">
        <f ca="1">IF($D123&lt;&gt;"Serviço","",
          IF(AUTOEVENTO="manual",$A123,
                IF(ISERROR(MATCH($A123,$A$15:OFFSET($A123,-1,0),0)),MAX($M$15:OFFSET(M123,-1,0))+1,
                      INDEX($M$15:OFFSET(M123,-1,0),MATCH($A123,$A$15:OFFSET($A123,-1,0),0)))))</f>
        <v>7</v>
      </c>
      <c r="N123" s="167" t="str">
        <f ca="1">IF($D123&lt;&gt;"Serviço","",
         IF(AUTOEVENTO="Manual",
                IF($A123=0,"&lt;-- defina o número do agrupador",
                       OFFSET(EVENTOS!$D$15,$A123-$A$15,0)),
                OFFSET($F$15,$A123,0)))</f>
        <v>ESQUADRIAS</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1000000000000</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38.25" x14ac:dyDescent="0.2">
      <c r="A124" s="7" t="str">
        <f t="shared" ca="1" si="8"/>
        <v>106</v>
      </c>
      <c r="B124" s="7" t="str">
        <f ca="1">OFFSET(ORÇAMENTO!C$15,$L124,0)</f>
        <v>S</v>
      </c>
      <c r="C124" s="7" t="str">
        <f ca="1">OFFSET(ORÇAMENTO!L$15,$L124,0)</f>
        <v>F</v>
      </c>
      <c r="D124" s="116" t="str">
        <f ca="1">OFFSET(ORÇAMENTO!N$15,$L124,0)</f>
        <v>Serviço</v>
      </c>
      <c r="E124" s="117" t="str">
        <f ca="1">OFFSET(ORÇAMENTO!O$15,$L124,0)</f>
        <v>1.7.1.0.2.</v>
      </c>
      <c r="F124" s="163" t="str">
        <f ca="1">OFFSET(ORÇAMENTO!R$15,$L124,0)</f>
        <v>PORTA DE ALUMÍNIO DE ABRIR PARA VIDRO SEM GUARNIÇÃO, 87X210CM, FIXAÇÃO COM PARAFUSOS, INCLUSIVE VIDROS - FORNECIMENTO E INSTALAÇÃO. AF_10/2025</v>
      </c>
      <c r="G124" s="164" t="str">
        <f ca="1">IF($D124&lt;&gt;"Serviço","",OFFSET(ORÇAMENTO!S$15,$L124,0))</f>
        <v>UN</v>
      </c>
      <c r="H124" s="122" cm="1">
        <f t="array" aca="1" ref="H124" ca="1">IF($D124&lt;&gt;"Serviço",0,IF(ACOMPANHAMENTO="BM",ROUND(OFFSET(ORÇAMENTO!AJ$15,$L124,0),15-13*ORÇAMENTO!$AF$7),IF(IFERROR(CÁLCULO.FrentesPreenchidas,0)=0,0,SUM(ROUND(OFFSET($P124,0,1,1,CÁLCULO.FrentesPreenchidas),15-13*ORÇAMENTO!$AF$7)))))</f>
        <v>30</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f t="shared" ca="1" si="9"/>
        <v>109</v>
      </c>
      <c r="M124" s="166">
        <f ca="1">IF($D124&lt;&gt;"Serviço","",
          IF(AUTOEVENTO="manual",$A124,
                IF(ISERROR(MATCH($A124,$A$15:OFFSET($A124,-1,0),0)),MAX($M$15:OFFSET(M124,-1,0))+1,
                      INDEX($M$15:OFFSET(M124,-1,0),MATCH($A124,$A$15:OFFSET($A124,-1,0),0)))))</f>
        <v>7</v>
      </c>
      <c r="N124" s="167" t="str">
        <f ca="1">IF($D124&lt;&gt;"Serviço","",
         IF(AUTOEVENTO="Manual",
                IF($A124=0,"&lt;-- defina o número do agrupador",
                       OFFSET(EVENTOS!$D$15,$A124-$A$15,0)),
                OFFSET($F$15,$A124,0)))</f>
        <v>ESQUADRIAS</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1000000000000</v>
      </c>
      <c r="AN124" s="171">
        <f ca="1">IF(OR($D124&lt;&gt;"Serviço",AND(AUTOEVENTO="Manual",$M124=$A$15)),0,
         IF(OFFSET(CRONOPLE!$F$15,$M124-$A$15,AN$13)=0,10^12,OFFSET(CRONOPLE!$F$15,$M124-$A$15,AN$13)))</f>
        <v>1000000000000</v>
      </c>
      <c r="AO124" s="171">
        <f ca="1">IF(OR($D124&lt;&gt;"Serviço",AND(AUTOEVENTO="Manual",$M124=$A$15)),0,
         IF(OFFSET(CRONOPLE!$F$15,$M124-$A$15,AO$13)=0,10^12,OFFSET(CRONOPLE!$F$15,$M124-$A$15,AO$13)))</f>
        <v>1000000000000</v>
      </c>
      <c r="AP124" s="171">
        <f ca="1">IF(OR($D124&lt;&gt;"Serviço",AND(AUTOEVENTO="Manual",$M124=$A$15)),0,
         IF(OFFSET(CRONOPLE!$F$15,$M124-$A$15,AP$13)=0,10^12,OFFSET(CRONOPLE!$F$15,$M124-$A$15,AP$13)))</f>
        <v>1000000000000</v>
      </c>
      <c r="AQ124" s="171">
        <f ca="1">IF(OR($D124&lt;&gt;"Serviço",AND(AUTOEVENTO="Manual",$M124=$A$15)),0,
         IF(OFFSET(CRONOPLE!$F$15,$M124-$A$15,AQ$13)=0,10^12,OFFSET(CRONOPLE!$F$15,$M124-$A$15,AQ$13)))</f>
        <v>1000000000000</v>
      </c>
      <c r="AR124" s="171">
        <f ca="1">IF(OR($D124&lt;&gt;"Serviço",AND(AUTOEVENTO="Manual",$M124=$A$15)),0,
         IF(OFFSET(CRONOPLE!$F$15,$M124-$A$15,AR$13)=0,10^12,OFFSET(CRONOPLE!$F$15,$M124-$A$15,AR$13)))</f>
        <v>1000000000000</v>
      </c>
      <c r="AS124" s="171">
        <f ca="1">IF(OR($D124&lt;&gt;"Serviço",AND(AUTOEVENTO="Manual",$M124=$A$15)),0,
         IF(OFFSET(CRONOPLE!$F$15,$M124-$A$15,AS$13)=0,10^12,OFFSET(CRONOPLE!$F$15,$M124-$A$15,AS$13)))</f>
        <v>1000000000000</v>
      </c>
      <c r="AT124" s="171">
        <f ca="1">IF(OR($D124&lt;&gt;"Serviço",AND(AUTOEVENTO="Manual",$M124=$A$15)),0,
         IF(OFFSET(CRONOPLE!$F$15,$M124-$A$15,AT$13)=0,10^12,OFFSET(CRONOPLE!$F$15,$M124-$A$15,AT$13)))</f>
        <v>1000000000000</v>
      </c>
      <c r="AU124" s="171">
        <f ca="1">IF(OR($D124&lt;&gt;"Serviço",AND(AUTOEVENTO="Manual",$M124=$A$15)),0,
         IF(OFFSET(CRONOPLE!$F$15,$M124-$A$15,AU$13)=0,10^12,OFFSET(CRONOPLE!$F$15,$M124-$A$15,AU$13)))</f>
        <v>1000000000000</v>
      </c>
      <c r="AV124" s="171">
        <f ca="1">IF(OR($D124&lt;&gt;"Serviço",AND(AUTOEVENTO="Manual",$M124=$A$15)),0,
         IF(OFFSET(CRONOPLE!$F$15,$M124-$A$15,AV$13)=0,10^12,OFFSET(CRONOPLE!$F$15,$M124-$A$15,AV$13)))</f>
        <v>1000000000000</v>
      </c>
      <c r="AX124" s="172" cm="1">
        <f t="array" aca="1" ref="AX124" ca="1">IF(OR($D124&lt;&gt;"Serviço",AND(AUTOEVENTO="Manual",$M124=$A$15),$M124&gt;(ROW(PLE.lastrow)-ROW(PLE.firstrow))),0,
           IF(OFFSET(PLE!$G$15,$M124-$A$15,AX$13)="",10^12,OFFSET(PLE!$G$15,$M124-$A$15,AX$13)))</f>
        <v>1000000000000</v>
      </c>
      <c r="AY124" s="172" cm="1">
        <f t="array" aca="1" ref="AY124" ca="1">IF(OR($D124&lt;&gt;"Serviço",AND(AUTOEVENTO="Manual",$M124=$A$15),$M124&gt;(ROW(PLE.lastrow)-ROW(PLE.firstrow))),0,
           IF(OFFSET(PLE!$G$15,$M124-$A$15,AY$13)="",10^12,OFFSET(PLE!$G$15,$M124-$A$15,AY$13)))</f>
        <v>1000000000000</v>
      </c>
      <c r="AZ124" s="172" cm="1">
        <f t="array" aca="1" ref="AZ124" ca="1">IF(OR($D124&lt;&gt;"Serviço",AND(AUTOEVENTO="Manual",$M124=$A$15),$M124&gt;(ROW(PLE.lastrow)-ROW(PLE.firstrow))),0,
           IF(OFFSET(PLE!$G$15,$M124-$A$15,AZ$13)="",10^12,OFFSET(PLE!$G$15,$M124-$A$15,AZ$13)))</f>
        <v>1000000000000</v>
      </c>
      <c r="BA124" s="172" cm="1">
        <f t="array" aca="1" ref="BA124" ca="1">IF(OR($D124&lt;&gt;"Serviço",AND(AUTOEVENTO="Manual",$M124=$A$15),$M124&gt;(ROW(PLE.lastrow)-ROW(PLE.firstrow))),0,
           IF(OFFSET(PLE!$G$15,$M124-$A$15,BA$13)="",10^12,OFFSET(PLE!$G$15,$M124-$A$15,BA$13)))</f>
        <v>1000000000000</v>
      </c>
      <c r="BB124" s="172" cm="1">
        <f t="array" aca="1" ref="BB124" ca="1">IF(OR($D124&lt;&gt;"Serviço",AND(AUTOEVENTO="Manual",$M124=$A$15),$M124&gt;(ROW(PLE.lastrow)-ROW(PLE.firstrow))),0,
           IF(OFFSET(PLE!$G$15,$M124-$A$15,BB$13)="",10^12,OFFSET(PLE!$G$15,$M124-$A$15,BB$13)))</f>
        <v>1000000000000</v>
      </c>
      <c r="BC124" s="172" cm="1">
        <f t="array" aca="1" ref="BC124" ca="1">IF(OR($D124&lt;&gt;"Serviço",AND(AUTOEVENTO="Manual",$M124=$A$15),$M124&gt;(ROW(PLE.lastrow)-ROW(PLE.firstrow))),0,
           IF(OFFSET(PLE!$G$15,$M124-$A$15,BC$13)="",10^12,OFFSET(PLE!$G$15,$M124-$A$15,BC$13)))</f>
        <v>1000000000000</v>
      </c>
      <c r="BD124" s="172" cm="1">
        <f t="array" aca="1" ref="BD124" ca="1">IF(OR($D124&lt;&gt;"Serviço",AND(AUTOEVENTO="Manual",$M124=$A$15),$M124&gt;(ROW(PLE.lastrow)-ROW(PLE.firstrow))),0,
           IF(OFFSET(PLE!$G$15,$M124-$A$15,BD$13)="",10^12,OFFSET(PLE!$G$15,$M124-$A$15,BD$13)))</f>
        <v>1000000000000</v>
      </c>
      <c r="BE124" s="172" cm="1">
        <f t="array" aca="1" ref="BE124" ca="1">IF(OR($D124&lt;&gt;"Serviço",AND(AUTOEVENTO="Manual",$M124=$A$15),$M124&gt;(ROW(PLE.lastrow)-ROW(PLE.firstrow))),0,
           IF(OFFSET(PLE!$G$15,$M124-$A$15,BE$13)="",10^12,OFFSET(PLE!$G$15,$M124-$A$15,BE$13)))</f>
        <v>1000000000000</v>
      </c>
      <c r="BF124" s="172" cm="1">
        <f t="array" aca="1" ref="BF124" ca="1">IF(OR($D124&lt;&gt;"Serviço",AND(AUTOEVENTO="Manual",$M124=$A$15),$M124&gt;(ROW(PLE.lastrow)-ROW(PLE.firstrow))),0,
           IF(OFFSET(PLE!$G$15,$M124-$A$15,BF$13)="",10^12,OFFSET(PLE!$G$15,$M124-$A$15,BF$13)))</f>
        <v>1000000000000</v>
      </c>
      <c r="BG124" s="172" cm="1">
        <f t="array" aca="1" ref="BG124" ca="1">IF(OR($D124&lt;&gt;"Serviço",AND(AUTOEVENTO="Manual",$M124=$A$15),$M124&gt;(ROW(PLE.lastrow)-ROW(PLE.firstrow))),0,
           IF(OFFSET(PLE!$G$15,$M124-$A$15,BG$13)="",10^12,OFFSET(PLE!$G$15,$M124-$A$15,BG$13)))</f>
        <v>1000000000000</v>
      </c>
    </row>
    <row r="125" spans="1:59" ht="38.25" x14ac:dyDescent="0.2">
      <c r="A125" s="7" t="str">
        <f t="shared" ca="1" si="8"/>
        <v>106</v>
      </c>
      <c r="B125" s="7" t="str">
        <f ca="1">OFFSET(ORÇAMENTO!C$15,$L125,0)</f>
        <v>S</v>
      </c>
      <c r="C125" s="7" t="str">
        <f ca="1">OFFSET(ORÇAMENTO!L$15,$L125,0)</f>
        <v>F</v>
      </c>
      <c r="D125" s="116" t="str">
        <f ca="1">OFFSET(ORÇAMENTO!N$15,$L125,0)</f>
        <v>Serviço</v>
      </c>
      <c r="E125" s="117" t="str">
        <f ca="1">OFFSET(ORÇAMENTO!O$15,$L125,0)</f>
        <v>1.7.1.0.3.</v>
      </c>
      <c r="F125" s="163" t="str">
        <f ca="1">OFFSET(ORÇAMENTO!R$15,$L125,0)</f>
        <v>PORTA DE ABRIR EM ALUMINIO COM LAMBRI HORIZONTAL/LAMINADA, ACABAMENTO ANODIZADO NATURAL, SEM GUARNICAO/ALIZAR/VISTA</v>
      </c>
      <c r="G125" s="164" t="str">
        <f ca="1">IF($D125&lt;&gt;"Serviço","",OFFSET(ORÇAMENTO!S$15,$L125,0))</f>
        <v>M2</v>
      </c>
      <c r="H125" s="122" cm="1">
        <f t="array" aca="1" ref="H125" ca="1">IF($D125&lt;&gt;"Serviço",0,IF(ACOMPANHAMENTO="BM",ROUND(OFFSET(ORÇAMENTO!AJ$15,$L125,0),15-13*ORÇAMENTO!$AF$7),IF(IFERROR(CÁLCULO.FrentesPreenchidas,0)=0,0,SUM(ROUND(OFFSET($P125,0,1,1,CÁLCULO.FrentesPreenchidas),15-13*ORÇAMENTO!$AF$7)))))</f>
        <v>69.900000000000006</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c r="L125" s="165">
        <f t="shared" ca="1" si="9"/>
        <v>110</v>
      </c>
      <c r="M125" s="166">
        <f ca="1">IF($D125&lt;&gt;"Serviço","",
          IF(AUTOEVENTO="manual",$A125,
                IF(ISERROR(MATCH($A125,$A$15:OFFSET($A125,-1,0),0)),MAX($M$15:OFFSET(M125,-1,0))+1,
                      INDEX($M$15:OFFSET(M125,-1,0),MATCH($A125,$A$15:OFFSET($A125,-1,0),0)))))</f>
        <v>7</v>
      </c>
      <c r="N125" s="167" t="str">
        <f ca="1">IF($D125&lt;&gt;"Serviço","",
         IF(AUTOEVENTO="Manual",
                IF($A125=0,"&lt;-- defina o número do agrupador",
                       OFFSET(EVENTOS!$D$15,$A125-$A$15,0)),
                OFFSET($F$15,$A125,0)))</f>
        <v>ESQUADRIAS</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1000000000000</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ht="38.25" x14ac:dyDescent="0.2">
      <c r="A126" s="7" t="str">
        <f t="shared" ca="1" si="8"/>
        <v>106</v>
      </c>
      <c r="B126" s="7" t="str">
        <f ca="1">OFFSET(ORÇAMENTO!C$15,$L126,0)</f>
        <v>S</v>
      </c>
      <c r="C126" s="7" t="str">
        <f ca="1">OFFSET(ORÇAMENTO!L$15,$L126,0)</f>
        <v>F</v>
      </c>
      <c r="D126" s="116" t="str">
        <f ca="1">OFFSET(ORÇAMENTO!N$15,$L126,0)</f>
        <v>Serviço</v>
      </c>
      <c r="E126" s="117" t="str">
        <f ca="1">OFFSET(ORÇAMENTO!O$15,$L126,0)</f>
        <v>1.7.1.0.4.</v>
      </c>
      <c r="F126" s="163" t="str">
        <f ca="1">OFFSET(ORÇAMENTO!R$15,$L126,0)</f>
        <v>GUARNICAO / MOLDURA / ARREMATE DE ACABAMENTO PARA ESQUADRIA, EM ALUMINIO PERFIL 25, ACABAMENTO ANODIZADO BRANCO OU BRILHANTE, PARA 1 FACE</v>
      </c>
      <c r="G126" s="164" t="str">
        <f ca="1">IF($D126&lt;&gt;"Serviço","",OFFSET(ORÇAMENTO!S$15,$L126,0))</f>
        <v>M</v>
      </c>
      <c r="H126" s="122" cm="1">
        <f t="array" aca="1" ref="H126" ca="1">IF($D126&lt;&gt;"Serviço",0,IF(ACOMPANHAMENTO="BM",ROUND(OFFSET(ORÇAMENTO!AJ$15,$L126,0),15-13*ORÇAMENTO!$AF$7),IF(IFERROR(CÁLCULO.FrentesPreenchidas,0)=0,0,SUM(ROUND(OFFSET($P126,0,1,1,CÁLCULO.FrentesPreenchidas),15-13*ORÇAMENTO!$AF$7)))))</f>
        <v>150</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c r="L126" s="165">
        <f t="shared" ca="1" si="9"/>
        <v>111</v>
      </c>
      <c r="M126" s="166">
        <f ca="1">IF($D126&lt;&gt;"Serviço","",
          IF(AUTOEVENTO="manual",$A126,
                IF(ISERROR(MATCH($A126,$A$15:OFFSET($A126,-1,0),0)),MAX($M$15:OFFSET(M126,-1,0))+1,
                      INDEX($M$15:OFFSET(M126,-1,0),MATCH($A126,$A$15:OFFSET($A126,-1,0),0)))))</f>
        <v>7</v>
      </c>
      <c r="N126" s="167" t="str">
        <f ca="1">IF($D126&lt;&gt;"Serviço","",
         IF(AUTOEVENTO="Manual",
                IF($A126=0,"&lt;-- defina o número do agrupador",
                       OFFSET(EVENTOS!$D$15,$A126-$A$15,0)),
                OFFSET($F$15,$A126,0)))</f>
        <v>ESQUADRIAS</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1000000000000</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12.75" x14ac:dyDescent="0.2">
      <c r="A127" s="7" t="str">
        <f t="shared" ca="1" si="8"/>
        <v>106</v>
      </c>
      <c r="B127" s="7">
        <f ca="1">OFFSET(ORÇAMENTO!C$15,$L127,0)</f>
        <v>3</v>
      </c>
      <c r="C127" s="7" t="str">
        <f ca="1">OFFSET(ORÇAMENTO!L$15,$L127,0)</f>
        <v>F</v>
      </c>
      <c r="D127" s="116" t="str">
        <f ca="1">OFFSET(ORÇAMENTO!N$15,$L127,0)</f>
        <v>Nível 3</v>
      </c>
      <c r="E127" s="117" t="str">
        <f ca="1">OFFSET(ORÇAMENTO!O$15,$L127,0)</f>
        <v>1.7.2.</v>
      </c>
      <c r="F127" s="163" t="str">
        <f ca="1">OFFSET(ORÇAMENTO!R$15,$L127,0)</f>
        <v>JANELAS</v>
      </c>
      <c r="G127" s="164" t="str">
        <f ca="1">IF($D127&lt;&gt;"Serviço","",OFFSET(ORÇAMENTO!S$15,$L127,0))</f>
        <v/>
      </c>
      <c r="H127" s="122" cm="1">
        <f t="array" aca="1" ref="H127" ca="1">IF($D127&lt;&gt;"Serviço",0,IF(ACOMPANHAMENTO="BM",ROUND(OFFSET(ORÇAMENTO!AJ$15,$L127,0),15-13*ORÇAMENTO!$AF$7),IF(IFERROR(CÁLCULO.FrentesPreenchidas,0)=0,0,SUM(ROUND(OFFSET($P127,0,1,1,CÁLCULO.FrentesPreenchidas),15-13*ORÇAMENTO!$AF$7)))))</f>
        <v>0</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c r="L127" s="165">
        <f t="shared" ca="1" si="9"/>
        <v>112</v>
      </c>
      <c r="M127" s="166" t="str">
        <f ca="1">IF($D127&lt;&gt;"Serviço","",
          IF(AUTOEVENTO="manual",$A127,
                IF(ISERROR(MATCH($A127,$A$15:OFFSET($A127,-1,0),0)),MAX($M$15:OFFSET(M127,-1,0))+1,
                      INDEX($M$15:OFFSET(M127,-1,0),MATCH($A127,$A$15:OFFSET($A127,-1,0),0)))))</f>
        <v/>
      </c>
      <c r="N127" s="167" t="str">
        <f ca="1">IF($D127&lt;&gt;"Serviço","",
         IF(AUTOEVENTO="Manual",
                IF($A127=0,"&lt;-- defina o número do agrupador",
                       OFFSET(EVENTOS!$D$15,$A127-$A$15,0)),
                OFFSET($F$15,$A127,0)))</f>
        <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0</v>
      </c>
      <c r="AN127" s="171">
        <f ca="1">IF(OR($D127&lt;&gt;"Serviço",AND(AUTOEVENTO="Manual",$M127=$A$15)),0,
         IF(OFFSET(CRONOPLE!$F$15,$M127-$A$15,AN$13)=0,10^12,OFFSET(CRONOPLE!$F$15,$M127-$A$15,AN$13)))</f>
        <v>0</v>
      </c>
      <c r="AO127" s="171">
        <f ca="1">IF(OR($D127&lt;&gt;"Serviço",AND(AUTOEVENTO="Manual",$M127=$A$15)),0,
         IF(OFFSET(CRONOPLE!$F$15,$M127-$A$15,AO$13)=0,10^12,OFFSET(CRONOPLE!$F$15,$M127-$A$15,AO$13)))</f>
        <v>0</v>
      </c>
      <c r="AP127" s="171">
        <f ca="1">IF(OR($D127&lt;&gt;"Serviço",AND(AUTOEVENTO="Manual",$M127=$A$15)),0,
         IF(OFFSET(CRONOPLE!$F$15,$M127-$A$15,AP$13)=0,10^12,OFFSET(CRONOPLE!$F$15,$M127-$A$15,AP$13)))</f>
        <v>0</v>
      </c>
      <c r="AQ127" s="171">
        <f ca="1">IF(OR($D127&lt;&gt;"Serviço",AND(AUTOEVENTO="Manual",$M127=$A$15)),0,
         IF(OFFSET(CRONOPLE!$F$15,$M127-$A$15,AQ$13)=0,10^12,OFFSET(CRONOPLE!$F$15,$M127-$A$15,AQ$13)))</f>
        <v>0</v>
      </c>
      <c r="AR127" s="171">
        <f ca="1">IF(OR($D127&lt;&gt;"Serviço",AND(AUTOEVENTO="Manual",$M127=$A$15)),0,
         IF(OFFSET(CRONOPLE!$F$15,$M127-$A$15,AR$13)=0,10^12,OFFSET(CRONOPLE!$F$15,$M127-$A$15,AR$13)))</f>
        <v>0</v>
      </c>
      <c r="AS127" s="171">
        <f ca="1">IF(OR($D127&lt;&gt;"Serviço",AND(AUTOEVENTO="Manual",$M127=$A$15)),0,
         IF(OFFSET(CRONOPLE!$F$15,$M127-$A$15,AS$13)=0,10^12,OFFSET(CRONOPLE!$F$15,$M127-$A$15,AS$13)))</f>
        <v>0</v>
      </c>
      <c r="AT127" s="171">
        <f ca="1">IF(OR($D127&lt;&gt;"Serviço",AND(AUTOEVENTO="Manual",$M127=$A$15)),0,
         IF(OFFSET(CRONOPLE!$F$15,$M127-$A$15,AT$13)=0,10^12,OFFSET(CRONOPLE!$F$15,$M127-$A$15,AT$13)))</f>
        <v>0</v>
      </c>
      <c r="AU127" s="171">
        <f ca="1">IF(OR($D127&lt;&gt;"Serviço",AND(AUTOEVENTO="Manual",$M127=$A$15)),0,
         IF(OFFSET(CRONOPLE!$F$15,$M127-$A$15,AU$13)=0,10^12,OFFSET(CRONOPLE!$F$15,$M127-$A$15,AU$13)))</f>
        <v>0</v>
      </c>
      <c r="AV127" s="171">
        <f ca="1">IF(OR($D127&lt;&gt;"Serviço",AND(AUTOEVENTO="Manual",$M127=$A$15)),0,
         IF(OFFSET(CRONOPLE!$F$15,$M127-$A$15,AV$13)=0,10^12,OFFSET(CRONOPLE!$F$15,$M127-$A$15,AV$13)))</f>
        <v>0</v>
      </c>
      <c r="AX127" s="172" cm="1">
        <f t="array" aca="1" ref="AX127" ca="1">IF(OR($D127&lt;&gt;"Serviço",AND(AUTOEVENTO="Manual",$M127=$A$15),$M127&gt;(ROW(PLE.lastrow)-ROW(PLE.firstrow))),0,
           IF(OFFSET(PLE!$G$15,$M127-$A$15,AX$13)="",10^12,OFFSET(PLE!$G$15,$M127-$A$15,AX$13)))</f>
        <v>0</v>
      </c>
      <c r="AY127" s="172" cm="1">
        <f t="array" aca="1" ref="AY127" ca="1">IF(OR($D127&lt;&gt;"Serviço",AND(AUTOEVENTO="Manual",$M127=$A$15),$M127&gt;(ROW(PLE.lastrow)-ROW(PLE.firstrow))),0,
           IF(OFFSET(PLE!$G$15,$M127-$A$15,AY$13)="",10^12,OFFSET(PLE!$G$15,$M127-$A$15,AY$13)))</f>
        <v>0</v>
      </c>
      <c r="AZ127" s="172" cm="1">
        <f t="array" aca="1" ref="AZ127" ca="1">IF(OR($D127&lt;&gt;"Serviço",AND(AUTOEVENTO="Manual",$M127=$A$15),$M127&gt;(ROW(PLE.lastrow)-ROW(PLE.firstrow))),0,
           IF(OFFSET(PLE!$G$15,$M127-$A$15,AZ$13)="",10^12,OFFSET(PLE!$G$15,$M127-$A$15,AZ$13)))</f>
        <v>0</v>
      </c>
      <c r="BA127" s="172" cm="1">
        <f t="array" aca="1" ref="BA127" ca="1">IF(OR($D127&lt;&gt;"Serviço",AND(AUTOEVENTO="Manual",$M127=$A$15),$M127&gt;(ROW(PLE.lastrow)-ROW(PLE.firstrow))),0,
           IF(OFFSET(PLE!$G$15,$M127-$A$15,BA$13)="",10^12,OFFSET(PLE!$G$15,$M127-$A$15,BA$13)))</f>
        <v>0</v>
      </c>
      <c r="BB127" s="172" cm="1">
        <f t="array" aca="1" ref="BB127" ca="1">IF(OR($D127&lt;&gt;"Serviço",AND(AUTOEVENTO="Manual",$M127=$A$15),$M127&gt;(ROW(PLE.lastrow)-ROW(PLE.firstrow))),0,
           IF(OFFSET(PLE!$G$15,$M127-$A$15,BB$13)="",10^12,OFFSET(PLE!$G$15,$M127-$A$15,BB$13)))</f>
        <v>0</v>
      </c>
      <c r="BC127" s="172" cm="1">
        <f t="array" aca="1" ref="BC127" ca="1">IF(OR($D127&lt;&gt;"Serviço",AND(AUTOEVENTO="Manual",$M127=$A$15),$M127&gt;(ROW(PLE.lastrow)-ROW(PLE.firstrow))),0,
           IF(OFFSET(PLE!$G$15,$M127-$A$15,BC$13)="",10^12,OFFSET(PLE!$G$15,$M127-$A$15,BC$13)))</f>
        <v>0</v>
      </c>
      <c r="BD127" s="172" cm="1">
        <f t="array" aca="1" ref="BD127" ca="1">IF(OR($D127&lt;&gt;"Serviço",AND(AUTOEVENTO="Manual",$M127=$A$15),$M127&gt;(ROW(PLE.lastrow)-ROW(PLE.firstrow))),0,
           IF(OFFSET(PLE!$G$15,$M127-$A$15,BD$13)="",10^12,OFFSET(PLE!$G$15,$M127-$A$15,BD$13)))</f>
        <v>0</v>
      </c>
      <c r="BE127" s="172" cm="1">
        <f t="array" aca="1" ref="BE127" ca="1">IF(OR($D127&lt;&gt;"Serviço",AND(AUTOEVENTO="Manual",$M127=$A$15),$M127&gt;(ROW(PLE.lastrow)-ROW(PLE.firstrow))),0,
           IF(OFFSET(PLE!$G$15,$M127-$A$15,BE$13)="",10^12,OFFSET(PLE!$G$15,$M127-$A$15,BE$13)))</f>
        <v>0</v>
      </c>
      <c r="BF127" s="172" cm="1">
        <f t="array" aca="1" ref="BF127" ca="1">IF(OR($D127&lt;&gt;"Serviço",AND(AUTOEVENTO="Manual",$M127=$A$15),$M127&gt;(ROW(PLE.lastrow)-ROW(PLE.firstrow))),0,
           IF(OFFSET(PLE!$G$15,$M127-$A$15,BF$13)="",10^12,OFFSET(PLE!$G$15,$M127-$A$15,BF$13)))</f>
        <v>0</v>
      </c>
      <c r="BG127" s="172" cm="1">
        <f t="array" aca="1" ref="BG127" ca="1">IF(OR($D127&lt;&gt;"Serviço",AND(AUTOEVENTO="Manual",$M127=$A$15),$M127&gt;(ROW(PLE.lastrow)-ROW(PLE.firstrow))),0,
           IF(OFFSET(PLE!$G$15,$M127-$A$15,BG$13)="",10^12,OFFSET(PLE!$G$15,$M127-$A$15,BG$13)))</f>
        <v>0</v>
      </c>
    </row>
    <row r="128" spans="1:59" ht="63.75" x14ac:dyDescent="0.2">
      <c r="A128" s="7" t="str">
        <f t="shared" ca="1" si="8"/>
        <v>106</v>
      </c>
      <c r="B128" s="7" t="str">
        <f ca="1">OFFSET(ORÇAMENTO!C$15,$L128,0)</f>
        <v>S</v>
      </c>
      <c r="C128" s="7" t="str">
        <f ca="1">OFFSET(ORÇAMENTO!L$15,$L128,0)</f>
        <v>F</v>
      </c>
      <c r="D128" s="116" t="str">
        <f ca="1">OFFSET(ORÇAMENTO!N$15,$L128,0)</f>
        <v>Serviço</v>
      </c>
      <c r="E128" s="117" t="str">
        <f ca="1">OFFSET(ORÇAMENTO!O$15,$L128,0)</f>
        <v>1.7.2.0.1.</v>
      </c>
      <c r="F128" s="163" t="str">
        <f ca="1">OFFSET(ORÇAMENTO!R$15,$L128,0)</f>
        <v>JANELA DE ALUMÍNIO TIPO MAXIM-AR, BATENTE/ REQUADRO 3 A 14 CM, VIDRO INCLUSO, FIXAÇÃO COM PARAFUSO, SEM GUARNIÇÃO/ ALIZAR, DIMENSÕES 60X80 (A X L) CM, SEM ACABAMENTO, VEDAÇÃO COM SILICONE, EXCLUSIVE CONTRAMARCO - FORNECIMENTO E INSTALAÇÃO. AF_11/2024</v>
      </c>
      <c r="G128" s="164" t="str">
        <f ca="1">IF($D128&lt;&gt;"Serviço","",OFFSET(ORÇAMENTO!S$15,$L128,0))</f>
        <v>M2</v>
      </c>
      <c r="H128" s="122" cm="1">
        <f t="array" aca="1" ref="H128" ca="1">IF($D128&lt;&gt;"Serviço",0,IF(ACOMPANHAMENTO="BM",ROUND(OFFSET(ORÇAMENTO!AJ$15,$L128,0),15-13*ORÇAMENTO!$AF$7),IF(IFERROR(CÁLCULO.FrentesPreenchidas,0)=0,0,SUM(ROUND(OFFSET($P128,0,1,1,CÁLCULO.FrentesPreenchidas),15-13*ORÇAMENTO!$AF$7)))))</f>
        <v>10.8</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c r="L128" s="165">
        <f t="shared" ca="1" si="9"/>
        <v>113</v>
      </c>
      <c r="M128" s="166">
        <f ca="1">IF($D128&lt;&gt;"Serviço","",
          IF(AUTOEVENTO="manual",$A128,
                IF(ISERROR(MATCH($A128,$A$15:OFFSET($A128,-1,0),0)),MAX($M$15:OFFSET(M128,-1,0))+1,
                      INDEX($M$15:OFFSET(M128,-1,0),MATCH($A128,$A$15:OFFSET($A128,-1,0),0)))))</f>
        <v>7</v>
      </c>
      <c r="N128" s="167" t="str">
        <f ca="1">IF($D128&lt;&gt;"Serviço","",
         IF(AUTOEVENTO="Manual",
                IF($A128=0,"&lt;-- defina o número do agrupador",
                       OFFSET(EVENTOS!$D$15,$A128-$A$15,0)),
                OFFSET($F$15,$A128,0)))</f>
        <v>ESQUADRIAS</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1000000000000</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76.5" x14ac:dyDescent="0.2">
      <c r="A129" s="7" t="str">
        <f ca="1">IFERROR(IF(AUTOEVENTO="Manual",IF(K129&lt;&gt;"",MIN(VALUE(LEFT(K129,FIND(".",K129)-1)),COUNTA(EVENTOS.Lista)),0),IF(OR($B129&gt;AUTOEVENTO,$B129="S",$B129=0),SUBSTITUTE(OFFSET($A129,-1,0),IF($D129="Serviço",".",""),""),$L129&amp;".")),0)</f>
        <v>106</v>
      </c>
      <c r="B129" s="7" t="str">
        <f ca="1">OFFSET(ORÇAMENTO!C$15,$L129,0)</f>
        <v>S</v>
      </c>
      <c r="C129" s="7" t="str">
        <f ca="1">OFFSET(ORÇAMENTO!L$15,$L129,0)</f>
        <v>F</v>
      </c>
      <c r="D129" s="116" t="str">
        <f ca="1">OFFSET(ORÇAMENTO!N$15,$L129,0)</f>
        <v>Serviço</v>
      </c>
      <c r="E129" s="117" t="str">
        <f ca="1">OFFSET(ORÇAMENTO!O$15,$L129,0)</f>
        <v>1.7.2.0.2.</v>
      </c>
      <c r="F129" s="163" t="str">
        <f ca="1">OFFSET(ORÇAMENTO!R$15,$L129,0)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G129" s="164" t="str">
        <f ca="1">IF($D129&lt;&gt;"Serviço","",OFFSET(ORÇAMENTO!S$15,$L129,0))</f>
        <v>M2</v>
      </c>
      <c r="H129" s="122" cm="1">
        <f t="array" aca="1" ref="H129" ca="1">IF($D129&lt;&gt;"Serviço",0,IF(ACOMPANHAMENTO="BM",ROUND(OFFSET(ORÇAMENTO!AJ$15,$L129,0),15-13*ORÇAMENTO!$AF$7),IF(IFERROR(CÁLCULO.FrentesPreenchidas,0)=0,0,SUM(ROUND(OFFSET($P129,0,1,1,CÁLCULO.FrentesPreenchidas),15-13*ORÇAMENTO!$AF$7)))))</f>
        <v>24</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c r="L129" s="165">
        <f ca="1">OFFSET(L129,-1,0)+1</f>
        <v>114</v>
      </c>
      <c r="M129" s="166">
        <f ca="1">IF($D129&lt;&gt;"Serviço","",
          IF(AUTOEVENTO="manual",$A129,
                IF(ISERROR(MATCH($A129,$A$15:OFFSET($A129,-1,0),0)),MAX($M$15:OFFSET(M129,-1,0))+1,
                      INDEX($M$15:OFFSET(M129,-1,0),MATCH($A129,$A$15:OFFSET($A129,-1,0),0)))))</f>
        <v>7</v>
      </c>
      <c r="N129" s="167" t="str">
        <f ca="1">IF($D129&lt;&gt;"Serviço","",
         IF(AUTOEVENTO="Manual",
                IF($A129=0,"&lt;-- defina o número do agrupador",
                       OFFSET(EVENTOS!$D$15,$A129-$A$15,0)),
                OFFSET($F$15,$A129,0)))</f>
        <v>ESQUADRIAS</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1000000000000</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76.5" x14ac:dyDescent="0.2">
      <c r="A130" s="7" t="str">
        <f t="shared" ca="1" si="8"/>
        <v>106</v>
      </c>
      <c r="B130" s="7" t="str">
        <f ca="1">OFFSET(ORÇAMENTO!C$15,$L130,0)</f>
        <v>S</v>
      </c>
      <c r="C130" s="7" t="str">
        <f ca="1">OFFSET(ORÇAMENTO!L$15,$L130,0)</f>
        <v>F</v>
      </c>
      <c r="D130" s="116" t="str">
        <f ca="1">OFFSET(ORÇAMENTO!N$15,$L130,0)</f>
        <v>Serviço</v>
      </c>
      <c r="E130" s="117" t="str">
        <f ca="1">OFFSET(ORÇAMENTO!O$15,$L130,0)</f>
        <v>1.7.2.0.3.</v>
      </c>
      <c r="F130" s="163" t="str">
        <f ca="1">OFFSET(ORÇAMENTO!R$15,$L130,0)</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G130" s="164" t="str">
        <f ca="1">IF($D130&lt;&gt;"Serviço","",OFFSET(ORÇAMENTO!S$15,$L130,0))</f>
        <v>M2</v>
      </c>
      <c r="H130" s="122" cm="1">
        <f t="array" aca="1" ref="H130" ca="1">IF($D130&lt;&gt;"Serviço",0,IF(ACOMPANHAMENTO="BM",ROUND(OFFSET(ORÇAMENTO!AJ$15,$L130,0),15-13*ORÇAMENTO!$AF$7),IF(IFERROR(CÁLCULO.FrentesPreenchidas,0)=0,0,SUM(ROUND(OFFSET($P130,0,1,1,CÁLCULO.FrentesPreenchidas),15-13*ORÇAMENTO!$AF$7)))))</f>
        <v>129.6</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c r="L130" s="165">
        <f t="shared" ca="1" si="9"/>
        <v>115</v>
      </c>
      <c r="M130" s="166">
        <f ca="1">IF($D130&lt;&gt;"Serviço","",
          IF(AUTOEVENTO="manual",$A130,
                IF(ISERROR(MATCH($A130,$A$15:OFFSET($A130,-1,0),0)),MAX($M$15:OFFSET(M130,-1,0))+1,
                      INDEX($M$15:OFFSET(M130,-1,0),MATCH($A130,$A$15:OFFSET($A130,-1,0),0)))))</f>
        <v>7</v>
      </c>
      <c r="N130" s="167" t="str">
        <f ca="1">IF($D130&lt;&gt;"Serviço","",
         IF(AUTOEVENTO="Manual",
                IF($A130=0,"&lt;-- defina o número do agrupador",
                       OFFSET(EVENTOS!$D$15,$A130-$A$15,0)),
                OFFSET($F$15,$A130,0)))</f>
        <v>ESQUADRIAS</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1000000000000</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ht="38.25" x14ac:dyDescent="0.2">
      <c r="A131" s="7" t="str">
        <f t="shared" ca="1" si="8"/>
        <v>106</v>
      </c>
      <c r="B131" s="7" t="str">
        <f ca="1">OFFSET(ORÇAMENTO!C$15,$L131,0)</f>
        <v>S</v>
      </c>
      <c r="C131" s="7" t="str">
        <f ca="1">OFFSET(ORÇAMENTO!L$15,$L131,0)</f>
        <v>F</v>
      </c>
      <c r="D131" s="116" t="str">
        <f ca="1">OFFSET(ORÇAMENTO!N$15,$L131,0)</f>
        <v>Serviço</v>
      </c>
      <c r="E131" s="117" t="str">
        <f ca="1">OFFSET(ORÇAMENTO!O$15,$L131,0)</f>
        <v>1.7.2.0.4.</v>
      </c>
      <c r="F131" s="163" t="str">
        <f ca="1">OFFSET(ORÇAMENTO!R$15,$L131,0)</f>
        <v>GUARNICAO / MOLDURA / ARREMATE DE ACABAMENTO PARA ESQUADRIA, EM ALUMINIO PERFIL 25, ACABAMENTO ANODIZADO BRANCO OU BRILHANTE, PARA 1 FACE</v>
      </c>
      <c r="G131" s="164" t="str">
        <f ca="1">IF($D131&lt;&gt;"Serviço","",OFFSET(ORÇAMENTO!S$15,$L131,0))</f>
        <v>M</v>
      </c>
      <c r="H131" s="122" cm="1">
        <f t="array" aca="1" ref="H131" ca="1">IF($D131&lt;&gt;"Serviço",0,IF(ACOMPANHAMENTO="BM",ROUND(OFFSET(ORÇAMENTO!AJ$15,$L131,0),15-13*ORÇAMENTO!$AF$7),IF(IFERROR(CÁLCULO.FrentesPreenchidas,0)=0,0,SUM(ROUND(OFFSET($P131,0,1,1,CÁLCULO.FrentesPreenchidas),15-13*ORÇAMENTO!$AF$7)))))</f>
        <v>612</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c r="L131" s="165">
        <f t="shared" ca="1" si="9"/>
        <v>116</v>
      </c>
      <c r="M131" s="166">
        <f ca="1">IF($D131&lt;&gt;"Serviço","",
          IF(AUTOEVENTO="manual",$A131,
                IF(ISERROR(MATCH($A131,$A$15:OFFSET($A131,-1,0),0)),MAX($M$15:OFFSET(M131,-1,0))+1,
                      INDEX($M$15:OFFSET(M131,-1,0),MATCH($A131,$A$15:OFFSET($A131,-1,0),0)))))</f>
        <v>7</v>
      </c>
      <c r="N131" s="167" t="str">
        <f ca="1">IF($D131&lt;&gt;"Serviço","",
         IF(AUTOEVENTO="Manual",
                IF($A131=0,"&lt;-- defina o número do agrupador",
                       OFFSET(EVENTOS!$D$15,$A131-$A$15,0)),
                OFFSET($F$15,$A131,0)))</f>
        <v>ESQUADRIAS</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1000000000000</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12.75" x14ac:dyDescent="0.2">
      <c r="A132" s="7" t="str">
        <f t="shared" ca="1" si="8"/>
        <v>117.</v>
      </c>
      <c r="B132" s="7">
        <f ca="1">OFFSET(ORÇAMENTO!C$15,$L132,0)</f>
        <v>2</v>
      </c>
      <c r="C132" s="7" t="str">
        <f ca="1">OFFSET(ORÇAMENTO!L$15,$L132,0)</f>
        <v>F</v>
      </c>
      <c r="D132" s="116" t="str">
        <f ca="1">OFFSET(ORÇAMENTO!N$15,$L132,0)</f>
        <v>Nível 2</v>
      </c>
      <c r="E132" s="117" t="str">
        <f ca="1">OFFSET(ORÇAMENTO!O$15,$L132,0)</f>
        <v>1.8.</v>
      </c>
      <c r="F132" s="163" t="str">
        <f ca="1">OFFSET(ORÇAMENTO!R$15,$L132,0)</f>
        <v>INSTALAÇÕES HIDROSSANITARIAS</v>
      </c>
      <c r="G132" s="164" t="str">
        <f ca="1">IF($D132&lt;&gt;"Serviço","",OFFSET(ORÇAMENTO!S$15,$L132,0))</f>
        <v/>
      </c>
      <c r="H132" s="122" cm="1">
        <f t="array" aca="1" ref="H132" ca="1">IF($D132&lt;&gt;"Serviço",0,IF(ACOMPANHAMENTO="BM",ROUND(OFFSET(ORÇAMENTO!AJ$15,$L132,0),15-13*ORÇAMENTO!$AF$7),IF(IFERROR(CÁLCULO.FrentesPreenchidas,0)=0,0,SUM(ROUND(OFFSET($P132,0,1,1,CÁLCULO.FrentesPreenchidas),15-13*ORÇAMENTO!$AF$7)))))</f>
        <v>0</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c r="L132" s="165">
        <f t="shared" ca="1" si="9"/>
        <v>117</v>
      </c>
      <c r="M132" s="166" t="str">
        <f ca="1">IF($D132&lt;&gt;"Serviço","",
          IF(AUTOEVENTO="manual",$A132,
                IF(ISERROR(MATCH($A132,$A$15:OFFSET($A132,-1,0),0)),MAX($M$15:OFFSET(M132,-1,0))+1,
                      INDEX($M$15:OFFSET(M132,-1,0),MATCH($A132,$A$15:OFFSET($A132,-1,0),0)))))</f>
        <v/>
      </c>
      <c r="N132" s="167" t="str">
        <f ca="1">IF($D132&lt;&gt;"Serviço","",
         IF(AUTOEVENTO="Manual",
                IF($A132=0,"&lt;-- defina o número do agrupador",
                       OFFSET(EVENTOS!$D$15,$A132-$A$15,0)),
                OFFSET($F$15,$A132,0)))</f>
        <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0</v>
      </c>
      <c r="AN132" s="171">
        <f ca="1">IF(OR($D132&lt;&gt;"Serviço",AND(AUTOEVENTO="Manual",$M132=$A$15)),0,
         IF(OFFSET(CRONOPLE!$F$15,$M132-$A$15,AN$13)=0,10^12,OFFSET(CRONOPLE!$F$15,$M132-$A$15,AN$13)))</f>
        <v>0</v>
      </c>
      <c r="AO132" s="171">
        <f ca="1">IF(OR($D132&lt;&gt;"Serviço",AND(AUTOEVENTO="Manual",$M132=$A$15)),0,
         IF(OFFSET(CRONOPLE!$F$15,$M132-$A$15,AO$13)=0,10^12,OFFSET(CRONOPLE!$F$15,$M132-$A$15,AO$13)))</f>
        <v>0</v>
      </c>
      <c r="AP132" s="171">
        <f ca="1">IF(OR($D132&lt;&gt;"Serviço",AND(AUTOEVENTO="Manual",$M132=$A$15)),0,
         IF(OFFSET(CRONOPLE!$F$15,$M132-$A$15,AP$13)=0,10^12,OFFSET(CRONOPLE!$F$15,$M132-$A$15,AP$13)))</f>
        <v>0</v>
      </c>
      <c r="AQ132" s="171">
        <f ca="1">IF(OR($D132&lt;&gt;"Serviço",AND(AUTOEVENTO="Manual",$M132=$A$15)),0,
         IF(OFFSET(CRONOPLE!$F$15,$M132-$A$15,AQ$13)=0,10^12,OFFSET(CRONOPLE!$F$15,$M132-$A$15,AQ$13)))</f>
        <v>0</v>
      </c>
      <c r="AR132" s="171">
        <f ca="1">IF(OR($D132&lt;&gt;"Serviço",AND(AUTOEVENTO="Manual",$M132=$A$15)),0,
         IF(OFFSET(CRONOPLE!$F$15,$M132-$A$15,AR$13)=0,10^12,OFFSET(CRONOPLE!$F$15,$M132-$A$15,AR$13)))</f>
        <v>0</v>
      </c>
      <c r="AS132" s="171">
        <f ca="1">IF(OR($D132&lt;&gt;"Serviço",AND(AUTOEVENTO="Manual",$M132=$A$15)),0,
         IF(OFFSET(CRONOPLE!$F$15,$M132-$A$15,AS$13)=0,10^12,OFFSET(CRONOPLE!$F$15,$M132-$A$15,AS$13)))</f>
        <v>0</v>
      </c>
      <c r="AT132" s="171">
        <f ca="1">IF(OR($D132&lt;&gt;"Serviço",AND(AUTOEVENTO="Manual",$M132=$A$15)),0,
         IF(OFFSET(CRONOPLE!$F$15,$M132-$A$15,AT$13)=0,10^12,OFFSET(CRONOPLE!$F$15,$M132-$A$15,AT$13)))</f>
        <v>0</v>
      </c>
      <c r="AU132" s="171">
        <f ca="1">IF(OR($D132&lt;&gt;"Serviço",AND(AUTOEVENTO="Manual",$M132=$A$15)),0,
         IF(OFFSET(CRONOPLE!$F$15,$M132-$A$15,AU$13)=0,10^12,OFFSET(CRONOPLE!$F$15,$M132-$A$15,AU$13)))</f>
        <v>0</v>
      </c>
      <c r="AV132" s="171">
        <f ca="1">IF(OR($D132&lt;&gt;"Serviço",AND(AUTOEVENTO="Manual",$M132=$A$15)),0,
         IF(OFFSET(CRONOPLE!$F$15,$M132-$A$15,AV$13)=0,10^12,OFFSET(CRONOPLE!$F$15,$M132-$A$15,AV$13)))</f>
        <v>0</v>
      </c>
      <c r="AX132" s="172" cm="1">
        <f t="array" aca="1" ref="AX132" ca="1">IF(OR($D132&lt;&gt;"Serviço",AND(AUTOEVENTO="Manual",$M132=$A$15),$M132&gt;(ROW(PLE.lastrow)-ROW(PLE.firstrow))),0,
           IF(OFFSET(PLE!$G$15,$M132-$A$15,AX$13)="",10^12,OFFSET(PLE!$G$15,$M132-$A$15,AX$13)))</f>
        <v>0</v>
      </c>
      <c r="AY132" s="172" cm="1">
        <f t="array" aca="1" ref="AY132" ca="1">IF(OR($D132&lt;&gt;"Serviço",AND(AUTOEVENTO="Manual",$M132=$A$15),$M132&gt;(ROW(PLE.lastrow)-ROW(PLE.firstrow))),0,
           IF(OFFSET(PLE!$G$15,$M132-$A$15,AY$13)="",10^12,OFFSET(PLE!$G$15,$M132-$A$15,AY$13)))</f>
        <v>0</v>
      </c>
      <c r="AZ132" s="172" cm="1">
        <f t="array" aca="1" ref="AZ132" ca="1">IF(OR($D132&lt;&gt;"Serviço",AND(AUTOEVENTO="Manual",$M132=$A$15),$M132&gt;(ROW(PLE.lastrow)-ROW(PLE.firstrow))),0,
           IF(OFFSET(PLE!$G$15,$M132-$A$15,AZ$13)="",10^12,OFFSET(PLE!$G$15,$M132-$A$15,AZ$13)))</f>
        <v>0</v>
      </c>
      <c r="BA132" s="172" cm="1">
        <f t="array" aca="1" ref="BA132" ca="1">IF(OR($D132&lt;&gt;"Serviço",AND(AUTOEVENTO="Manual",$M132=$A$15),$M132&gt;(ROW(PLE.lastrow)-ROW(PLE.firstrow))),0,
           IF(OFFSET(PLE!$G$15,$M132-$A$15,BA$13)="",10^12,OFFSET(PLE!$G$15,$M132-$A$15,BA$13)))</f>
        <v>0</v>
      </c>
      <c r="BB132" s="172" cm="1">
        <f t="array" aca="1" ref="BB132" ca="1">IF(OR($D132&lt;&gt;"Serviço",AND(AUTOEVENTO="Manual",$M132=$A$15),$M132&gt;(ROW(PLE.lastrow)-ROW(PLE.firstrow))),0,
           IF(OFFSET(PLE!$G$15,$M132-$A$15,BB$13)="",10^12,OFFSET(PLE!$G$15,$M132-$A$15,BB$13)))</f>
        <v>0</v>
      </c>
      <c r="BC132" s="172" cm="1">
        <f t="array" aca="1" ref="BC132" ca="1">IF(OR($D132&lt;&gt;"Serviço",AND(AUTOEVENTO="Manual",$M132=$A$15),$M132&gt;(ROW(PLE.lastrow)-ROW(PLE.firstrow))),0,
           IF(OFFSET(PLE!$G$15,$M132-$A$15,BC$13)="",10^12,OFFSET(PLE!$G$15,$M132-$A$15,BC$13)))</f>
        <v>0</v>
      </c>
      <c r="BD132" s="172" cm="1">
        <f t="array" aca="1" ref="BD132" ca="1">IF(OR($D132&lt;&gt;"Serviço",AND(AUTOEVENTO="Manual",$M132=$A$15),$M132&gt;(ROW(PLE.lastrow)-ROW(PLE.firstrow))),0,
           IF(OFFSET(PLE!$G$15,$M132-$A$15,BD$13)="",10^12,OFFSET(PLE!$G$15,$M132-$A$15,BD$13)))</f>
        <v>0</v>
      </c>
      <c r="BE132" s="172" cm="1">
        <f t="array" aca="1" ref="BE132" ca="1">IF(OR($D132&lt;&gt;"Serviço",AND(AUTOEVENTO="Manual",$M132=$A$15),$M132&gt;(ROW(PLE.lastrow)-ROW(PLE.firstrow))),0,
           IF(OFFSET(PLE!$G$15,$M132-$A$15,BE$13)="",10^12,OFFSET(PLE!$G$15,$M132-$A$15,BE$13)))</f>
        <v>0</v>
      </c>
      <c r="BF132" s="172" cm="1">
        <f t="array" aca="1" ref="BF132" ca="1">IF(OR($D132&lt;&gt;"Serviço",AND(AUTOEVENTO="Manual",$M132=$A$15),$M132&gt;(ROW(PLE.lastrow)-ROW(PLE.firstrow))),0,
           IF(OFFSET(PLE!$G$15,$M132-$A$15,BF$13)="",10^12,OFFSET(PLE!$G$15,$M132-$A$15,BF$13)))</f>
        <v>0</v>
      </c>
      <c r="BG132" s="172" cm="1">
        <f t="array" aca="1" ref="BG132" ca="1">IF(OR($D132&lt;&gt;"Serviço",AND(AUTOEVENTO="Manual",$M132=$A$15),$M132&gt;(ROW(PLE.lastrow)-ROW(PLE.firstrow))),0,
           IF(OFFSET(PLE!$G$15,$M132-$A$15,BG$13)="",10^12,OFFSET(PLE!$G$15,$M132-$A$15,BG$13)))</f>
        <v>0</v>
      </c>
    </row>
    <row r="133" spans="1:59" ht="12.75" x14ac:dyDescent="0.2">
      <c r="A133" s="7" t="str">
        <f t="shared" ca="1" si="8"/>
        <v>117.</v>
      </c>
      <c r="B133" s="7">
        <f ca="1">OFFSET(ORÇAMENTO!C$15,$L133,0)</f>
        <v>3</v>
      </c>
      <c r="C133" s="7" t="str">
        <f ca="1">OFFSET(ORÇAMENTO!L$15,$L133,0)</f>
        <v>F</v>
      </c>
      <c r="D133" s="116" t="str">
        <f ca="1">OFFSET(ORÇAMENTO!N$15,$L133,0)</f>
        <v>Nível 3</v>
      </c>
      <c r="E133" s="117" t="str">
        <f ca="1">OFFSET(ORÇAMENTO!O$15,$L133,0)</f>
        <v>1.8.1.</v>
      </c>
      <c r="F133" s="163" t="str">
        <f ca="1">OFFSET(ORÇAMENTO!R$15,$L133,0)</f>
        <v>FOSSA, FILTRO E SUMIDOURO</v>
      </c>
      <c r="G133" s="164" t="str">
        <f ca="1">IF($D133&lt;&gt;"Serviço","",OFFSET(ORÇAMENTO!S$15,$L133,0))</f>
        <v/>
      </c>
      <c r="H133" s="122" cm="1">
        <f t="array" aca="1" ref="H133" ca="1">IF($D133&lt;&gt;"Serviço",0,IF(ACOMPANHAMENTO="BM",ROUND(OFFSET(ORÇAMENTO!AJ$15,$L133,0),15-13*ORÇAMENTO!$AF$7),IF(IFERROR(CÁLCULO.FrentesPreenchidas,0)=0,0,SUM(ROUND(OFFSET($P133,0,1,1,CÁLCULO.FrentesPreenchidas),15-13*ORÇAMENTO!$AF$7)))))</f>
        <v>0</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f t="shared" ca="1" si="9"/>
        <v>118</v>
      </c>
      <c r="M133" s="166" t="str">
        <f ca="1">IF($D133&lt;&gt;"Serviço","",
          IF(AUTOEVENTO="manual",$A133,
                IF(ISERROR(MATCH($A133,$A$15:OFFSET($A133,-1,0),0)),MAX($M$15:OFFSET(M133,-1,0))+1,
                      INDEX($M$15:OFFSET(M133,-1,0),MATCH($A133,$A$15:OFFSET($A133,-1,0),0)))))</f>
        <v/>
      </c>
      <c r="N133" s="167" t="str">
        <f ca="1">IF($D133&lt;&gt;"Serviço","",
         IF(AUTOEVENTO="Manual",
                IF($A133=0,"&lt;-- defina o número do agrupador",
                       OFFSET(EVENTOS!$D$15,$A133-$A$15,0)),
                OFFSET($F$15,$A133,0)))</f>
        <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0</v>
      </c>
      <c r="AN133" s="171">
        <f ca="1">IF(OR($D133&lt;&gt;"Serviço",AND(AUTOEVENTO="Manual",$M133=$A$15)),0,
         IF(OFFSET(CRONOPLE!$F$15,$M133-$A$15,AN$13)=0,10^12,OFFSET(CRONOPLE!$F$15,$M133-$A$15,AN$13)))</f>
        <v>0</v>
      </c>
      <c r="AO133" s="171">
        <f ca="1">IF(OR($D133&lt;&gt;"Serviço",AND(AUTOEVENTO="Manual",$M133=$A$15)),0,
         IF(OFFSET(CRONOPLE!$F$15,$M133-$A$15,AO$13)=0,10^12,OFFSET(CRONOPLE!$F$15,$M133-$A$15,AO$13)))</f>
        <v>0</v>
      </c>
      <c r="AP133" s="171">
        <f ca="1">IF(OR($D133&lt;&gt;"Serviço",AND(AUTOEVENTO="Manual",$M133=$A$15)),0,
         IF(OFFSET(CRONOPLE!$F$15,$M133-$A$15,AP$13)=0,10^12,OFFSET(CRONOPLE!$F$15,$M133-$A$15,AP$13)))</f>
        <v>0</v>
      </c>
      <c r="AQ133" s="171">
        <f ca="1">IF(OR($D133&lt;&gt;"Serviço",AND(AUTOEVENTO="Manual",$M133=$A$15)),0,
         IF(OFFSET(CRONOPLE!$F$15,$M133-$A$15,AQ$13)=0,10^12,OFFSET(CRONOPLE!$F$15,$M133-$A$15,AQ$13)))</f>
        <v>0</v>
      </c>
      <c r="AR133" s="171">
        <f ca="1">IF(OR($D133&lt;&gt;"Serviço",AND(AUTOEVENTO="Manual",$M133=$A$15)),0,
         IF(OFFSET(CRONOPLE!$F$15,$M133-$A$15,AR$13)=0,10^12,OFFSET(CRONOPLE!$F$15,$M133-$A$15,AR$13)))</f>
        <v>0</v>
      </c>
      <c r="AS133" s="171">
        <f ca="1">IF(OR($D133&lt;&gt;"Serviço",AND(AUTOEVENTO="Manual",$M133=$A$15)),0,
         IF(OFFSET(CRONOPLE!$F$15,$M133-$A$15,AS$13)=0,10^12,OFFSET(CRONOPLE!$F$15,$M133-$A$15,AS$13)))</f>
        <v>0</v>
      </c>
      <c r="AT133" s="171">
        <f ca="1">IF(OR($D133&lt;&gt;"Serviço",AND(AUTOEVENTO="Manual",$M133=$A$15)),0,
         IF(OFFSET(CRONOPLE!$F$15,$M133-$A$15,AT$13)=0,10^12,OFFSET(CRONOPLE!$F$15,$M133-$A$15,AT$13)))</f>
        <v>0</v>
      </c>
      <c r="AU133" s="171">
        <f ca="1">IF(OR($D133&lt;&gt;"Serviço",AND(AUTOEVENTO="Manual",$M133=$A$15)),0,
         IF(OFFSET(CRONOPLE!$F$15,$M133-$A$15,AU$13)=0,10^12,OFFSET(CRONOPLE!$F$15,$M133-$A$15,AU$13)))</f>
        <v>0</v>
      </c>
      <c r="AV133" s="171">
        <f ca="1">IF(OR($D133&lt;&gt;"Serviço",AND(AUTOEVENTO="Manual",$M133=$A$15)),0,
         IF(OFFSET(CRONOPLE!$F$15,$M133-$A$15,AV$13)=0,10^12,OFFSET(CRONOPLE!$F$15,$M133-$A$15,AV$13)))</f>
        <v>0</v>
      </c>
      <c r="AX133" s="172" cm="1">
        <f t="array" aca="1" ref="AX133" ca="1">IF(OR($D133&lt;&gt;"Serviço",AND(AUTOEVENTO="Manual",$M133=$A$15),$M133&gt;(ROW(PLE.lastrow)-ROW(PLE.firstrow))),0,
           IF(OFFSET(PLE!$G$15,$M133-$A$15,AX$13)="",10^12,OFFSET(PLE!$G$15,$M133-$A$15,AX$13)))</f>
        <v>0</v>
      </c>
      <c r="AY133" s="172" cm="1">
        <f t="array" aca="1" ref="AY133" ca="1">IF(OR($D133&lt;&gt;"Serviço",AND(AUTOEVENTO="Manual",$M133=$A$15),$M133&gt;(ROW(PLE.lastrow)-ROW(PLE.firstrow))),0,
           IF(OFFSET(PLE!$G$15,$M133-$A$15,AY$13)="",10^12,OFFSET(PLE!$G$15,$M133-$A$15,AY$13)))</f>
        <v>0</v>
      </c>
      <c r="AZ133" s="172" cm="1">
        <f t="array" aca="1" ref="AZ133" ca="1">IF(OR($D133&lt;&gt;"Serviço",AND(AUTOEVENTO="Manual",$M133=$A$15),$M133&gt;(ROW(PLE.lastrow)-ROW(PLE.firstrow))),0,
           IF(OFFSET(PLE!$G$15,$M133-$A$15,AZ$13)="",10^12,OFFSET(PLE!$G$15,$M133-$A$15,AZ$13)))</f>
        <v>0</v>
      </c>
      <c r="BA133" s="172" cm="1">
        <f t="array" aca="1" ref="BA133" ca="1">IF(OR($D133&lt;&gt;"Serviço",AND(AUTOEVENTO="Manual",$M133=$A$15),$M133&gt;(ROW(PLE.lastrow)-ROW(PLE.firstrow))),0,
           IF(OFFSET(PLE!$G$15,$M133-$A$15,BA$13)="",10^12,OFFSET(PLE!$G$15,$M133-$A$15,BA$13)))</f>
        <v>0</v>
      </c>
      <c r="BB133" s="172" cm="1">
        <f t="array" aca="1" ref="BB133" ca="1">IF(OR($D133&lt;&gt;"Serviço",AND(AUTOEVENTO="Manual",$M133=$A$15),$M133&gt;(ROW(PLE.lastrow)-ROW(PLE.firstrow))),0,
           IF(OFFSET(PLE!$G$15,$M133-$A$15,BB$13)="",10^12,OFFSET(PLE!$G$15,$M133-$A$15,BB$13)))</f>
        <v>0</v>
      </c>
      <c r="BC133" s="172" cm="1">
        <f t="array" aca="1" ref="BC133" ca="1">IF(OR($D133&lt;&gt;"Serviço",AND(AUTOEVENTO="Manual",$M133=$A$15),$M133&gt;(ROW(PLE.lastrow)-ROW(PLE.firstrow))),0,
           IF(OFFSET(PLE!$G$15,$M133-$A$15,BC$13)="",10^12,OFFSET(PLE!$G$15,$M133-$A$15,BC$13)))</f>
        <v>0</v>
      </c>
      <c r="BD133" s="172" cm="1">
        <f t="array" aca="1" ref="BD133" ca="1">IF(OR($D133&lt;&gt;"Serviço",AND(AUTOEVENTO="Manual",$M133=$A$15),$M133&gt;(ROW(PLE.lastrow)-ROW(PLE.firstrow))),0,
           IF(OFFSET(PLE!$G$15,$M133-$A$15,BD$13)="",10^12,OFFSET(PLE!$G$15,$M133-$A$15,BD$13)))</f>
        <v>0</v>
      </c>
      <c r="BE133" s="172" cm="1">
        <f t="array" aca="1" ref="BE133" ca="1">IF(OR($D133&lt;&gt;"Serviço",AND(AUTOEVENTO="Manual",$M133=$A$15),$M133&gt;(ROW(PLE.lastrow)-ROW(PLE.firstrow))),0,
           IF(OFFSET(PLE!$G$15,$M133-$A$15,BE$13)="",10^12,OFFSET(PLE!$G$15,$M133-$A$15,BE$13)))</f>
        <v>0</v>
      </c>
      <c r="BF133" s="172" cm="1">
        <f t="array" aca="1" ref="BF133" ca="1">IF(OR($D133&lt;&gt;"Serviço",AND(AUTOEVENTO="Manual",$M133=$A$15),$M133&gt;(ROW(PLE.lastrow)-ROW(PLE.firstrow))),0,
           IF(OFFSET(PLE!$G$15,$M133-$A$15,BF$13)="",10^12,OFFSET(PLE!$G$15,$M133-$A$15,BF$13)))</f>
        <v>0</v>
      </c>
      <c r="BG133" s="172" cm="1">
        <f t="array" aca="1" ref="BG133" ca="1">IF(OR($D133&lt;&gt;"Serviço",AND(AUTOEVENTO="Manual",$M133=$A$15),$M133&gt;(ROW(PLE.lastrow)-ROW(PLE.firstrow))),0,
           IF(OFFSET(PLE!$G$15,$M133-$A$15,BG$13)="",10^12,OFFSET(PLE!$G$15,$M133-$A$15,BG$13)))</f>
        <v>0</v>
      </c>
    </row>
    <row r="134" spans="1:59" ht="25.5" x14ac:dyDescent="0.2">
      <c r="A134" s="7" t="str">
        <f t="shared" ca="1" si="8"/>
        <v>117</v>
      </c>
      <c r="B134" s="7" t="str">
        <f ca="1">OFFSET(ORÇAMENTO!C$15,$L134,0)</f>
        <v>S</v>
      </c>
      <c r="C134" s="7" t="str">
        <f ca="1">OFFSET(ORÇAMENTO!L$15,$L134,0)</f>
        <v>F</v>
      </c>
      <c r="D134" s="116" t="str">
        <f ca="1">OFFSET(ORÇAMENTO!N$15,$L134,0)</f>
        <v>Serviço</v>
      </c>
      <c r="E134" s="117" t="str">
        <f ca="1">OFFSET(ORÇAMENTO!O$15,$L134,0)</f>
        <v>1.8.1.0.1.</v>
      </c>
      <c r="F134" s="163" t="str">
        <f ca="1">OFFSET(ORÇAMENTO!R$15,$L134,0)</f>
        <v>ESCAVAÇÃO MANUAL DE VALA. AF_09/2024</v>
      </c>
      <c r="G134" s="164" t="str">
        <f ca="1">IF($D134&lt;&gt;"Serviço","",OFFSET(ORÇAMENTO!S$15,$L134,0))</f>
        <v>M3</v>
      </c>
      <c r="H134" s="122" cm="1">
        <f t="array" aca="1" ref="H134" ca="1">IF($D134&lt;&gt;"Serviço",0,IF(ACOMPANHAMENTO="BM",ROUND(OFFSET(ORÇAMENTO!AJ$15,$L134,0),15-13*ORÇAMENTO!$AF$7),IF(IFERROR(CÁLCULO.FrentesPreenchidas,0)=0,0,SUM(ROUND(OFFSET($P134,0,1,1,CÁLCULO.FrentesPreenchidas),15-13*ORÇAMENTO!$AF$7)))))</f>
        <v>384</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c r="L134" s="165">
        <f t="shared" ca="1" si="9"/>
        <v>119</v>
      </c>
      <c r="M134" s="166">
        <f ca="1">IF($D134&lt;&gt;"Serviço","",
          IF(AUTOEVENTO="manual",$A134,
                IF(ISERROR(MATCH($A134,$A$15:OFFSET($A134,-1,0),0)),MAX($M$15:OFFSET(M134,-1,0))+1,
                      INDEX($M$15:OFFSET(M134,-1,0),MATCH($A134,$A$15:OFFSET($A134,-1,0),0)))))</f>
        <v>8</v>
      </c>
      <c r="N134" s="167" t="str">
        <f ca="1">IF($D134&lt;&gt;"Serviço","",
         IF(AUTOEVENTO="Manual",
                IF($A134=0,"&lt;-- defina o número do agrupador",
                       OFFSET(EVENTOS!$D$15,$A134-$A$15,0)),
                OFFSET($F$15,$A134,0)))</f>
        <v>INSTALAÇÕES HIDROSSANITARIAS</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1000000000000</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38.25" x14ac:dyDescent="0.2">
      <c r="A135" s="7" t="str">
        <f t="shared" ca="1" si="8"/>
        <v>117</v>
      </c>
      <c r="B135" s="7" t="str">
        <f ca="1">OFFSET(ORÇAMENTO!C$15,$L135,0)</f>
        <v>S</v>
      </c>
      <c r="C135" s="7" t="str">
        <f ca="1">OFFSET(ORÇAMENTO!L$15,$L135,0)</f>
        <v>F</v>
      </c>
      <c r="D135" s="116" t="str">
        <f ca="1">OFFSET(ORÇAMENTO!N$15,$L135,0)</f>
        <v>Serviço</v>
      </c>
      <c r="E135" s="117" t="str">
        <f ca="1">OFFSET(ORÇAMENTO!O$15,$L135,0)</f>
        <v>1.8.1.0.2.</v>
      </c>
      <c r="F135" s="163" t="str">
        <f ca="1">OFFSET(ORÇAMENTO!R$15,$L135,0)</f>
        <v>PREPARO DE FUNDO DE VALA COM LARGURA MENOR QUE 1,5 M (ACERTO DO SOLO NATURAL), EM LOCAL COM NÍVEL BAIXO DE INTERFERÊNCIA. AF_01/2026</v>
      </c>
      <c r="G135" s="164" t="str">
        <f ca="1">IF($D135&lt;&gt;"Serviço","",OFFSET(ORÇAMENTO!S$15,$L135,0))</f>
        <v>M2</v>
      </c>
      <c r="H135" s="122" cm="1">
        <f t="array" aca="1" ref="H135" ca="1">IF($D135&lt;&gt;"Serviço",0,IF(ACOMPANHAMENTO="BM",ROUND(OFFSET(ORÇAMENTO!AJ$15,$L135,0),15-13*ORÇAMENTO!$AF$7),IF(IFERROR(CÁLCULO.FrentesPreenchidas,0)=0,0,SUM(ROUND(OFFSET($P135,0,1,1,CÁLCULO.FrentesPreenchidas),15-13*ORÇAMENTO!$AF$7)))))</f>
        <v>180</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c r="L135" s="165">
        <f t="shared" ca="1" si="9"/>
        <v>120</v>
      </c>
      <c r="M135" s="166">
        <f ca="1">IF($D135&lt;&gt;"Serviço","",
          IF(AUTOEVENTO="manual",$A135,
                IF(ISERROR(MATCH($A135,$A$15:OFFSET($A135,-1,0),0)),MAX($M$15:OFFSET(M135,-1,0))+1,
                      INDEX($M$15:OFFSET(M135,-1,0),MATCH($A135,$A$15:OFFSET($A135,-1,0),0)))))</f>
        <v>8</v>
      </c>
      <c r="N135" s="167" t="str">
        <f ca="1">IF($D135&lt;&gt;"Serviço","",
         IF(AUTOEVENTO="Manual",
                IF($A135=0,"&lt;-- defina o número do agrupador",
                       OFFSET(EVENTOS!$D$15,$A135-$A$15,0)),
                OFFSET($F$15,$A135,0)))</f>
        <v>INSTALAÇÕES HIDROSSANITARIAS</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1000000000000</v>
      </c>
      <c r="AN135" s="171">
        <f ca="1">IF(OR($D135&lt;&gt;"Serviço",AND(AUTOEVENTO="Manual",$M135=$A$15)),0,
         IF(OFFSET(CRONOPLE!$F$15,$M135-$A$15,AN$13)=0,10^12,OFFSET(CRONOPLE!$F$15,$M135-$A$15,AN$13)))</f>
        <v>1000000000000</v>
      </c>
      <c r="AO135" s="171">
        <f ca="1">IF(OR($D135&lt;&gt;"Serviço",AND(AUTOEVENTO="Manual",$M135=$A$15)),0,
         IF(OFFSET(CRONOPLE!$F$15,$M135-$A$15,AO$13)=0,10^12,OFFSET(CRONOPLE!$F$15,$M135-$A$15,AO$13)))</f>
        <v>1000000000000</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ht="25.5" x14ac:dyDescent="0.2">
      <c r="A136" s="7" t="str">
        <f t="shared" ca="1" si="8"/>
        <v>117</v>
      </c>
      <c r="B136" s="7" t="str">
        <f ca="1">OFFSET(ORÇAMENTO!C$15,$L136,0)</f>
        <v>S</v>
      </c>
      <c r="C136" s="7" t="str">
        <f ca="1">OFFSET(ORÇAMENTO!L$15,$L136,0)</f>
        <v>F</v>
      </c>
      <c r="D136" s="116" t="str">
        <f ca="1">OFFSET(ORÇAMENTO!N$15,$L136,0)</f>
        <v>Serviço</v>
      </c>
      <c r="E136" s="117" t="str">
        <f ca="1">OFFSET(ORÇAMENTO!O$15,$L136,0)</f>
        <v>1.8.1.0.3.</v>
      </c>
      <c r="F136" s="163" t="str">
        <f ca="1">OFFSET(ORÇAMENTO!R$15,$L136,0)</f>
        <v>REATERRO MANUAL DE VALAS, COM COMPACTADOR DE SOLOS DE PERCUSSÃO. AF_08/2023</v>
      </c>
      <c r="G136" s="164" t="str">
        <f ca="1">IF($D136&lt;&gt;"Serviço","",OFFSET(ORÇAMENTO!S$15,$L136,0))</f>
        <v>M3</v>
      </c>
      <c r="H136" s="122" cm="1">
        <f t="array" aca="1" ref="H136" ca="1">IF($D136&lt;&gt;"Serviço",0,IF(ACOMPANHAMENTO="BM",ROUND(OFFSET(ORÇAMENTO!AJ$15,$L136,0),15-13*ORÇAMENTO!$AF$7),IF(IFERROR(CÁLCULO.FrentesPreenchidas,0)=0,0,SUM(ROUND(OFFSET($P136,0,1,1,CÁLCULO.FrentesPreenchidas),15-13*ORÇAMENTO!$AF$7)))))</f>
        <v>40</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c r="L136" s="165">
        <f t="shared" ca="1" si="9"/>
        <v>121</v>
      </c>
      <c r="M136" s="166">
        <f ca="1">IF($D136&lt;&gt;"Serviço","",
          IF(AUTOEVENTO="manual",$A136,
                IF(ISERROR(MATCH($A136,$A$15:OFFSET($A136,-1,0),0)),MAX($M$15:OFFSET(M136,-1,0))+1,
                      INDEX($M$15:OFFSET(M136,-1,0),MATCH($A136,$A$15:OFFSET($A136,-1,0),0)))))</f>
        <v>8</v>
      </c>
      <c r="N136" s="167" t="str">
        <f ca="1">IF($D136&lt;&gt;"Serviço","",
         IF(AUTOEVENTO="Manual",
                IF($A136=0,"&lt;-- defina o número do agrupador",
                       OFFSET(EVENTOS!$D$15,$A136-$A$15,0)),
                OFFSET($F$15,$A136,0)))</f>
        <v>INSTALAÇÕES HIDROSSANITARIAS</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1000000000000</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38.25" x14ac:dyDescent="0.2">
      <c r="A137" s="7" t="str">
        <f t="shared" ca="1" si="8"/>
        <v>117</v>
      </c>
      <c r="B137" s="7" t="str">
        <f ca="1">OFFSET(ORÇAMENTO!C$15,$L137,0)</f>
        <v>S</v>
      </c>
      <c r="C137" s="7" t="str">
        <f ca="1">OFFSET(ORÇAMENTO!L$15,$L137,0)</f>
        <v>F</v>
      </c>
      <c r="D137" s="116" t="str">
        <f ca="1">OFFSET(ORÇAMENTO!N$15,$L137,0)</f>
        <v>Serviço</v>
      </c>
      <c r="E137" s="117" t="str">
        <f ca="1">OFFSET(ORÇAMENTO!O$15,$L137,0)</f>
        <v>1.8.1.0.4.</v>
      </c>
      <c r="F137" s="163" t="str">
        <f ca="1">OFFSET(ORÇAMENTO!R$15,$L137,0)</f>
        <v>TANQUE SÉPTICO CIRCULAR, EM CONCRETO PRÉ-MOLDADO, DIÂMETRO INTERNO = 1,10 M, ALTURA INTERNA = 2,50 M, VOLUME ÚTIL: 2138,2 L (PARA 5 CONTRIBUINTES). AF_12/2020</v>
      </c>
      <c r="G137" s="164" t="str">
        <f ca="1">IF($D137&lt;&gt;"Serviço","",OFFSET(ORÇAMENTO!S$15,$L137,0))</f>
        <v>UN</v>
      </c>
      <c r="H137" s="122" cm="1">
        <f t="array" aca="1" ref="H137" ca="1">IF($D137&lt;&gt;"Serviço",0,IF(ACOMPANHAMENTO="BM",ROUND(OFFSET(ORÇAMENTO!AJ$15,$L137,0),15-13*ORÇAMENTO!$AF$7),IF(IFERROR(CÁLCULO.FrentesPreenchidas,0)=0,0,SUM(ROUND(OFFSET($P137,0,1,1,CÁLCULO.FrentesPreenchidas),15-13*ORÇAMENTO!$AF$7)))))</f>
        <v>30</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c r="L137" s="165">
        <f t="shared" ca="1" si="9"/>
        <v>122</v>
      </c>
      <c r="M137" s="166">
        <f ca="1">IF($D137&lt;&gt;"Serviço","",
          IF(AUTOEVENTO="manual",$A137,
                IF(ISERROR(MATCH($A137,$A$15:OFFSET($A137,-1,0),0)),MAX($M$15:OFFSET(M137,-1,0))+1,
                      INDEX($M$15:OFFSET(M137,-1,0),MATCH($A137,$A$15:OFFSET($A137,-1,0),0)))))</f>
        <v>8</v>
      </c>
      <c r="N137" s="167" t="str">
        <f ca="1">IF($D137&lt;&gt;"Serviço","",
         IF(AUTOEVENTO="Manual",
                IF($A137=0,"&lt;-- defina o número do agrupador",
                       OFFSET(EVENTOS!$D$15,$A137-$A$15,0)),
                OFFSET($F$15,$A137,0)))</f>
        <v>INSTALAÇÕES HIDROSSANITARIAS</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1000000000000</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38.25" x14ac:dyDescent="0.2">
      <c r="A138" s="7" t="str">
        <f t="shared" ca="1" si="8"/>
        <v>117</v>
      </c>
      <c r="B138" s="7" t="str">
        <f ca="1">OFFSET(ORÇAMENTO!C$15,$L138,0)</f>
        <v>S</v>
      </c>
      <c r="C138" s="7" t="str">
        <f ca="1">OFFSET(ORÇAMENTO!L$15,$L138,0)</f>
        <v>F</v>
      </c>
      <c r="D138" s="116" t="str">
        <f ca="1">OFFSET(ORÇAMENTO!N$15,$L138,0)</f>
        <v>Serviço</v>
      </c>
      <c r="E138" s="117" t="str">
        <f ca="1">OFFSET(ORÇAMENTO!O$15,$L138,0)</f>
        <v>1.8.1.0.5.</v>
      </c>
      <c r="F138" s="163" t="str">
        <f ca="1">OFFSET(ORÇAMENTO!R$15,$L138,0)</f>
        <v>FILTRO ANAERÓBIO CIRCULAR, EM CONCRETO PRÉ-MOLDADO, DIÂMETRO INTERNO = 1,10 M, ALTURA INTERNA = 1,50 M, VOLUME ÚTIL: 1140,4 L (PARA 5 CONTRIBUINTES). AF_12/2020</v>
      </c>
      <c r="G138" s="164" t="str">
        <f ca="1">IF($D138&lt;&gt;"Serviço","",OFFSET(ORÇAMENTO!S$15,$L138,0))</f>
        <v>UN</v>
      </c>
      <c r="H138" s="122" cm="1">
        <f t="array" aca="1" ref="H138" ca="1">IF($D138&lt;&gt;"Serviço",0,IF(ACOMPANHAMENTO="BM",ROUND(OFFSET(ORÇAMENTO!AJ$15,$L138,0),15-13*ORÇAMENTO!$AF$7),IF(IFERROR(CÁLCULO.FrentesPreenchidas,0)=0,0,SUM(ROUND(OFFSET($P138,0,1,1,CÁLCULO.FrentesPreenchidas),15-13*ORÇAMENTO!$AF$7)))))</f>
        <v>30</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f t="shared" ca="1" si="9"/>
        <v>123</v>
      </c>
      <c r="M138" s="166">
        <f ca="1">IF($D138&lt;&gt;"Serviço","",
          IF(AUTOEVENTO="manual",$A138,
                IF(ISERROR(MATCH($A138,$A$15:OFFSET($A138,-1,0),0)),MAX($M$15:OFFSET(M138,-1,0))+1,
                      INDEX($M$15:OFFSET(M138,-1,0),MATCH($A138,$A$15:OFFSET($A138,-1,0),0)))))</f>
        <v>8</v>
      </c>
      <c r="N138" s="167" t="str">
        <f ca="1">IF($D138&lt;&gt;"Serviço","",
         IF(AUTOEVENTO="Manual",
                IF($A138=0,"&lt;-- defina o número do agrupador",
                       OFFSET(EVENTOS!$D$15,$A138-$A$15,0)),
                OFFSET($F$15,$A138,0)))</f>
        <v>INSTALAÇÕES HIDROSSANITARIAS</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1000000000000</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38.25" x14ac:dyDescent="0.2">
      <c r="A139" s="7" t="str">
        <f t="shared" ca="1" si="8"/>
        <v>117</v>
      </c>
      <c r="B139" s="7" t="str">
        <f ca="1">OFFSET(ORÇAMENTO!C$15,$L139,0)</f>
        <v>S</v>
      </c>
      <c r="C139" s="7" t="str">
        <f ca="1">OFFSET(ORÇAMENTO!L$15,$L139,0)</f>
        <v>F</v>
      </c>
      <c r="D139" s="116" t="str">
        <f ca="1">OFFSET(ORÇAMENTO!N$15,$L139,0)</f>
        <v>Serviço</v>
      </c>
      <c r="E139" s="117" t="str">
        <f ca="1">OFFSET(ORÇAMENTO!O$15,$L139,0)</f>
        <v>1.8.1.0.6.</v>
      </c>
      <c r="F139" s="163" t="str">
        <f ca="1">OFFSET(ORÇAMENTO!R$15,$L139,0)</f>
        <v>SUMIDOURO CIRCULAR, EM CONCRETO PRÉ-MOLDADO, DIÂMETRO INTERNO = 1,88 M, ALTURA INTERNA = 2,00 M, ÁREA DE INFILTRAÇÃO: 13,1 M² (PARA 5 CONTRIBUINTES). AF_12/2020</v>
      </c>
      <c r="G139" s="164" t="str">
        <f ca="1">IF($D139&lt;&gt;"Serviço","",OFFSET(ORÇAMENTO!S$15,$L139,0))</f>
        <v>UN</v>
      </c>
      <c r="H139" s="122" cm="1">
        <f t="array" aca="1" ref="H139" ca="1">IF($D139&lt;&gt;"Serviço",0,IF(ACOMPANHAMENTO="BM",ROUND(OFFSET(ORÇAMENTO!AJ$15,$L139,0),15-13*ORÇAMENTO!$AF$7),IF(IFERROR(CÁLCULO.FrentesPreenchidas,0)=0,0,SUM(ROUND(OFFSET($P139,0,1,1,CÁLCULO.FrentesPreenchidas),15-13*ORÇAMENTO!$AF$7)))))</f>
        <v>30</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c r="L139" s="165">
        <f t="shared" ca="1" si="9"/>
        <v>124</v>
      </c>
      <c r="M139" s="166">
        <f ca="1">IF($D139&lt;&gt;"Serviço","",
          IF(AUTOEVENTO="manual",$A139,
                IF(ISERROR(MATCH($A139,$A$15:OFFSET($A139,-1,0),0)),MAX($M$15:OFFSET(M139,-1,0))+1,
                      INDEX($M$15:OFFSET(M139,-1,0),MATCH($A139,$A$15:OFFSET($A139,-1,0),0)))))</f>
        <v>8</v>
      </c>
      <c r="N139" s="167" t="str">
        <f ca="1">IF($D139&lt;&gt;"Serviço","",
         IF(AUTOEVENTO="Manual",
                IF($A139=0,"&lt;-- defina o número do agrupador",
                       OFFSET(EVENTOS!$D$15,$A139-$A$15,0)),
                OFFSET($F$15,$A139,0)))</f>
        <v>INSTALAÇÕES HIDROSSANITARIAS</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1000000000000</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ht="12.75" x14ac:dyDescent="0.2">
      <c r="A140" s="7" t="str">
        <f t="shared" ca="1" si="8"/>
        <v>117</v>
      </c>
      <c r="B140" s="7">
        <f ca="1">OFFSET(ORÇAMENTO!C$15,$L140,0)</f>
        <v>3</v>
      </c>
      <c r="C140" s="7" t="str">
        <f ca="1">OFFSET(ORÇAMENTO!L$15,$L140,0)</f>
        <v>F</v>
      </c>
      <c r="D140" s="116" t="str">
        <f ca="1">OFFSET(ORÇAMENTO!N$15,$L140,0)</f>
        <v>Nível 3</v>
      </c>
      <c r="E140" s="117" t="str">
        <f ca="1">OFFSET(ORÇAMENTO!O$15,$L140,0)</f>
        <v>1.8.2.</v>
      </c>
      <c r="F140" s="163" t="str">
        <f ca="1">OFFSET(ORÇAMENTO!R$15,$L140,0)</f>
        <v>ESGOTO - TUBOS E CONEXÕES</v>
      </c>
      <c r="G140" s="164" t="str">
        <f ca="1">IF($D140&lt;&gt;"Serviço","",OFFSET(ORÇAMENTO!S$15,$L140,0))</f>
        <v/>
      </c>
      <c r="H140" s="122" cm="1">
        <f t="array" aca="1" ref="H140" ca="1">IF($D140&lt;&gt;"Serviço",0,IF(ACOMPANHAMENTO="BM",ROUND(OFFSET(ORÇAMENTO!AJ$15,$L140,0),15-13*ORÇAMENTO!$AF$7),IF(IFERROR(CÁLCULO.FrentesPreenchidas,0)=0,0,SUM(ROUND(OFFSET($P140,0,1,1,CÁLCULO.FrentesPreenchidas),15-13*ORÇAMENTO!$AF$7)))))</f>
        <v>0</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c r="L140" s="165">
        <f t="shared" ca="1" si="9"/>
        <v>125</v>
      </c>
      <c r="M140" s="166" t="str">
        <f ca="1">IF($D140&lt;&gt;"Serviço","",
          IF(AUTOEVENTO="manual",$A140,
                IF(ISERROR(MATCH($A140,$A$15:OFFSET($A140,-1,0),0)),MAX($M$15:OFFSET(M140,-1,0))+1,
                      INDEX($M$15:OFFSET(M140,-1,0),MATCH($A140,$A$15:OFFSET($A140,-1,0),0)))))</f>
        <v/>
      </c>
      <c r="N140" s="167" t="str">
        <f ca="1">IF($D140&lt;&gt;"Serviço","",
         IF(AUTOEVENTO="Manual",
                IF($A140=0,"&lt;-- defina o número do agrupador",
                       OFFSET(EVENTOS!$D$15,$A140-$A$15,0)),
                OFFSET($F$15,$A140,0)))</f>
        <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0</v>
      </c>
      <c r="AN140" s="171">
        <f ca="1">IF(OR($D140&lt;&gt;"Serviço",AND(AUTOEVENTO="Manual",$M140=$A$15)),0,
         IF(OFFSET(CRONOPLE!$F$15,$M140-$A$15,AN$13)=0,10^12,OFFSET(CRONOPLE!$F$15,$M140-$A$15,AN$13)))</f>
        <v>0</v>
      </c>
      <c r="AO140" s="171">
        <f ca="1">IF(OR($D140&lt;&gt;"Serviço",AND(AUTOEVENTO="Manual",$M140=$A$15)),0,
         IF(OFFSET(CRONOPLE!$F$15,$M140-$A$15,AO$13)=0,10^12,OFFSET(CRONOPLE!$F$15,$M140-$A$15,AO$13)))</f>
        <v>0</v>
      </c>
      <c r="AP140" s="171">
        <f ca="1">IF(OR($D140&lt;&gt;"Serviço",AND(AUTOEVENTO="Manual",$M140=$A$15)),0,
         IF(OFFSET(CRONOPLE!$F$15,$M140-$A$15,AP$13)=0,10^12,OFFSET(CRONOPLE!$F$15,$M140-$A$15,AP$13)))</f>
        <v>0</v>
      </c>
      <c r="AQ140" s="171">
        <f ca="1">IF(OR($D140&lt;&gt;"Serviço",AND(AUTOEVENTO="Manual",$M140=$A$15)),0,
         IF(OFFSET(CRONOPLE!$F$15,$M140-$A$15,AQ$13)=0,10^12,OFFSET(CRONOPLE!$F$15,$M140-$A$15,AQ$13)))</f>
        <v>0</v>
      </c>
      <c r="AR140" s="171">
        <f ca="1">IF(OR($D140&lt;&gt;"Serviço",AND(AUTOEVENTO="Manual",$M140=$A$15)),0,
         IF(OFFSET(CRONOPLE!$F$15,$M140-$A$15,AR$13)=0,10^12,OFFSET(CRONOPLE!$F$15,$M140-$A$15,AR$13)))</f>
        <v>0</v>
      </c>
      <c r="AS140" s="171">
        <f ca="1">IF(OR($D140&lt;&gt;"Serviço",AND(AUTOEVENTO="Manual",$M140=$A$15)),0,
         IF(OFFSET(CRONOPLE!$F$15,$M140-$A$15,AS$13)=0,10^12,OFFSET(CRONOPLE!$F$15,$M140-$A$15,AS$13)))</f>
        <v>0</v>
      </c>
      <c r="AT140" s="171">
        <f ca="1">IF(OR($D140&lt;&gt;"Serviço",AND(AUTOEVENTO="Manual",$M140=$A$15)),0,
         IF(OFFSET(CRONOPLE!$F$15,$M140-$A$15,AT$13)=0,10^12,OFFSET(CRONOPLE!$F$15,$M140-$A$15,AT$13)))</f>
        <v>0</v>
      </c>
      <c r="AU140" s="171">
        <f ca="1">IF(OR($D140&lt;&gt;"Serviço",AND(AUTOEVENTO="Manual",$M140=$A$15)),0,
         IF(OFFSET(CRONOPLE!$F$15,$M140-$A$15,AU$13)=0,10^12,OFFSET(CRONOPLE!$F$15,$M140-$A$15,AU$13)))</f>
        <v>0</v>
      </c>
      <c r="AV140" s="171">
        <f ca="1">IF(OR($D140&lt;&gt;"Serviço",AND(AUTOEVENTO="Manual",$M140=$A$15)),0,
         IF(OFFSET(CRONOPLE!$F$15,$M140-$A$15,AV$13)=0,10^12,OFFSET(CRONOPLE!$F$15,$M140-$A$15,AV$13)))</f>
        <v>0</v>
      </c>
      <c r="AX140" s="172" cm="1">
        <f t="array" aca="1" ref="AX140" ca="1">IF(OR($D140&lt;&gt;"Serviço",AND(AUTOEVENTO="Manual",$M140=$A$15),$M140&gt;(ROW(PLE.lastrow)-ROW(PLE.firstrow))),0,
           IF(OFFSET(PLE!$G$15,$M140-$A$15,AX$13)="",10^12,OFFSET(PLE!$G$15,$M140-$A$15,AX$13)))</f>
        <v>0</v>
      </c>
      <c r="AY140" s="172" cm="1">
        <f t="array" aca="1" ref="AY140" ca="1">IF(OR($D140&lt;&gt;"Serviço",AND(AUTOEVENTO="Manual",$M140=$A$15),$M140&gt;(ROW(PLE.lastrow)-ROW(PLE.firstrow))),0,
           IF(OFFSET(PLE!$G$15,$M140-$A$15,AY$13)="",10^12,OFFSET(PLE!$G$15,$M140-$A$15,AY$13)))</f>
        <v>0</v>
      </c>
      <c r="AZ140" s="172" cm="1">
        <f t="array" aca="1" ref="AZ140" ca="1">IF(OR($D140&lt;&gt;"Serviço",AND(AUTOEVENTO="Manual",$M140=$A$15),$M140&gt;(ROW(PLE.lastrow)-ROW(PLE.firstrow))),0,
           IF(OFFSET(PLE!$G$15,$M140-$A$15,AZ$13)="",10^12,OFFSET(PLE!$G$15,$M140-$A$15,AZ$13)))</f>
        <v>0</v>
      </c>
      <c r="BA140" s="172" cm="1">
        <f t="array" aca="1" ref="BA140" ca="1">IF(OR($D140&lt;&gt;"Serviço",AND(AUTOEVENTO="Manual",$M140=$A$15),$M140&gt;(ROW(PLE.lastrow)-ROW(PLE.firstrow))),0,
           IF(OFFSET(PLE!$G$15,$M140-$A$15,BA$13)="",10^12,OFFSET(PLE!$G$15,$M140-$A$15,BA$13)))</f>
        <v>0</v>
      </c>
      <c r="BB140" s="172" cm="1">
        <f t="array" aca="1" ref="BB140" ca="1">IF(OR($D140&lt;&gt;"Serviço",AND(AUTOEVENTO="Manual",$M140=$A$15),$M140&gt;(ROW(PLE.lastrow)-ROW(PLE.firstrow))),0,
           IF(OFFSET(PLE!$G$15,$M140-$A$15,BB$13)="",10^12,OFFSET(PLE!$G$15,$M140-$A$15,BB$13)))</f>
        <v>0</v>
      </c>
      <c r="BC140" s="172" cm="1">
        <f t="array" aca="1" ref="BC140" ca="1">IF(OR($D140&lt;&gt;"Serviço",AND(AUTOEVENTO="Manual",$M140=$A$15),$M140&gt;(ROW(PLE.lastrow)-ROW(PLE.firstrow))),0,
           IF(OFFSET(PLE!$G$15,$M140-$A$15,BC$13)="",10^12,OFFSET(PLE!$G$15,$M140-$A$15,BC$13)))</f>
        <v>0</v>
      </c>
      <c r="BD140" s="172" cm="1">
        <f t="array" aca="1" ref="BD140" ca="1">IF(OR($D140&lt;&gt;"Serviço",AND(AUTOEVENTO="Manual",$M140=$A$15),$M140&gt;(ROW(PLE.lastrow)-ROW(PLE.firstrow))),0,
           IF(OFFSET(PLE!$G$15,$M140-$A$15,BD$13)="",10^12,OFFSET(PLE!$G$15,$M140-$A$15,BD$13)))</f>
        <v>0</v>
      </c>
      <c r="BE140" s="172" cm="1">
        <f t="array" aca="1" ref="BE140" ca="1">IF(OR($D140&lt;&gt;"Serviço",AND(AUTOEVENTO="Manual",$M140=$A$15),$M140&gt;(ROW(PLE.lastrow)-ROW(PLE.firstrow))),0,
           IF(OFFSET(PLE!$G$15,$M140-$A$15,BE$13)="",10^12,OFFSET(PLE!$G$15,$M140-$A$15,BE$13)))</f>
        <v>0</v>
      </c>
      <c r="BF140" s="172" cm="1">
        <f t="array" aca="1" ref="BF140" ca="1">IF(OR($D140&lt;&gt;"Serviço",AND(AUTOEVENTO="Manual",$M140=$A$15),$M140&gt;(ROW(PLE.lastrow)-ROW(PLE.firstrow))),0,
           IF(OFFSET(PLE!$G$15,$M140-$A$15,BF$13)="",10^12,OFFSET(PLE!$G$15,$M140-$A$15,BF$13)))</f>
        <v>0</v>
      </c>
      <c r="BG140" s="172" cm="1">
        <f t="array" aca="1" ref="BG140" ca="1">IF(OR($D140&lt;&gt;"Serviço",AND(AUTOEVENTO="Manual",$M140=$A$15),$M140&gt;(ROW(PLE.lastrow)-ROW(PLE.firstrow))),0,
           IF(OFFSET(PLE!$G$15,$M140-$A$15,BG$13)="",10^12,OFFSET(PLE!$G$15,$M140-$A$15,BG$13)))</f>
        <v>0</v>
      </c>
    </row>
    <row r="141" spans="1:59" ht="38.25" x14ac:dyDescent="0.2">
      <c r="A141" s="7" t="str">
        <f t="shared" ca="1" si="8"/>
        <v>117</v>
      </c>
      <c r="B141" s="7" t="str">
        <f ca="1">OFFSET(ORÇAMENTO!C$15,$L141,0)</f>
        <v>S</v>
      </c>
      <c r="C141" s="7" t="str">
        <f ca="1">OFFSET(ORÇAMENTO!L$15,$L141,0)</f>
        <v>F</v>
      </c>
      <c r="D141" s="116" t="str">
        <f ca="1">OFFSET(ORÇAMENTO!N$15,$L141,0)</f>
        <v>Serviço</v>
      </c>
      <c r="E141" s="117" t="str">
        <f ca="1">OFFSET(ORÇAMENTO!O$15,$L141,0)</f>
        <v>1.8.2.0.1.</v>
      </c>
      <c r="F141" s="163" t="str">
        <f ca="1">OFFSET(ORÇAMENTO!R$15,$L141,0)</f>
        <v>TUBO PVC, SERIE NORMAL, ESGOTO PREDIAL, DN 40 MM, FORNECIDO E INSTALADO EM RAMAL DE DESCARGA OU RAMAL DE ESGOTO SANITÁRIO. AF_08/2022</v>
      </c>
      <c r="G141" s="164" t="str">
        <f ca="1">IF($D141&lt;&gt;"Serviço","",OFFSET(ORÇAMENTO!S$15,$L141,0))</f>
        <v>M</v>
      </c>
      <c r="H141" s="122" cm="1">
        <f t="array" aca="1" ref="H141" ca="1">IF($D141&lt;&gt;"Serviço",0,IF(ACOMPANHAMENTO="BM",ROUND(OFFSET(ORÇAMENTO!AJ$15,$L141,0),15-13*ORÇAMENTO!$AF$7),IF(IFERROR(CÁLCULO.FrentesPreenchidas,0)=0,0,SUM(ROUND(OFFSET($P141,0,1,1,CÁLCULO.FrentesPreenchidas),15-13*ORÇAMENTO!$AF$7)))))</f>
        <v>55.2</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2"/>
      <c r="L141" s="165">
        <f t="shared" ca="1" si="9"/>
        <v>126</v>
      </c>
      <c r="M141" s="166">
        <f ca="1">IF($D141&lt;&gt;"Serviço","",
          IF(AUTOEVENTO="manual",$A141,
                IF(ISERROR(MATCH($A141,$A$15:OFFSET($A141,-1,0),0)),MAX($M$15:OFFSET(M141,-1,0))+1,
                      INDEX($M$15:OFFSET(M141,-1,0),MATCH($A141,$A$15:OFFSET($A141,-1,0),0)))))</f>
        <v>8</v>
      </c>
      <c r="N141" s="167" t="str">
        <f ca="1">IF($D141&lt;&gt;"Serviço","",
         IF(AUTOEVENTO="Manual",
                IF($A141=0,"&lt;-- defina o número do agrupador",
                       OFFSET(EVENTOS!$D$15,$A141-$A$15,0)),
                OFFSET($F$15,$A141,0)))</f>
        <v>INSTALAÇÕES HIDROSSANITARIAS</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1000000000000</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38.25" x14ac:dyDescent="0.2">
      <c r="A142" s="7" t="str">
        <f t="shared" ca="1" si="8"/>
        <v>117</v>
      </c>
      <c r="B142" s="7" t="str">
        <f ca="1">OFFSET(ORÇAMENTO!C$15,$L142,0)</f>
        <v>S</v>
      </c>
      <c r="C142" s="7" t="str">
        <f ca="1">OFFSET(ORÇAMENTO!L$15,$L142,0)</f>
        <v>F</v>
      </c>
      <c r="D142" s="116" t="str">
        <f ca="1">OFFSET(ORÇAMENTO!N$15,$L142,0)</f>
        <v>Serviço</v>
      </c>
      <c r="E142" s="117" t="str">
        <f ca="1">OFFSET(ORÇAMENTO!O$15,$L142,0)</f>
        <v>1.8.2.0.2.</v>
      </c>
      <c r="F142" s="163" t="str">
        <f ca="1">OFFSET(ORÇAMENTO!R$15,$L142,0)</f>
        <v>TUBO PVC, SERIE NORMAL, ESGOTO PREDIAL, DN 50 MM, FORNECIDO E INSTALADO EM RAMAL DE DESCARGA OU RAMAL DE ESGOTO SANITÁRIO. AF_08/2022</v>
      </c>
      <c r="G142" s="164" t="str">
        <f ca="1">IF($D142&lt;&gt;"Serviço","",OFFSET(ORÇAMENTO!S$15,$L142,0))</f>
        <v>M</v>
      </c>
      <c r="H142" s="122" cm="1">
        <f t="array" aca="1" ref="H142" ca="1">IF($D142&lt;&gt;"Serviço",0,IF(ACOMPANHAMENTO="BM",ROUND(OFFSET(ORÇAMENTO!AJ$15,$L142,0),15-13*ORÇAMENTO!$AF$7),IF(IFERROR(CÁLCULO.FrentesPreenchidas,0)=0,0,SUM(ROUND(OFFSET($P142,0,1,1,CÁLCULO.FrentesPreenchidas),15-13*ORÇAMENTO!$AF$7)))))</f>
        <v>247.2</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2"/>
      <c r="L142" s="165">
        <f t="shared" ca="1" si="9"/>
        <v>127</v>
      </c>
      <c r="M142" s="166">
        <f ca="1">IF($D142&lt;&gt;"Serviço","",
          IF(AUTOEVENTO="manual",$A142,
                IF(ISERROR(MATCH($A142,$A$15:OFFSET($A142,-1,0),0)),MAX($M$15:OFFSET(M142,-1,0))+1,
                      INDEX($M$15:OFFSET(M142,-1,0),MATCH($A142,$A$15:OFFSET($A142,-1,0),0)))))</f>
        <v>8</v>
      </c>
      <c r="N142" s="167" t="str">
        <f ca="1">IF($D142&lt;&gt;"Serviço","",
         IF(AUTOEVENTO="Manual",
                IF($A142=0,"&lt;-- defina o número do agrupador",
                       OFFSET(EVENTOS!$D$15,$A142-$A$15,0)),
                OFFSET($F$15,$A142,0)))</f>
        <v>INSTALAÇÕES HIDROSSANITARIAS</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1000000000000</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38.25" x14ac:dyDescent="0.2">
      <c r="A143" s="7" t="str">
        <f t="shared" ca="1" si="8"/>
        <v>117</v>
      </c>
      <c r="B143" s="7" t="str">
        <f ca="1">OFFSET(ORÇAMENTO!C$15,$L143,0)</f>
        <v>S</v>
      </c>
      <c r="C143" s="7" t="str">
        <f ca="1">OFFSET(ORÇAMENTO!L$15,$L143,0)</f>
        <v>F</v>
      </c>
      <c r="D143" s="116" t="str">
        <f ca="1">OFFSET(ORÇAMENTO!N$15,$L143,0)</f>
        <v>Serviço</v>
      </c>
      <c r="E143" s="117" t="str">
        <f ca="1">OFFSET(ORÇAMENTO!O$15,$L143,0)</f>
        <v>1.8.2.0.3.</v>
      </c>
      <c r="F143" s="163" t="str">
        <f ca="1">OFFSET(ORÇAMENTO!R$15,$L143,0)</f>
        <v>TUBO PVC, SERIE NORMAL, ESGOTO PREDIAL, DN 75 MM, FORNECIDO E INSTALADO EM RAMAL DE DESCARGA OU RAMAL DE ESGOTO SANITÁRIO. AF_08/2022</v>
      </c>
      <c r="G143" s="164" t="str">
        <f ca="1">IF($D143&lt;&gt;"Serviço","",OFFSET(ORÇAMENTO!S$15,$L143,0))</f>
        <v>M</v>
      </c>
      <c r="H143" s="122" cm="1">
        <f t="array" aca="1" ref="H143" ca="1">IF($D143&lt;&gt;"Serviço",0,IF(ACOMPANHAMENTO="BM",ROUND(OFFSET(ORÇAMENTO!AJ$15,$L143,0),15-13*ORÇAMENTO!$AF$7),IF(IFERROR(CÁLCULO.FrentesPreenchidas,0)=0,0,SUM(ROUND(OFFSET($P143,0,1,1,CÁLCULO.FrentesPreenchidas),15-13*ORÇAMENTO!$AF$7)))))</f>
        <v>10.5</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2"/>
      <c r="L143" s="165">
        <f t="shared" ca="1" si="9"/>
        <v>128</v>
      </c>
      <c r="M143" s="166">
        <f ca="1">IF($D143&lt;&gt;"Serviço","",
          IF(AUTOEVENTO="manual",$A143,
                IF(ISERROR(MATCH($A143,$A$15:OFFSET($A143,-1,0),0)),MAX($M$15:OFFSET(M143,-1,0))+1,
                      INDEX($M$15:OFFSET(M143,-1,0),MATCH($A143,$A$15:OFFSET($A143,-1,0),0)))))</f>
        <v>8</v>
      </c>
      <c r="N143" s="167" t="str">
        <f ca="1">IF($D143&lt;&gt;"Serviço","",
         IF(AUTOEVENTO="Manual",
                IF($A143=0,"&lt;-- defina o número do agrupador",
                       OFFSET(EVENTOS!$D$15,$A143-$A$15,0)),
                OFFSET($F$15,$A143,0)))</f>
        <v>INSTALAÇÕES HIDROSSANITARIAS</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1000000000000</v>
      </c>
      <c r="AN143" s="171">
        <f ca="1">IF(OR($D143&lt;&gt;"Serviço",AND(AUTOEVENTO="Manual",$M143=$A$15)),0,
         IF(OFFSET(CRONOPLE!$F$15,$M143-$A$15,AN$13)=0,10^12,OFFSET(CRONOPLE!$F$15,$M143-$A$15,AN$13)))</f>
        <v>1000000000000</v>
      </c>
      <c r="AO143" s="171">
        <f ca="1">IF(OR($D143&lt;&gt;"Serviço",AND(AUTOEVENTO="Manual",$M143=$A$15)),0,
         IF(OFFSET(CRONOPLE!$F$15,$M143-$A$15,AO$13)=0,10^12,OFFSET(CRONOPLE!$F$15,$M143-$A$15,AO$13)))</f>
        <v>1000000000000</v>
      </c>
      <c r="AP143" s="171">
        <f ca="1">IF(OR($D143&lt;&gt;"Serviço",AND(AUTOEVENTO="Manual",$M143=$A$15)),0,
         IF(OFFSET(CRONOPLE!$F$15,$M143-$A$15,AP$13)=0,10^12,OFFSET(CRONOPLE!$F$15,$M143-$A$15,AP$13)))</f>
        <v>1000000000000</v>
      </c>
      <c r="AQ143" s="171">
        <f ca="1">IF(OR($D143&lt;&gt;"Serviço",AND(AUTOEVENTO="Manual",$M143=$A$15)),0,
         IF(OFFSET(CRONOPLE!$F$15,$M143-$A$15,AQ$13)=0,10^12,OFFSET(CRONOPLE!$F$15,$M143-$A$15,AQ$13)))</f>
        <v>1000000000000</v>
      </c>
      <c r="AR143" s="171">
        <f ca="1">IF(OR($D143&lt;&gt;"Serviço",AND(AUTOEVENTO="Manual",$M143=$A$15)),0,
         IF(OFFSET(CRONOPLE!$F$15,$M143-$A$15,AR$13)=0,10^12,OFFSET(CRONOPLE!$F$15,$M143-$A$15,AR$13)))</f>
        <v>1000000000000</v>
      </c>
      <c r="AS143" s="171">
        <f ca="1">IF(OR($D143&lt;&gt;"Serviço",AND(AUTOEVENTO="Manual",$M143=$A$15)),0,
         IF(OFFSET(CRONOPLE!$F$15,$M143-$A$15,AS$13)=0,10^12,OFFSET(CRONOPLE!$F$15,$M143-$A$15,AS$13)))</f>
        <v>1000000000000</v>
      </c>
      <c r="AT143" s="171">
        <f ca="1">IF(OR($D143&lt;&gt;"Serviço",AND(AUTOEVENTO="Manual",$M143=$A$15)),0,
         IF(OFFSET(CRONOPLE!$F$15,$M143-$A$15,AT$13)=0,10^12,OFFSET(CRONOPLE!$F$15,$M143-$A$15,AT$13)))</f>
        <v>1000000000000</v>
      </c>
      <c r="AU143" s="171">
        <f ca="1">IF(OR($D143&lt;&gt;"Serviço",AND(AUTOEVENTO="Manual",$M143=$A$15)),0,
         IF(OFFSET(CRONOPLE!$F$15,$M143-$A$15,AU$13)=0,10^12,OFFSET(CRONOPLE!$F$15,$M143-$A$15,AU$13)))</f>
        <v>1000000000000</v>
      </c>
      <c r="AV143" s="171">
        <f ca="1">IF(OR($D143&lt;&gt;"Serviço",AND(AUTOEVENTO="Manual",$M143=$A$15)),0,
         IF(OFFSET(CRONOPLE!$F$15,$M143-$A$15,AV$13)=0,10^12,OFFSET(CRONOPLE!$F$15,$M143-$A$15,AV$13)))</f>
        <v>1000000000000</v>
      </c>
      <c r="AX143" s="172" cm="1">
        <f t="array" aca="1" ref="AX143" ca="1">IF(OR($D143&lt;&gt;"Serviço",AND(AUTOEVENTO="Manual",$M143=$A$15),$M143&gt;(ROW(PLE.lastrow)-ROW(PLE.firstrow))),0,
           IF(OFFSET(PLE!$G$15,$M143-$A$15,AX$13)="",10^12,OFFSET(PLE!$G$15,$M143-$A$15,AX$13)))</f>
        <v>1000000000000</v>
      </c>
      <c r="AY143" s="172" cm="1">
        <f t="array" aca="1" ref="AY143" ca="1">IF(OR($D143&lt;&gt;"Serviço",AND(AUTOEVENTO="Manual",$M143=$A$15),$M143&gt;(ROW(PLE.lastrow)-ROW(PLE.firstrow))),0,
           IF(OFFSET(PLE!$G$15,$M143-$A$15,AY$13)="",10^12,OFFSET(PLE!$G$15,$M143-$A$15,AY$13)))</f>
        <v>1000000000000</v>
      </c>
      <c r="AZ143" s="172" cm="1">
        <f t="array" aca="1" ref="AZ143" ca="1">IF(OR($D143&lt;&gt;"Serviço",AND(AUTOEVENTO="Manual",$M143=$A$15),$M143&gt;(ROW(PLE.lastrow)-ROW(PLE.firstrow))),0,
           IF(OFFSET(PLE!$G$15,$M143-$A$15,AZ$13)="",10^12,OFFSET(PLE!$G$15,$M143-$A$15,AZ$13)))</f>
        <v>1000000000000</v>
      </c>
      <c r="BA143" s="172" cm="1">
        <f t="array" aca="1" ref="BA143" ca="1">IF(OR($D143&lt;&gt;"Serviço",AND(AUTOEVENTO="Manual",$M143=$A$15),$M143&gt;(ROW(PLE.lastrow)-ROW(PLE.firstrow))),0,
           IF(OFFSET(PLE!$G$15,$M143-$A$15,BA$13)="",10^12,OFFSET(PLE!$G$15,$M143-$A$15,BA$13)))</f>
        <v>1000000000000</v>
      </c>
      <c r="BB143" s="172" cm="1">
        <f t="array" aca="1" ref="BB143" ca="1">IF(OR($D143&lt;&gt;"Serviço",AND(AUTOEVENTO="Manual",$M143=$A$15),$M143&gt;(ROW(PLE.lastrow)-ROW(PLE.firstrow))),0,
           IF(OFFSET(PLE!$G$15,$M143-$A$15,BB$13)="",10^12,OFFSET(PLE!$G$15,$M143-$A$15,BB$13)))</f>
        <v>1000000000000</v>
      </c>
      <c r="BC143" s="172" cm="1">
        <f t="array" aca="1" ref="BC143" ca="1">IF(OR($D143&lt;&gt;"Serviço",AND(AUTOEVENTO="Manual",$M143=$A$15),$M143&gt;(ROW(PLE.lastrow)-ROW(PLE.firstrow))),0,
           IF(OFFSET(PLE!$G$15,$M143-$A$15,BC$13)="",10^12,OFFSET(PLE!$G$15,$M143-$A$15,BC$13)))</f>
        <v>1000000000000</v>
      </c>
      <c r="BD143" s="172" cm="1">
        <f t="array" aca="1" ref="BD143" ca="1">IF(OR($D143&lt;&gt;"Serviço",AND(AUTOEVENTO="Manual",$M143=$A$15),$M143&gt;(ROW(PLE.lastrow)-ROW(PLE.firstrow))),0,
           IF(OFFSET(PLE!$G$15,$M143-$A$15,BD$13)="",10^12,OFFSET(PLE!$G$15,$M143-$A$15,BD$13)))</f>
        <v>1000000000000</v>
      </c>
      <c r="BE143" s="172" cm="1">
        <f t="array" aca="1" ref="BE143" ca="1">IF(OR($D143&lt;&gt;"Serviço",AND(AUTOEVENTO="Manual",$M143=$A$15),$M143&gt;(ROW(PLE.lastrow)-ROW(PLE.firstrow))),0,
           IF(OFFSET(PLE!$G$15,$M143-$A$15,BE$13)="",10^12,OFFSET(PLE!$G$15,$M143-$A$15,BE$13)))</f>
        <v>1000000000000</v>
      </c>
      <c r="BF143" s="172" cm="1">
        <f t="array" aca="1" ref="BF143" ca="1">IF(OR($D143&lt;&gt;"Serviço",AND(AUTOEVENTO="Manual",$M143=$A$15),$M143&gt;(ROW(PLE.lastrow)-ROW(PLE.firstrow))),0,
           IF(OFFSET(PLE!$G$15,$M143-$A$15,BF$13)="",10^12,OFFSET(PLE!$G$15,$M143-$A$15,BF$13)))</f>
        <v>1000000000000</v>
      </c>
      <c r="BG143" s="172" cm="1">
        <f t="array" aca="1" ref="BG143" ca="1">IF(OR($D143&lt;&gt;"Serviço",AND(AUTOEVENTO="Manual",$M143=$A$15),$M143&gt;(ROW(PLE.lastrow)-ROW(PLE.firstrow))),0,
           IF(OFFSET(PLE!$G$15,$M143-$A$15,BG$13)="",10^12,OFFSET(PLE!$G$15,$M143-$A$15,BG$13)))</f>
        <v>1000000000000</v>
      </c>
    </row>
    <row r="144" spans="1:59" ht="38.25" x14ac:dyDescent="0.2">
      <c r="A144" s="7" t="str">
        <f t="shared" ca="1" si="8"/>
        <v>117</v>
      </c>
      <c r="B144" s="7" t="str">
        <f ca="1">OFFSET(ORÇAMENTO!C$15,$L144,0)</f>
        <v>S</v>
      </c>
      <c r="C144" s="7" t="str">
        <f ca="1">OFFSET(ORÇAMENTO!L$15,$L144,0)</f>
        <v>F</v>
      </c>
      <c r="D144" s="116" t="str">
        <f ca="1">OFFSET(ORÇAMENTO!N$15,$L144,0)</f>
        <v>Serviço</v>
      </c>
      <c r="E144" s="117" t="str">
        <f ca="1">OFFSET(ORÇAMENTO!O$15,$L144,0)</f>
        <v>1.8.2.0.4.</v>
      </c>
      <c r="F144" s="163" t="str">
        <f ca="1">OFFSET(ORÇAMENTO!R$15,$L144,0)</f>
        <v>TUBO PVC, SERIE NORMAL, ESGOTO PREDIAL, DN 100 MM, FORNECIDO E INSTALADO EM RAMAL DE DESCARGA OU RAMAL DE ESGOTO SANITÁRIO. AF_08/2022</v>
      </c>
      <c r="G144" s="164" t="str">
        <f ca="1">IF($D144&lt;&gt;"Serviço","",OFFSET(ORÇAMENTO!S$15,$L144,0))</f>
        <v>M</v>
      </c>
      <c r="H144" s="122" cm="1">
        <f t="array" aca="1" ref="H144" ca="1">IF($D144&lt;&gt;"Serviço",0,IF(ACOMPANHAMENTO="BM",ROUND(OFFSET(ORÇAMENTO!AJ$15,$L144,0),15-13*ORÇAMENTO!$AF$7),IF(IFERROR(CÁLCULO.FrentesPreenchidas,0)=0,0,SUM(ROUND(OFFSET($P144,0,1,1,CÁLCULO.FrentesPreenchidas),15-13*ORÇAMENTO!$AF$7)))))</f>
        <v>444</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2"/>
      <c r="L144" s="165">
        <f t="shared" ca="1" si="9"/>
        <v>129</v>
      </c>
      <c r="M144" s="166">
        <f ca="1">IF($D144&lt;&gt;"Serviço","",
          IF(AUTOEVENTO="manual",$A144,
                IF(ISERROR(MATCH($A144,$A$15:OFFSET($A144,-1,0),0)),MAX($M$15:OFFSET(M144,-1,0))+1,
                      INDEX($M$15:OFFSET(M144,-1,0),MATCH($A144,$A$15:OFFSET($A144,-1,0),0)))))</f>
        <v>8</v>
      </c>
      <c r="N144" s="167" t="str">
        <f ca="1">IF($D144&lt;&gt;"Serviço","",
         IF(AUTOEVENTO="Manual",
                IF($A144=0,"&lt;-- defina o número do agrupador",
                       OFFSET(EVENTOS!$D$15,$A144-$A$15,0)),
                OFFSET($F$15,$A144,0)))</f>
        <v>INSTALAÇÕES HIDROSSANITARIAS</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1000000000000</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38.25" x14ac:dyDescent="0.2">
      <c r="A145" s="7" t="str">
        <f t="shared" ca="1" si="8"/>
        <v>117</v>
      </c>
      <c r="B145" s="7" t="str">
        <f ca="1">OFFSET(ORÇAMENTO!C$15,$L145,0)</f>
        <v>S</v>
      </c>
      <c r="C145" s="7" t="str">
        <f ca="1">OFFSET(ORÇAMENTO!L$15,$L145,0)</f>
        <v>F</v>
      </c>
      <c r="D145" s="116" t="str">
        <f ca="1">OFFSET(ORÇAMENTO!N$15,$L145,0)</f>
        <v>Serviço</v>
      </c>
      <c r="E145" s="117" t="str">
        <f ca="1">OFFSET(ORÇAMENTO!O$15,$L145,0)</f>
        <v>1.8.2.0.5.</v>
      </c>
      <c r="F145" s="163" t="str">
        <f ca="1">OFFSET(ORÇAMENTO!R$15,$L145,0)</f>
        <v>JOELHO 90 GRAUS, PVC, SERIE NORMAL, ESGOTO PREDIAL, DN 100 MM, JUNTA ELÁSTICA, FORNECIDO E INSTALADO EM RAMAL DE DESCARGA OU RAMAL DE ESGOTO SANITÁRIO. AF_08/2022</v>
      </c>
      <c r="G145" s="164" t="str">
        <f ca="1">IF($D145&lt;&gt;"Serviço","",OFFSET(ORÇAMENTO!S$15,$L145,0))</f>
        <v>UN</v>
      </c>
      <c r="H145" s="122" cm="1">
        <f t="array" aca="1" ref="H145" ca="1">IF($D145&lt;&gt;"Serviço",0,IF(ACOMPANHAMENTO="BM",ROUND(OFFSET(ORÇAMENTO!AJ$15,$L145,0),15-13*ORÇAMENTO!$AF$7),IF(IFERROR(CÁLCULO.FrentesPreenchidas,0)=0,0,SUM(ROUND(OFFSET($P145,0,1,1,CÁLCULO.FrentesPreenchidas),15-13*ORÇAMENTO!$AF$7)))))</f>
        <v>30</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2"/>
      <c r="L145" s="165">
        <f t="shared" ca="1" si="9"/>
        <v>130</v>
      </c>
      <c r="M145" s="166">
        <f ca="1">IF($D145&lt;&gt;"Serviço","",
          IF(AUTOEVENTO="manual",$A145,
                IF(ISERROR(MATCH($A145,$A$15:OFFSET($A145,-1,0),0)),MAX($M$15:OFFSET(M145,-1,0))+1,
                      INDEX($M$15:OFFSET(M145,-1,0),MATCH($A145,$A$15:OFFSET($A145,-1,0),0)))))</f>
        <v>8</v>
      </c>
      <c r="N145" s="167" t="str">
        <f ca="1">IF($D145&lt;&gt;"Serviço","",
         IF(AUTOEVENTO="Manual",
                IF($A145=0,"&lt;-- defina o número do agrupador",
                       OFFSET(EVENTOS!$D$15,$A145-$A$15,0)),
                OFFSET($F$15,$A145,0)))</f>
        <v>INSTALAÇÕES HIDROSSANITARIAS</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1000000000000</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38.25" x14ac:dyDescent="0.2">
      <c r="A146" s="7" t="str">
        <f t="shared" ca="1" si="8"/>
        <v>117</v>
      </c>
      <c r="B146" s="7" t="str">
        <f ca="1">OFFSET(ORÇAMENTO!C$15,$L146,0)</f>
        <v>S</v>
      </c>
      <c r="C146" s="7" t="str">
        <f ca="1">OFFSET(ORÇAMENTO!L$15,$L146,0)</f>
        <v>F</v>
      </c>
      <c r="D146" s="116" t="str">
        <f ca="1">OFFSET(ORÇAMENTO!N$15,$L146,0)</f>
        <v>Serviço</v>
      </c>
      <c r="E146" s="117" t="str">
        <f ca="1">OFFSET(ORÇAMENTO!O$15,$L146,0)</f>
        <v>1.8.2.0.6.</v>
      </c>
      <c r="F146" s="163" t="str">
        <f ca="1">OFFSET(ORÇAMENTO!R$15,$L146,0)</f>
        <v>JOELHO 90 GRAUS, PVC, SERIE NORMAL, ESGOTO PREDIAL, DN 40 MM, JUNTA SOLDÁVEL, FORNECIDO E INSTALADO EM RAMAL DE DESCARGA OU RAMAL DE ESGOTO SANITÁRIO. AF_08/2022</v>
      </c>
      <c r="G146" s="164" t="str">
        <f ca="1">IF($D146&lt;&gt;"Serviço","",OFFSET(ORÇAMENTO!S$15,$L146,0))</f>
        <v>UN</v>
      </c>
      <c r="H146" s="122" cm="1">
        <f t="array" aca="1" ref="H146" ca="1">IF($D146&lt;&gt;"Serviço",0,IF(ACOMPANHAMENTO="BM",ROUND(OFFSET(ORÇAMENTO!AJ$15,$L146,0),15-13*ORÇAMENTO!$AF$7),IF(IFERROR(CÁLCULO.FrentesPreenchidas,0)=0,0,SUM(ROUND(OFFSET($P146,0,1,1,CÁLCULO.FrentesPreenchidas),15-13*ORÇAMENTO!$AF$7)))))</f>
        <v>60</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2"/>
      <c r="L146" s="165">
        <f t="shared" ca="1" si="9"/>
        <v>131</v>
      </c>
      <c r="M146" s="166">
        <f ca="1">IF($D146&lt;&gt;"Serviço","",
          IF(AUTOEVENTO="manual",$A146,
                IF(ISERROR(MATCH($A146,$A$15:OFFSET($A146,-1,0),0)),MAX($M$15:OFFSET(M146,-1,0))+1,
                      INDEX($M$15:OFFSET(M146,-1,0),MATCH($A146,$A$15:OFFSET($A146,-1,0),0)))))</f>
        <v>8</v>
      </c>
      <c r="N146" s="167" t="str">
        <f ca="1">IF($D146&lt;&gt;"Serviço","",
         IF(AUTOEVENTO="Manual",
                IF($A146=0,"&lt;-- defina o número do agrupador",
                       OFFSET(EVENTOS!$D$15,$A146-$A$15,0)),
                OFFSET($F$15,$A146,0)))</f>
        <v>INSTALAÇÕES HIDROSSANITARIAS</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1000000000000</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38.25" x14ac:dyDescent="0.2">
      <c r="A147" s="7" t="str">
        <f t="shared" ca="1" si="8"/>
        <v>117</v>
      </c>
      <c r="B147" s="7" t="str">
        <f ca="1">OFFSET(ORÇAMENTO!C$15,$L147,0)</f>
        <v>S</v>
      </c>
      <c r="C147" s="7" t="str">
        <f ca="1">OFFSET(ORÇAMENTO!L$15,$L147,0)</f>
        <v>F</v>
      </c>
      <c r="D147" s="116" t="str">
        <f ca="1">OFFSET(ORÇAMENTO!N$15,$L147,0)</f>
        <v>Serviço</v>
      </c>
      <c r="E147" s="117" t="str">
        <f ca="1">OFFSET(ORÇAMENTO!O$15,$L147,0)</f>
        <v>1.8.2.0.7.</v>
      </c>
      <c r="F147" s="163" t="str">
        <f ca="1">OFFSET(ORÇAMENTO!R$15,$L147,0)</f>
        <v>JOELHO 45 GRAUS, PVC, SERIE NORMAL, ESGOTO PREDIAL, DN 40 MM, JUNTA SOLDÁVEL, FORNECIDO E INSTALADO EM RAMAL DE DESCARGA OU RAMAL DE ESGOTO SANITÁRIO. AF_08/2022</v>
      </c>
      <c r="G147" s="164" t="str">
        <f ca="1">IF($D147&lt;&gt;"Serviço","",OFFSET(ORÇAMENTO!S$15,$L147,0))</f>
        <v>UN</v>
      </c>
      <c r="H147" s="122" cm="1">
        <f t="array" aca="1" ref="H147" ca="1">IF($D147&lt;&gt;"Serviço",0,IF(ACOMPANHAMENTO="BM",ROUND(OFFSET(ORÇAMENTO!AJ$15,$L147,0),15-13*ORÇAMENTO!$AF$7),IF(IFERROR(CÁLCULO.FrentesPreenchidas,0)=0,0,SUM(ROUND(OFFSET($P147,0,1,1,CÁLCULO.FrentesPreenchidas),15-13*ORÇAMENTO!$AF$7)))))</f>
        <v>30</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2"/>
      <c r="L147" s="165">
        <f t="shared" ca="1" si="9"/>
        <v>132</v>
      </c>
      <c r="M147" s="166">
        <f ca="1">IF($D147&lt;&gt;"Serviço","",
          IF(AUTOEVENTO="manual",$A147,
                IF(ISERROR(MATCH($A147,$A$15:OFFSET($A147,-1,0),0)),MAX($M$15:OFFSET(M147,-1,0))+1,
                      INDEX($M$15:OFFSET(M147,-1,0),MATCH($A147,$A$15:OFFSET($A147,-1,0),0)))))</f>
        <v>8</v>
      </c>
      <c r="N147" s="167" t="str">
        <f ca="1">IF($D147&lt;&gt;"Serviço","",
         IF(AUTOEVENTO="Manual",
                IF($A147=0,"&lt;-- defina o número do agrupador",
                       OFFSET(EVENTOS!$D$15,$A147-$A$15,0)),
                OFFSET($F$15,$A147,0)))</f>
        <v>INSTALAÇÕES HIDROSSANITARIAS</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1000000000000</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38.25" x14ac:dyDescent="0.2">
      <c r="A148" s="7" t="str">
        <f t="shared" ca="1" si="8"/>
        <v>117</v>
      </c>
      <c r="B148" s="7" t="str">
        <f ca="1">OFFSET(ORÇAMENTO!C$15,$L148,0)</f>
        <v>S</v>
      </c>
      <c r="C148" s="7" t="str">
        <f ca="1">OFFSET(ORÇAMENTO!L$15,$L148,0)</f>
        <v>F</v>
      </c>
      <c r="D148" s="116" t="str">
        <f ca="1">OFFSET(ORÇAMENTO!N$15,$L148,0)</f>
        <v>Serviço</v>
      </c>
      <c r="E148" s="117" t="str">
        <f ca="1">OFFSET(ORÇAMENTO!O$15,$L148,0)</f>
        <v>1.8.2.0.8.</v>
      </c>
      <c r="F148" s="163" t="str">
        <f ca="1">OFFSET(ORÇAMENTO!R$15,$L148,0)</f>
        <v>JOELHO 90 GRAUS, PVC, SERIE NORMAL, ESGOTO PREDIAL, DN 50 MM, JUNTA ELÁSTICA, FORNECIDO E INSTALADO EM RAMAL DE DESCARGA OU RAMAL DE ESGOTO SANITÁRIO. AF_08/2022</v>
      </c>
      <c r="G148" s="164" t="str">
        <f ca="1">IF($D148&lt;&gt;"Serviço","",OFFSET(ORÇAMENTO!S$15,$L148,0))</f>
        <v>UN</v>
      </c>
      <c r="H148" s="122" cm="1">
        <f t="array" aca="1" ref="H148" ca="1">IF($D148&lt;&gt;"Serviço",0,IF(ACOMPANHAMENTO="BM",ROUND(OFFSET(ORÇAMENTO!AJ$15,$L148,0),15-13*ORÇAMENTO!$AF$7),IF(IFERROR(CÁLCULO.FrentesPreenchidas,0)=0,0,SUM(ROUND(OFFSET($P148,0,1,1,CÁLCULO.FrentesPreenchidas),15-13*ORÇAMENTO!$AF$7)))))</f>
        <v>180</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2"/>
      <c r="L148" s="165">
        <f t="shared" ca="1" si="9"/>
        <v>133</v>
      </c>
      <c r="M148" s="166">
        <f ca="1">IF($D148&lt;&gt;"Serviço","",
          IF(AUTOEVENTO="manual",$A148,
                IF(ISERROR(MATCH($A148,$A$15:OFFSET($A148,-1,0),0)),MAX($M$15:OFFSET(M148,-1,0))+1,
                      INDEX($M$15:OFFSET(M148,-1,0),MATCH($A148,$A$15:OFFSET($A148,-1,0),0)))))</f>
        <v>8</v>
      </c>
      <c r="N148" s="167" t="str">
        <f ca="1">IF($D148&lt;&gt;"Serviço","",
         IF(AUTOEVENTO="Manual",
                IF($A148=0,"&lt;-- defina o número do agrupador",
                       OFFSET(EVENTOS!$D$15,$A148-$A$15,0)),
                OFFSET($F$15,$A148,0)))</f>
        <v>INSTALAÇÕES HIDROSSANITARIAS</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1000000000000</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38.25" x14ac:dyDescent="0.2">
      <c r="A149" s="7" t="str">
        <f t="shared" ca="1" si="8"/>
        <v>117</v>
      </c>
      <c r="B149" s="7" t="str">
        <f ca="1">OFFSET(ORÇAMENTO!C$15,$L149,0)</f>
        <v>S</v>
      </c>
      <c r="C149" s="7" t="str">
        <f ca="1">OFFSET(ORÇAMENTO!L$15,$L149,0)</f>
        <v>F</v>
      </c>
      <c r="D149" s="116" t="str">
        <f ca="1">OFFSET(ORÇAMENTO!N$15,$L149,0)</f>
        <v>Serviço</v>
      </c>
      <c r="E149" s="117" t="str">
        <f ca="1">OFFSET(ORÇAMENTO!O$15,$L149,0)</f>
        <v>1.8.2.0.9.</v>
      </c>
      <c r="F149" s="163" t="str">
        <f ca="1">OFFSET(ORÇAMENTO!R$15,$L149,0)</f>
        <v>JOELHO 45 GRAUS, PVC, SERIE NORMAL, ESGOTO PREDIAL, DN 50 MM, JUNTA ELÁSTICA, FORNECIDO E INSTALADO EM RAMAL DE DESCARGA OU RAMAL DE ESGOTO SANITÁRIO. AF_08/2022</v>
      </c>
      <c r="G149" s="164" t="str">
        <f ca="1">IF($D149&lt;&gt;"Serviço","",OFFSET(ORÇAMENTO!S$15,$L149,0))</f>
        <v>UN</v>
      </c>
      <c r="H149" s="122" cm="1">
        <f t="array" aca="1" ref="H149" ca="1">IF($D149&lt;&gt;"Serviço",0,IF(ACOMPANHAMENTO="BM",ROUND(OFFSET(ORÇAMENTO!AJ$15,$L149,0),15-13*ORÇAMENTO!$AF$7),IF(IFERROR(CÁLCULO.FrentesPreenchidas,0)=0,0,SUM(ROUND(OFFSET($P149,0,1,1,CÁLCULO.FrentesPreenchidas),15-13*ORÇAMENTO!$AF$7)))))</f>
        <v>30</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2"/>
      <c r="L149" s="165">
        <f t="shared" ca="1" si="9"/>
        <v>134</v>
      </c>
      <c r="M149" s="166">
        <f ca="1">IF($D149&lt;&gt;"Serviço","",
          IF(AUTOEVENTO="manual",$A149,
                IF(ISERROR(MATCH($A149,$A$15:OFFSET($A149,-1,0),0)),MAX($M$15:OFFSET(M149,-1,0))+1,
                      INDEX($M$15:OFFSET(M149,-1,0),MATCH($A149,$A$15:OFFSET($A149,-1,0),0)))))</f>
        <v>8</v>
      </c>
      <c r="N149" s="167" t="str">
        <f ca="1">IF($D149&lt;&gt;"Serviço","",
         IF(AUTOEVENTO="Manual",
                IF($A149=0,"&lt;-- defina o número do agrupador",
                       OFFSET(EVENTOS!$D$15,$A149-$A$15,0)),
                OFFSET($F$15,$A149,0)))</f>
        <v>INSTALAÇÕES HIDROSSANITARIAS</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1000000000000</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38.25" x14ac:dyDescent="0.2">
      <c r="A150" s="7" t="str">
        <f t="shared" ca="1" si="8"/>
        <v>117</v>
      </c>
      <c r="B150" s="7" t="str">
        <f ca="1">OFFSET(ORÇAMENTO!C$15,$L150,0)</f>
        <v>S</v>
      </c>
      <c r="C150" s="7" t="str">
        <f ca="1">OFFSET(ORÇAMENTO!L$15,$L150,0)</f>
        <v>F</v>
      </c>
      <c r="D150" s="116" t="str">
        <f ca="1">OFFSET(ORÇAMENTO!N$15,$L150,0)</f>
        <v>Serviço</v>
      </c>
      <c r="E150" s="117" t="str">
        <f ca="1">OFFSET(ORÇAMENTO!O$15,$L150,0)</f>
        <v>1.8.2.0.10.</v>
      </c>
      <c r="F150" s="163" t="str">
        <f ca="1">OFFSET(ORÇAMENTO!R$15,$L150,0)</f>
        <v>JUNÇÃO SIMPLES, PVC, SERIE NORMAL, ESGOTO PREDIAL, DN 50 X 50 MM, JUNTA ELÁSTICA, FORNECIDO E INSTALADO EM RAMAL DE DESCARGA OU RAMAL DE ESGOTO SANITÁRIO. AF_08/2022</v>
      </c>
      <c r="G150" s="164" t="str">
        <f ca="1">IF($D150&lt;&gt;"Serviço","",OFFSET(ORÇAMENTO!S$15,$L150,0))</f>
        <v>UN</v>
      </c>
      <c r="H150" s="122" cm="1">
        <f t="array" aca="1" ref="H150" ca="1">IF($D150&lt;&gt;"Serviço",0,IF(ACOMPANHAMENTO="BM",ROUND(OFFSET(ORÇAMENTO!AJ$15,$L150,0),15-13*ORÇAMENTO!$AF$7),IF(IFERROR(CÁLCULO.FrentesPreenchidas,0)=0,0,SUM(ROUND(OFFSET($P150,0,1,1,CÁLCULO.FrentesPreenchidas),15-13*ORÇAMENTO!$AF$7)))))</f>
        <v>30</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2"/>
      <c r="L150" s="165">
        <f t="shared" ca="1" si="9"/>
        <v>135</v>
      </c>
      <c r="M150" s="166">
        <f ca="1">IF($D150&lt;&gt;"Serviço","",
          IF(AUTOEVENTO="manual",$A150,
                IF(ISERROR(MATCH($A150,$A$15:OFFSET($A150,-1,0),0)),MAX($M$15:OFFSET(M150,-1,0))+1,
                      INDEX($M$15:OFFSET(M150,-1,0),MATCH($A150,$A$15:OFFSET($A150,-1,0),0)))))</f>
        <v>8</v>
      </c>
      <c r="N150" s="167" t="str">
        <f ca="1">IF($D150&lt;&gt;"Serviço","",
         IF(AUTOEVENTO="Manual",
                IF($A150=0,"&lt;-- defina o número do agrupador",
                       OFFSET(EVENTOS!$D$15,$A150-$A$15,0)),
                OFFSET($F$15,$A150,0)))</f>
        <v>INSTALAÇÕES HIDROSSANITARIAS</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1000000000000</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51" x14ac:dyDescent="0.2">
      <c r="A151" s="7" t="str">
        <f t="shared" ca="1" si="8"/>
        <v>117</v>
      </c>
      <c r="B151" s="7" t="str">
        <f ca="1">OFFSET(ORÇAMENTO!C$15,$L151,0)</f>
        <v>S</v>
      </c>
      <c r="C151" s="7" t="str">
        <f ca="1">OFFSET(ORÇAMENTO!L$15,$L151,0)</f>
        <v>F</v>
      </c>
      <c r="D151" s="116" t="str">
        <f ca="1">OFFSET(ORÇAMENTO!N$15,$L151,0)</f>
        <v>Serviço</v>
      </c>
      <c r="E151" s="117" t="str">
        <f ca="1">OFFSET(ORÇAMENTO!O$15,$L151,0)</f>
        <v>1.8.2.0.11.</v>
      </c>
      <c r="F151" s="163" t="str">
        <f ca="1">OFFSET(ORÇAMENTO!R$15,$L151,0)</f>
        <v>JUNÇÃO DE REDUÇÃO INVERTIDA, PVC, SÉRIE NORMAL, ESGOTO PREDIAL, DN 100 X 50 MM, JUNTA ELÁSTICA, FORNECIDO E INSTALADO EM RAMAL DE DESCARGA OU RAMAL DE ESGOTO SANITÁRIO. AF_08/2022</v>
      </c>
      <c r="G151" s="164" t="str">
        <f ca="1">IF($D151&lt;&gt;"Serviço","",OFFSET(ORÇAMENTO!S$15,$L151,0))</f>
        <v>UN</v>
      </c>
      <c r="H151" s="122" cm="1">
        <f t="array" aca="1" ref="H151" ca="1">IF($D151&lt;&gt;"Serviço",0,IF(ACOMPANHAMENTO="BM",ROUND(OFFSET(ORÇAMENTO!AJ$15,$L151,0),15-13*ORÇAMENTO!$AF$7),IF(IFERROR(CÁLCULO.FrentesPreenchidas,0)=0,0,SUM(ROUND(OFFSET($P151,0,1,1,CÁLCULO.FrentesPreenchidas),15-13*ORÇAMENTO!$AF$7)))))</f>
        <v>30</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2"/>
      <c r="L151" s="165">
        <f t="shared" ca="1" si="9"/>
        <v>136</v>
      </c>
      <c r="M151" s="166">
        <f ca="1">IF($D151&lt;&gt;"Serviço","",
          IF(AUTOEVENTO="manual",$A151,
                IF(ISERROR(MATCH($A151,$A$15:OFFSET($A151,-1,0),0)),MAX($M$15:OFFSET(M151,-1,0))+1,
                      INDEX($M$15:OFFSET(M151,-1,0),MATCH($A151,$A$15:OFFSET($A151,-1,0),0)))))</f>
        <v>8</v>
      </c>
      <c r="N151" s="167" t="str">
        <f ca="1">IF($D151&lt;&gt;"Serviço","",
         IF(AUTOEVENTO="Manual",
                IF($A151=0,"&lt;-- defina o número do agrupador",
                       OFFSET(EVENTOS!$D$15,$A151-$A$15,0)),
                OFFSET($F$15,$A151,0)))</f>
        <v>INSTALAÇÕES HIDROSSANITARIAS</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1000000000000</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38.25" x14ac:dyDescent="0.2">
      <c r="A152" s="7" t="str">
        <f ca="1">IFERROR(IF(AUTOEVENTO="Manual",IF(K152&lt;&gt;"",MIN(VALUE(LEFT(K152,FIND(".",K152)-1)),COUNTA(EVENTOS.Lista)),0),IF(OR($B152&gt;AUTOEVENTO,$B152="S",$B152=0),SUBSTITUTE(OFFSET($A152,-1,0),IF($D152="Serviço",".",""),""),$L152&amp;".")),0)</f>
        <v>117</v>
      </c>
      <c r="B152" s="7" t="str">
        <f ca="1">OFFSET(ORÇAMENTO!C$15,$L152,0)</f>
        <v>S</v>
      </c>
      <c r="C152" s="7" t="str">
        <f ca="1">OFFSET(ORÇAMENTO!L$15,$L152,0)</f>
        <v>F</v>
      </c>
      <c r="D152" s="116" t="str">
        <f ca="1">OFFSET(ORÇAMENTO!N$15,$L152,0)</f>
        <v>Serviço</v>
      </c>
      <c r="E152" s="117" t="str">
        <f ca="1">OFFSET(ORÇAMENTO!O$15,$L152,0)</f>
        <v>1.8.2.0.12.</v>
      </c>
      <c r="F152" s="163" t="str">
        <f ca="1">OFFSET(ORÇAMENTO!R$15,$L152,0)</f>
        <v>TE, PVC, SERIE NORMAL, ESGOTO PREDIAL, DN 50 X 50 MM, JUNTA ELÁSTICA, FORNECIDO E INSTALADO EM RAMAL DE DESCARGA OU RAMAL DE ESGOTO SANITÁRIO. AF_08/2022</v>
      </c>
      <c r="G152" s="164" t="str">
        <f ca="1">IF($D152&lt;&gt;"Serviço","",OFFSET(ORÇAMENTO!S$15,$L152,0))</f>
        <v>UN</v>
      </c>
      <c r="H152" s="122" cm="1">
        <f t="array" aca="1" ref="H152" ca="1">IF($D152&lt;&gt;"Serviço",0,IF(ACOMPANHAMENTO="BM",ROUND(OFFSET(ORÇAMENTO!AJ$15,$L152,0),15-13*ORÇAMENTO!$AF$7),IF(IFERROR(CÁLCULO.FrentesPreenchidas,0)=0,0,SUM(ROUND(OFFSET($P152,0,1,1,CÁLCULO.FrentesPreenchidas),15-13*ORÇAMENTO!$AF$7)))))</f>
        <v>30</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2"/>
      <c r="L152" s="165">
        <f ca="1">OFFSET(L152,-1,0)+1</f>
        <v>137</v>
      </c>
      <c r="M152" s="166">
        <f ca="1">IF($D152&lt;&gt;"Serviço","",
          IF(AUTOEVENTO="manual",$A152,
                IF(ISERROR(MATCH($A152,$A$15:OFFSET($A152,-1,0),0)),MAX($M$15:OFFSET(M152,-1,0))+1,
                      INDEX($M$15:OFFSET(M152,-1,0),MATCH($A152,$A$15:OFFSET($A152,-1,0),0)))))</f>
        <v>8</v>
      </c>
      <c r="N152" s="167" t="str">
        <f ca="1">IF($D152&lt;&gt;"Serviço","",
         IF(AUTOEVENTO="Manual",
                IF($A152=0,"&lt;-- defina o número do agrupador",
                       OFFSET(EVENTOS!$D$15,$A152-$A$15,0)),
                OFFSET($F$15,$A152,0)))</f>
        <v>INSTALAÇÕES HIDROSSANITARIAS</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1000000000000</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12.75" x14ac:dyDescent="0.2">
      <c r="A153" s="7" t="str">
        <f t="shared" ca="1" si="8"/>
        <v>117</v>
      </c>
      <c r="B153" s="7">
        <f ca="1">OFFSET(ORÇAMENTO!C$15,$L153,0)</f>
        <v>3</v>
      </c>
      <c r="C153" s="7" t="str">
        <f ca="1">OFFSET(ORÇAMENTO!L$15,$L153,0)</f>
        <v>F</v>
      </c>
      <c r="D153" s="116" t="str">
        <f ca="1">OFFSET(ORÇAMENTO!N$15,$L153,0)</f>
        <v>Nível 3</v>
      </c>
      <c r="E153" s="117" t="str">
        <f ca="1">OFFSET(ORÇAMENTO!O$15,$L153,0)</f>
        <v>1.8.3.</v>
      </c>
      <c r="F153" s="163" t="str">
        <f ca="1">OFFSET(ORÇAMENTO!R$15,$L153,0)</f>
        <v>ESGOTO - RALOS E CAIXAS</v>
      </c>
      <c r="G153" s="164" t="str">
        <f ca="1">IF($D153&lt;&gt;"Serviço","",OFFSET(ORÇAMENTO!S$15,$L153,0))</f>
        <v/>
      </c>
      <c r="H153" s="122" cm="1">
        <f t="array" aca="1" ref="H153" ca="1">IF($D153&lt;&gt;"Serviço",0,IF(ACOMPANHAMENTO="BM",ROUND(OFFSET(ORÇAMENTO!AJ$15,$L153,0),15-13*ORÇAMENTO!$AF$7),IF(IFERROR(CÁLCULO.FrentesPreenchidas,0)=0,0,SUM(ROUND(OFFSET($P153,0,1,1,CÁLCULO.FrentesPreenchidas),15-13*ORÇAMENTO!$AF$7)))))</f>
        <v>0</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2"/>
      <c r="L153" s="165">
        <f t="shared" ca="1" si="9"/>
        <v>138</v>
      </c>
      <c r="M153" s="166" t="str">
        <f ca="1">IF($D153&lt;&gt;"Serviço","",
          IF(AUTOEVENTO="manual",$A153,
                IF(ISERROR(MATCH($A153,$A$15:OFFSET($A153,-1,0),0)),MAX($M$15:OFFSET(M153,-1,0))+1,
                      INDEX($M$15:OFFSET(M153,-1,0),MATCH($A153,$A$15:OFFSET($A153,-1,0),0)))))</f>
        <v/>
      </c>
      <c r="N153" s="167" t="str">
        <f ca="1">IF($D153&lt;&gt;"Serviço","",
         IF(AUTOEVENTO="Manual",
                IF($A153=0,"&lt;-- defina o número do agrupador",
                       OFFSET(EVENTOS!$D$15,$A153-$A$15,0)),
                OFFSET($F$15,$A153,0)))</f>
        <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0</v>
      </c>
      <c r="AN153" s="171">
        <f ca="1">IF(OR($D153&lt;&gt;"Serviço",AND(AUTOEVENTO="Manual",$M153=$A$15)),0,
         IF(OFFSET(CRONOPLE!$F$15,$M153-$A$15,AN$13)=0,10^12,OFFSET(CRONOPLE!$F$15,$M153-$A$15,AN$13)))</f>
        <v>0</v>
      </c>
      <c r="AO153" s="171">
        <f ca="1">IF(OR($D153&lt;&gt;"Serviço",AND(AUTOEVENTO="Manual",$M153=$A$15)),0,
         IF(OFFSET(CRONOPLE!$F$15,$M153-$A$15,AO$13)=0,10^12,OFFSET(CRONOPLE!$F$15,$M153-$A$15,AO$13)))</f>
        <v>0</v>
      </c>
      <c r="AP153" s="171">
        <f ca="1">IF(OR($D153&lt;&gt;"Serviço",AND(AUTOEVENTO="Manual",$M153=$A$15)),0,
         IF(OFFSET(CRONOPLE!$F$15,$M153-$A$15,AP$13)=0,10^12,OFFSET(CRONOPLE!$F$15,$M153-$A$15,AP$13)))</f>
        <v>0</v>
      </c>
      <c r="AQ153" s="171">
        <f ca="1">IF(OR($D153&lt;&gt;"Serviço",AND(AUTOEVENTO="Manual",$M153=$A$15)),0,
         IF(OFFSET(CRONOPLE!$F$15,$M153-$A$15,AQ$13)=0,10^12,OFFSET(CRONOPLE!$F$15,$M153-$A$15,AQ$13)))</f>
        <v>0</v>
      </c>
      <c r="AR153" s="171">
        <f ca="1">IF(OR($D153&lt;&gt;"Serviço",AND(AUTOEVENTO="Manual",$M153=$A$15)),0,
         IF(OFFSET(CRONOPLE!$F$15,$M153-$A$15,AR$13)=0,10^12,OFFSET(CRONOPLE!$F$15,$M153-$A$15,AR$13)))</f>
        <v>0</v>
      </c>
      <c r="AS153" s="171">
        <f ca="1">IF(OR($D153&lt;&gt;"Serviço",AND(AUTOEVENTO="Manual",$M153=$A$15)),0,
         IF(OFFSET(CRONOPLE!$F$15,$M153-$A$15,AS$13)=0,10^12,OFFSET(CRONOPLE!$F$15,$M153-$A$15,AS$13)))</f>
        <v>0</v>
      </c>
      <c r="AT153" s="171">
        <f ca="1">IF(OR($D153&lt;&gt;"Serviço",AND(AUTOEVENTO="Manual",$M153=$A$15)),0,
         IF(OFFSET(CRONOPLE!$F$15,$M153-$A$15,AT$13)=0,10^12,OFFSET(CRONOPLE!$F$15,$M153-$A$15,AT$13)))</f>
        <v>0</v>
      </c>
      <c r="AU153" s="171">
        <f ca="1">IF(OR($D153&lt;&gt;"Serviço",AND(AUTOEVENTO="Manual",$M153=$A$15)),0,
         IF(OFFSET(CRONOPLE!$F$15,$M153-$A$15,AU$13)=0,10^12,OFFSET(CRONOPLE!$F$15,$M153-$A$15,AU$13)))</f>
        <v>0</v>
      </c>
      <c r="AV153" s="171">
        <f ca="1">IF(OR($D153&lt;&gt;"Serviço",AND(AUTOEVENTO="Manual",$M153=$A$15)),0,
         IF(OFFSET(CRONOPLE!$F$15,$M153-$A$15,AV$13)=0,10^12,OFFSET(CRONOPLE!$F$15,$M153-$A$15,AV$13)))</f>
        <v>0</v>
      </c>
      <c r="AX153" s="172" cm="1">
        <f t="array" aca="1" ref="AX153" ca="1">IF(OR($D153&lt;&gt;"Serviço",AND(AUTOEVENTO="Manual",$M153=$A$15),$M153&gt;(ROW(PLE.lastrow)-ROW(PLE.firstrow))),0,
           IF(OFFSET(PLE!$G$15,$M153-$A$15,AX$13)="",10^12,OFFSET(PLE!$G$15,$M153-$A$15,AX$13)))</f>
        <v>0</v>
      </c>
      <c r="AY153" s="172" cm="1">
        <f t="array" aca="1" ref="AY153" ca="1">IF(OR($D153&lt;&gt;"Serviço",AND(AUTOEVENTO="Manual",$M153=$A$15),$M153&gt;(ROW(PLE.lastrow)-ROW(PLE.firstrow))),0,
           IF(OFFSET(PLE!$G$15,$M153-$A$15,AY$13)="",10^12,OFFSET(PLE!$G$15,$M153-$A$15,AY$13)))</f>
        <v>0</v>
      </c>
      <c r="AZ153" s="172" cm="1">
        <f t="array" aca="1" ref="AZ153" ca="1">IF(OR($D153&lt;&gt;"Serviço",AND(AUTOEVENTO="Manual",$M153=$A$15),$M153&gt;(ROW(PLE.lastrow)-ROW(PLE.firstrow))),0,
           IF(OFFSET(PLE!$G$15,$M153-$A$15,AZ$13)="",10^12,OFFSET(PLE!$G$15,$M153-$A$15,AZ$13)))</f>
        <v>0</v>
      </c>
      <c r="BA153" s="172" cm="1">
        <f t="array" aca="1" ref="BA153" ca="1">IF(OR($D153&lt;&gt;"Serviço",AND(AUTOEVENTO="Manual",$M153=$A$15),$M153&gt;(ROW(PLE.lastrow)-ROW(PLE.firstrow))),0,
           IF(OFFSET(PLE!$G$15,$M153-$A$15,BA$13)="",10^12,OFFSET(PLE!$G$15,$M153-$A$15,BA$13)))</f>
        <v>0</v>
      </c>
      <c r="BB153" s="172" cm="1">
        <f t="array" aca="1" ref="BB153" ca="1">IF(OR($D153&lt;&gt;"Serviço",AND(AUTOEVENTO="Manual",$M153=$A$15),$M153&gt;(ROW(PLE.lastrow)-ROW(PLE.firstrow))),0,
           IF(OFFSET(PLE!$G$15,$M153-$A$15,BB$13)="",10^12,OFFSET(PLE!$G$15,$M153-$A$15,BB$13)))</f>
        <v>0</v>
      </c>
      <c r="BC153" s="172" cm="1">
        <f t="array" aca="1" ref="BC153" ca="1">IF(OR($D153&lt;&gt;"Serviço",AND(AUTOEVENTO="Manual",$M153=$A$15),$M153&gt;(ROW(PLE.lastrow)-ROW(PLE.firstrow))),0,
           IF(OFFSET(PLE!$G$15,$M153-$A$15,BC$13)="",10^12,OFFSET(PLE!$G$15,$M153-$A$15,BC$13)))</f>
        <v>0</v>
      </c>
      <c r="BD153" s="172" cm="1">
        <f t="array" aca="1" ref="BD153" ca="1">IF(OR($D153&lt;&gt;"Serviço",AND(AUTOEVENTO="Manual",$M153=$A$15),$M153&gt;(ROW(PLE.lastrow)-ROW(PLE.firstrow))),0,
           IF(OFFSET(PLE!$G$15,$M153-$A$15,BD$13)="",10^12,OFFSET(PLE!$G$15,$M153-$A$15,BD$13)))</f>
        <v>0</v>
      </c>
      <c r="BE153" s="172" cm="1">
        <f t="array" aca="1" ref="BE153" ca="1">IF(OR($D153&lt;&gt;"Serviço",AND(AUTOEVENTO="Manual",$M153=$A$15),$M153&gt;(ROW(PLE.lastrow)-ROW(PLE.firstrow))),0,
           IF(OFFSET(PLE!$G$15,$M153-$A$15,BE$13)="",10^12,OFFSET(PLE!$G$15,$M153-$A$15,BE$13)))</f>
        <v>0</v>
      </c>
      <c r="BF153" s="172" cm="1">
        <f t="array" aca="1" ref="BF153" ca="1">IF(OR($D153&lt;&gt;"Serviço",AND(AUTOEVENTO="Manual",$M153=$A$15),$M153&gt;(ROW(PLE.lastrow)-ROW(PLE.firstrow))),0,
           IF(OFFSET(PLE!$G$15,$M153-$A$15,BF$13)="",10^12,OFFSET(PLE!$G$15,$M153-$A$15,BF$13)))</f>
        <v>0</v>
      </c>
      <c r="BG153" s="172" cm="1">
        <f t="array" aca="1" ref="BG153" ca="1">IF(OR($D153&lt;&gt;"Serviço",AND(AUTOEVENTO="Manual",$M153=$A$15),$M153&gt;(ROW(PLE.lastrow)-ROW(PLE.firstrow))),0,
           IF(OFFSET(PLE!$G$15,$M153-$A$15,BG$13)="",10^12,OFFSET(PLE!$G$15,$M153-$A$15,BG$13)))</f>
        <v>0</v>
      </c>
    </row>
    <row r="154" spans="1:59" ht="38.25" x14ac:dyDescent="0.2">
      <c r="A154" s="7" t="str">
        <f t="shared" ca="1" si="8"/>
        <v>117</v>
      </c>
      <c r="B154" s="7" t="str">
        <f ca="1">OFFSET(ORÇAMENTO!C$15,$L154,0)</f>
        <v>S</v>
      </c>
      <c r="C154" s="7" t="str">
        <f ca="1">OFFSET(ORÇAMENTO!L$15,$L154,0)</f>
        <v>F</v>
      </c>
      <c r="D154" s="116" t="str">
        <f ca="1">OFFSET(ORÇAMENTO!N$15,$L154,0)</f>
        <v>Serviço</v>
      </c>
      <c r="E154" s="117" t="str">
        <f ca="1">OFFSET(ORÇAMENTO!O$15,$L154,0)</f>
        <v>1.8.3.0.1.</v>
      </c>
      <c r="F154" s="163" t="str">
        <f ca="1">OFFSET(ORÇAMENTO!R$15,$L154,0)</f>
        <v>CAIXA SIFONADA, COM GRELHA QUADRADA, PVC, DN 150 X 150 X 50 MM, JUNTA SOLDÁVEL, FORNECIDA E INSTALADA EM RAMAL DE DESCARGA OU EM RAMAL DE ESGOTO SANITÁRIO. AF_08/2022</v>
      </c>
      <c r="G154" s="164" t="str">
        <f ca="1">IF($D154&lt;&gt;"Serviço","",OFFSET(ORÇAMENTO!S$15,$L154,0))</f>
        <v>UN</v>
      </c>
      <c r="H154" s="122" cm="1">
        <f t="array" aca="1" ref="H154" ca="1">IF($D154&lt;&gt;"Serviço",0,IF(ACOMPANHAMENTO="BM",ROUND(OFFSET(ORÇAMENTO!AJ$15,$L154,0),15-13*ORÇAMENTO!$AF$7),IF(IFERROR(CÁLCULO.FrentesPreenchidas,0)=0,0,SUM(ROUND(OFFSET($P154,0,1,1,CÁLCULO.FrentesPreenchidas),15-13*ORÇAMENTO!$AF$7)))))</f>
        <v>30</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2"/>
      <c r="L154" s="165">
        <f t="shared" ca="1" si="9"/>
        <v>139</v>
      </c>
      <c r="M154" s="166">
        <f ca="1">IF($D154&lt;&gt;"Serviço","",
          IF(AUTOEVENTO="manual",$A154,
                IF(ISERROR(MATCH($A154,$A$15:OFFSET($A154,-1,0),0)),MAX($M$15:OFFSET(M154,-1,0))+1,
                      INDEX($M$15:OFFSET(M154,-1,0),MATCH($A154,$A$15:OFFSET($A154,-1,0),0)))))</f>
        <v>8</v>
      </c>
      <c r="N154" s="167" t="str">
        <f ca="1">IF($D154&lt;&gt;"Serviço","",
         IF(AUTOEVENTO="Manual",
                IF($A154=0,"&lt;-- defina o número do agrupador",
                       OFFSET(EVENTOS!$D$15,$A154-$A$15,0)),
                OFFSET($F$15,$A154,0)))</f>
        <v>INSTALAÇÕES HIDROSSANITARIAS</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1000000000000</v>
      </c>
      <c r="AN154" s="171">
        <f ca="1">IF(OR($D154&lt;&gt;"Serviço",AND(AUTOEVENTO="Manual",$M154=$A$15)),0,
         IF(OFFSET(CRONOPLE!$F$15,$M154-$A$15,AN$13)=0,10^12,OFFSET(CRONOPLE!$F$15,$M154-$A$15,AN$13)))</f>
        <v>1000000000000</v>
      </c>
      <c r="AO154" s="171">
        <f ca="1">IF(OR($D154&lt;&gt;"Serviço",AND(AUTOEVENTO="Manual",$M154=$A$15)),0,
         IF(OFFSET(CRONOPLE!$F$15,$M154-$A$15,AO$13)=0,10^12,OFFSET(CRONOPLE!$F$15,$M154-$A$15,AO$13)))</f>
        <v>1000000000000</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ht="38.25" x14ac:dyDescent="0.2">
      <c r="A155" s="7" t="str">
        <f t="shared" ca="1" si="8"/>
        <v>117</v>
      </c>
      <c r="B155" s="7" t="str">
        <f ca="1">OFFSET(ORÇAMENTO!C$15,$L155,0)</f>
        <v>S</v>
      </c>
      <c r="C155" s="7" t="str">
        <f ca="1">OFFSET(ORÇAMENTO!L$15,$L155,0)</f>
        <v>F</v>
      </c>
      <c r="D155" s="116" t="str">
        <f ca="1">OFFSET(ORÇAMENTO!N$15,$L155,0)</f>
        <v>Serviço</v>
      </c>
      <c r="E155" s="117" t="str">
        <f ca="1">OFFSET(ORÇAMENTO!O$15,$L155,0)</f>
        <v>1.8.3.0.2.</v>
      </c>
      <c r="F155" s="163" t="str">
        <f ca="1">OFFSET(ORÇAMENTO!R$15,$L155,0)</f>
        <v>RALO SECO, PVC, DN 100 X 40 MM, JUNTA SOLDÁVEL, FORNECIDO E INSTALADO EM RAMAL DE DESCARGA OU EM RAMAL DE ESGOTO SANITÁRIO. AF_08/2022</v>
      </c>
      <c r="G155" s="164" t="str">
        <f ca="1">IF($D155&lt;&gt;"Serviço","",OFFSET(ORÇAMENTO!S$15,$L155,0))</f>
        <v>UN</v>
      </c>
      <c r="H155" s="122" cm="1">
        <f t="array" aca="1" ref="H155" ca="1">IF($D155&lt;&gt;"Serviço",0,IF(ACOMPANHAMENTO="BM",ROUND(OFFSET(ORÇAMENTO!AJ$15,$L155,0),15-13*ORÇAMENTO!$AF$7),IF(IFERROR(CÁLCULO.FrentesPreenchidas,0)=0,0,SUM(ROUND(OFFSET($P155,0,1,1,CÁLCULO.FrentesPreenchidas),15-13*ORÇAMENTO!$AF$7)))))</f>
        <v>30</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2"/>
      <c r="L155" s="165">
        <f t="shared" ca="1" si="9"/>
        <v>140</v>
      </c>
      <c r="M155" s="166">
        <f ca="1">IF($D155&lt;&gt;"Serviço","",
          IF(AUTOEVENTO="manual",$A155,
                IF(ISERROR(MATCH($A155,$A$15:OFFSET($A155,-1,0),0)),MAX($M$15:OFFSET(M155,-1,0))+1,
                      INDEX($M$15:OFFSET(M155,-1,0),MATCH($A155,$A$15:OFFSET($A155,-1,0),0)))))</f>
        <v>8</v>
      </c>
      <c r="N155" s="167" t="str">
        <f ca="1">IF($D155&lt;&gt;"Serviço","",
         IF(AUTOEVENTO="Manual",
                IF($A155=0,"&lt;-- defina o número do agrupador",
                       OFFSET(EVENTOS!$D$15,$A155-$A$15,0)),
                OFFSET($F$15,$A155,0)))</f>
        <v>INSTALAÇÕES HIDROSSANITARIAS</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1000000000000</v>
      </c>
      <c r="AN155" s="171">
        <f ca="1">IF(OR($D155&lt;&gt;"Serviço",AND(AUTOEVENTO="Manual",$M155=$A$15)),0,
         IF(OFFSET(CRONOPLE!$F$15,$M155-$A$15,AN$13)=0,10^12,OFFSET(CRONOPLE!$F$15,$M155-$A$15,AN$13)))</f>
        <v>1000000000000</v>
      </c>
      <c r="AO155" s="171">
        <f ca="1">IF(OR($D155&lt;&gt;"Serviço",AND(AUTOEVENTO="Manual",$M155=$A$15)),0,
         IF(OFFSET(CRONOPLE!$F$15,$M155-$A$15,AO$13)=0,10^12,OFFSET(CRONOPLE!$F$15,$M155-$A$15,AO$13)))</f>
        <v>1000000000000</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ht="38.25" x14ac:dyDescent="0.2">
      <c r="A156" s="7" t="str">
        <f t="shared" ca="1" si="8"/>
        <v>117</v>
      </c>
      <c r="B156" s="7" t="str">
        <f ca="1">OFFSET(ORÇAMENTO!C$15,$L156,0)</f>
        <v>S</v>
      </c>
      <c r="C156" s="7" t="str">
        <f ca="1">OFFSET(ORÇAMENTO!L$15,$L156,0)</f>
        <v>F</v>
      </c>
      <c r="D156" s="116" t="str">
        <f ca="1">OFFSET(ORÇAMENTO!N$15,$L156,0)</f>
        <v>Serviço</v>
      </c>
      <c r="E156" s="117" t="str">
        <f ca="1">OFFSET(ORÇAMENTO!O$15,$L156,0)</f>
        <v>1.8.3.0.3.</v>
      </c>
      <c r="F156" s="163" t="str">
        <f ca="1">OFFSET(ORÇAMENTO!R$15,$L156,0)</f>
        <v>CAIXA ENTERRADA HIDRÁULICA RETANGULAR EM ALVENARIA COM TIJOLOS CERÂMICOS MACIÇOS, DIMENSÕES INTERNAS: 0,6X0,6X0,6 M PARA REDE DE ESGOTO. AF_12/2020</v>
      </c>
      <c r="G156" s="164" t="str">
        <f ca="1">IF($D156&lt;&gt;"Serviço","",OFFSET(ORÇAMENTO!S$15,$L156,0))</f>
        <v>UN</v>
      </c>
      <c r="H156" s="122" cm="1">
        <f t="array" aca="1" ref="H156" ca="1">IF($D156&lt;&gt;"Serviço",0,IF(ACOMPANHAMENTO="BM",ROUND(OFFSET(ORÇAMENTO!AJ$15,$L156,0),15-13*ORÇAMENTO!$AF$7),IF(IFERROR(CÁLCULO.FrentesPreenchidas,0)=0,0,SUM(ROUND(OFFSET($P156,0,1,1,CÁLCULO.FrentesPreenchidas),15-13*ORÇAMENTO!$AF$7)))))</f>
        <v>90</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2"/>
      <c r="L156" s="165">
        <f t="shared" ca="1" si="9"/>
        <v>141</v>
      </c>
      <c r="M156" s="166">
        <f ca="1">IF($D156&lt;&gt;"Serviço","",
          IF(AUTOEVENTO="manual",$A156,
                IF(ISERROR(MATCH($A156,$A$15:OFFSET($A156,-1,0),0)),MAX($M$15:OFFSET(M156,-1,0))+1,
                      INDEX($M$15:OFFSET(M156,-1,0),MATCH($A156,$A$15:OFFSET($A156,-1,0),0)))))</f>
        <v>8</v>
      </c>
      <c r="N156" s="167" t="str">
        <f ca="1">IF($D156&lt;&gt;"Serviço","",
         IF(AUTOEVENTO="Manual",
                IF($A156=0,"&lt;-- defina o número do agrupador",
                       OFFSET(EVENTOS!$D$15,$A156-$A$15,0)),
                OFFSET($F$15,$A156,0)))</f>
        <v>INSTALAÇÕES HIDROSSANITARIAS</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1000000000000</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38.25" x14ac:dyDescent="0.2">
      <c r="A157" s="7" t="str">
        <f t="shared" ca="1" si="8"/>
        <v>117</v>
      </c>
      <c r="B157" s="7" t="str">
        <f ca="1">OFFSET(ORÇAMENTO!C$15,$L157,0)</f>
        <v>S</v>
      </c>
      <c r="C157" s="7" t="str">
        <f ca="1">OFFSET(ORÇAMENTO!L$15,$L157,0)</f>
        <v>F</v>
      </c>
      <c r="D157" s="116" t="str">
        <f ca="1">OFFSET(ORÇAMENTO!N$15,$L157,0)</f>
        <v>Serviço</v>
      </c>
      <c r="E157" s="117" t="str">
        <f ca="1">OFFSET(ORÇAMENTO!O$15,$L157,0)</f>
        <v>1.8.3.0.4.</v>
      </c>
      <c r="F157" s="163" t="str">
        <f ca="1">OFFSET(ORÇAMENTO!R$15,$L157,0)</f>
        <v>CAIXA DE GORDURA SIMPLES, CIRCULAR, EM CONCRETO PRÉ-MOLDADO, DIÂMETRO INTERNO = 0,4 M, ALTURA INTERNA = 0,4 M. AF_12/2020</v>
      </c>
      <c r="G157" s="164" t="str">
        <f ca="1">IF($D157&lt;&gt;"Serviço","",OFFSET(ORÇAMENTO!S$15,$L157,0))</f>
        <v>UN</v>
      </c>
      <c r="H157" s="122" cm="1">
        <f t="array" aca="1" ref="H157" ca="1">IF($D157&lt;&gt;"Serviço",0,IF(ACOMPANHAMENTO="BM",ROUND(OFFSET(ORÇAMENTO!AJ$15,$L157,0),15-13*ORÇAMENTO!$AF$7),IF(IFERROR(CÁLCULO.FrentesPreenchidas,0)=0,0,SUM(ROUND(OFFSET($P157,0,1,1,CÁLCULO.FrentesPreenchidas),15-13*ORÇAMENTO!$AF$7)))))</f>
        <v>30</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t="shared" ca="1" si="9"/>
        <v>142</v>
      </c>
      <c r="M157" s="166">
        <f ca="1">IF($D157&lt;&gt;"Serviço","",
          IF(AUTOEVENTO="manual",$A157,
                IF(ISERROR(MATCH($A157,$A$15:OFFSET($A157,-1,0),0)),MAX($M$15:OFFSET(M157,-1,0))+1,
                      INDEX($M$15:OFFSET(M157,-1,0),MATCH($A157,$A$15:OFFSET($A157,-1,0),0)))))</f>
        <v>8</v>
      </c>
      <c r="N157" s="167" t="str">
        <f ca="1">IF($D157&lt;&gt;"Serviço","",
         IF(AUTOEVENTO="Manual",
                IF($A157=0,"&lt;-- defina o número do agrupador",
                       OFFSET(EVENTOS!$D$15,$A157-$A$15,0)),
                OFFSET($F$15,$A157,0)))</f>
        <v>INSTALAÇÕES HIDROSSANITARIAS</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1000000000000</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ht="12.75" x14ac:dyDescent="0.2">
      <c r="A158" s="7" t="str">
        <f t="shared" ca="1" si="8"/>
        <v>117</v>
      </c>
      <c r="B158" s="7">
        <f ca="1">OFFSET(ORÇAMENTO!C$15,$L158,0)</f>
        <v>3</v>
      </c>
      <c r="C158" s="7" t="str">
        <f ca="1">OFFSET(ORÇAMENTO!L$15,$L158,0)</f>
        <v>F</v>
      </c>
      <c r="D158" s="116" t="str">
        <f ca="1">OFFSET(ORÇAMENTO!N$15,$L158,0)</f>
        <v>Nível 3</v>
      </c>
      <c r="E158" s="117" t="str">
        <f ca="1">OFFSET(ORÇAMENTO!O$15,$L158,0)</f>
        <v>1.8.4.</v>
      </c>
      <c r="F158" s="163" t="str">
        <f ca="1">OFFSET(ORÇAMENTO!R$15,$L158,0)</f>
        <v>ENTRADA DE ÁGUA - CORSAN</v>
      </c>
      <c r="G158" s="164" t="str">
        <f ca="1">IF($D158&lt;&gt;"Serviço","",OFFSET(ORÇAMENTO!S$15,$L158,0))</f>
        <v/>
      </c>
      <c r="H158" s="122" cm="1">
        <f t="array" aca="1" ref="H158" ca="1">IF($D158&lt;&gt;"Serviço",0,IF(ACOMPANHAMENTO="BM",ROUND(OFFSET(ORÇAMENTO!AJ$15,$L158,0),15-13*ORÇAMENTO!$AF$7),IF(IFERROR(CÁLCULO.FrentesPreenchidas,0)=0,0,SUM(ROUND(OFFSET($P158,0,1,1,CÁLCULO.FrentesPreenchidas),15-13*ORÇAMENTO!$AF$7)))))</f>
        <v>0</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2"/>
      <c r="L158" s="165">
        <f t="shared" ca="1" si="9"/>
        <v>143</v>
      </c>
      <c r="M158" s="166" t="str">
        <f ca="1">IF($D158&lt;&gt;"Serviço","",
          IF(AUTOEVENTO="manual",$A158,
                IF(ISERROR(MATCH($A158,$A$15:OFFSET($A158,-1,0),0)),MAX($M$15:OFFSET(M158,-1,0))+1,
                      INDEX($M$15:OFFSET(M158,-1,0),MATCH($A158,$A$15:OFFSET($A158,-1,0),0)))))</f>
        <v/>
      </c>
      <c r="N158" s="167" t="str">
        <f ca="1">IF($D158&lt;&gt;"Serviço","",
         IF(AUTOEVENTO="Manual",
                IF($A158=0,"&lt;-- defina o número do agrupador",
                       OFFSET(EVENTOS!$D$15,$A158-$A$15,0)),
                OFFSET($F$15,$A158,0)))</f>
        <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0</v>
      </c>
      <c r="AN158" s="171">
        <f ca="1">IF(OR($D158&lt;&gt;"Serviço",AND(AUTOEVENTO="Manual",$M158=$A$15)),0,
         IF(OFFSET(CRONOPLE!$F$15,$M158-$A$15,AN$13)=0,10^12,OFFSET(CRONOPLE!$F$15,$M158-$A$15,AN$13)))</f>
        <v>0</v>
      </c>
      <c r="AO158" s="171">
        <f ca="1">IF(OR($D158&lt;&gt;"Serviço",AND(AUTOEVENTO="Manual",$M158=$A$15)),0,
         IF(OFFSET(CRONOPLE!$F$15,$M158-$A$15,AO$13)=0,10^12,OFFSET(CRONOPLE!$F$15,$M158-$A$15,AO$13)))</f>
        <v>0</v>
      </c>
      <c r="AP158" s="171">
        <f ca="1">IF(OR($D158&lt;&gt;"Serviço",AND(AUTOEVENTO="Manual",$M158=$A$15)),0,
         IF(OFFSET(CRONOPLE!$F$15,$M158-$A$15,AP$13)=0,10^12,OFFSET(CRONOPLE!$F$15,$M158-$A$15,AP$13)))</f>
        <v>0</v>
      </c>
      <c r="AQ158" s="171">
        <f ca="1">IF(OR($D158&lt;&gt;"Serviço",AND(AUTOEVENTO="Manual",$M158=$A$15)),0,
         IF(OFFSET(CRONOPLE!$F$15,$M158-$A$15,AQ$13)=0,10^12,OFFSET(CRONOPLE!$F$15,$M158-$A$15,AQ$13)))</f>
        <v>0</v>
      </c>
      <c r="AR158" s="171">
        <f ca="1">IF(OR($D158&lt;&gt;"Serviço",AND(AUTOEVENTO="Manual",$M158=$A$15)),0,
         IF(OFFSET(CRONOPLE!$F$15,$M158-$A$15,AR$13)=0,10^12,OFFSET(CRONOPLE!$F$15,$M158-$A$15,AR$13)))</f>
        <v>0</v>
      </c>
      <c r="AS158" s="171">
        <f ca="1">IF(OR($D158&lt;&gt;"Serviço",AND(AUTOEVENTO="Manual",$M158=$A$15)),0,
         IF(OFFSET(CRONOPLE!$F$15,$M158-$A$15,AS$13)=0,10^12,OFFSET(CRONOPLE!$F$15,$M158-$A$15,AS$13)))</f>
        <v>0</v>
      </c>
      <c r="AT158" s="171">
        <f ca="1">IF(OR($D158&lt;&gt;"Serviço",AND(AUTOEVENTO="Manual",$M158=$A$15)),0,
         IF(OFFSET(CRONOPLE!$F$15,$M158-$A$15,AT$13)=0,10^12,OFFSET(CRONOPLE!$F$15,$M158-$A$15,AT$13)))</f>
        <v>0</v>
      </c>
      <c r="AU158" s="171">
        <f ca="1">IF(OR($D158&lt;&gt;"Serviço",AND(AUTOEVENTO="Manual",$M158=$A$15)),0,
         IF(OFFSET(CRONOPLE!$F$15,$M158-$A$15,AU$13)=0,10^12,OFFSET(CRONOPLE!$F$15,$M158-$A$15,AU$13)))</f>
        <v>0</v>
      </c>
      <c r="AV158" s="171">
        <f ca="1">IF(OR($D158&lt;&gt;"Serviço",AND(AUTOEVENTO="Manual",$M158=$A$15)),0,
         IF(OFFSET(CRONOPLE!$F$15,$M158-$A$15,AV$13)=0,10^12,OFFSET(CRONOPLE!$F$15,$M158-$A$15,AV$13)))</f>
        <v>0</v>
      </c>
      <c r="AX158" s="172" cm="1">
        <f t="array" aca="1" ref="AX158" ca="1">IF(OR($D158&lt;&gt;"Serviço",AND(AUTOEVENTO="Manual",$M158=$A$15),$M158&gt;(ROW(PLE.lastrow)-ROW(PLE.firstrow))),0,
           IF(OFFSET(PLE!$G$15,$M158-$A$15,AX$13)="",10^12,OFFSET(PLE!$G$15,$M158-$A$15,AX$13)))</f>
        <v>0</v>
      </c>
      <c r="AY158" s="172" cm="1">
        <f t="array" aca="1" ref="AY158" ca="1">IF(OR($D158&lt;&gt;"Serviço",AND(AUTOEVENTO="Manual",$M158=$A$15),$M158&gt;(ROW(PLE.lastrow)-ROW(PLE.firstrow))),0,
           IF(OFFSET(PLE!$G$15,$M158-$A$15,AY$13)="",10^12,OFFSET(PLE!$G$15,$M158-$A$15,AY$13)))</f>
        <v>0</v>
      </c>
      <c r="AZ158" s="172" cm="1">
        <f t="array" aca="1" ref="AZ158" ca="1">IF(OR($D158&lt;&gt;"Serviço",AND(AUTOEVENTO="Manual",$M158=$A$15),$M158&gt;(ROW(PLE.lastrow)-ROW(PLE.firstrow))),0,
           IF(OFFSET(PLE!$G$15,$M158-$A$15,AZ$13)="",10^12,OFFSET(PLE!$G$15,$M158-$A$15,AZ$13)))</f>
        <v>0</v>
      </c>
      <c r="BA158" s="172" cm="1">
        <f t="array" aca="1" ref="BA158" ca="1">IF(OR($D158&lt;&gt;"Serviço",AND(AUTOEVENTO="Manual",$M158=$A$15),$M158&gt;(ROW(PLE.lastrow)-ROW(PLE.firstrow))),0,
           IF(OFFSET(PLE!$G$15,$M158-$A$15,BA$13)="",10^12,OFFSET(PLE!$G$15,$M158-$A$15,BA$13)))</f>
        <v>0</v>
      </c>
      <c r="BB158" s="172" cm="1">
        <f t="array" aca="1" ref="BB158" ca="1">IF(OR($D158&lt;&gt;"Serviço",AND(AUTOEVENTO="Manual",$M158=$A$15),$M158&gt;(ROW(PLE.lastrow)-ROW(PLE.firstrow))),0,
           IF(OFFSET(PLE!$G$15,$M158-$A$15,BB$13)="",10^12,OFFSET(PLE!$G$15,$M158-$A$15,BB$13)))</f>
        <v>0</v>
      </c>
      <c r="BC158" s="172" cm="1">
        <f t="array" aca="1" ref="BC158" ca="1">IF(OR($D158&lt;&gt;"Serviço",AND(AUTOEVENTO="Manual",$M158=$A$15),$M158&gt;(ROW(PLE.lastrow)-ROW(PLE.firstrow))),0,
           IF(OFFSET(PLE!$G$15,$M158-$A$15,BC$13)="",10^12,OFFSET(PLE!$G$15,$M158-$A$15,BC$13)))</f>
        <v>0</v>
      </c>
      <c r="BD158" s="172" cm="1">
        <f t="array" aca="1" ref="BD158" ca="1">IF(OR($D158&lt;&gt;"Serviço",AND(AUTOEVENTO="Manual",$M158=$A$15),$M158&gt;(ROW(PLE.lastrow)-ROW(PLE.firstrow))),0,
           IF(OFFSET(PLE!$G$15,$M158-$A$15,BD$13)="",10^12,OFFSET(PLE!$G$15,$M158-$A$15,BD$13)))</f>
        <v>0</v>
      </c>
      <c r="BE158" s="172" cm="1">
        <f t="array" aca="1" ref="BE158" ca="1">IF(OR($D158&lt;&gt;"Serviço",AND(AUTOEVENTO="Manual",$M158=$A$15),$M158&gt;(ROW(PLE.lastrow)-ROW(PLE.firstrow))),0,
           IF(OFFSET(PLE!$G$15,$M158-$A$15,BE$13)="",10^12,OFFSET(PLE!$G$15,$M158-$A$15,BE$13)))</f>
        <v>0</v>
      </c>
      <c r="BF158" s="172" cm="1">
        <f t="array" aca="1" ref="BF158" ca="1">IF(OR($D158&lt;&gt;"Serviço",AND(AUTOEVENTO="Manual",$M158=$A$15),$M158&gt;(ROW(PLE.lastrow)-ROW(PLE.firstrow))),0,
           IF(OFFSET(PLE!$G$15,$M158-$A$15,BF$13)="",10^12,OFFSET(PLE!$G$15,$M158-$A$15,BF$13)))</f>
        <v>0</v>
      </c>
      <c r="BG158" s="172" cm="1">
        <f t="array" aca="1" ref="BG158" ca="1">IF(OR($D158&lt;&gt;"Serviço",AND(AUTOEVENTO="Manual",$M158=$A$15),$M158&gt;(ROW(PLE.lastrow)-ROW(PLE.firstrow))),0,
           IF(OFFSET(PLE!$G$15,$M158-$A$15,BG$13)="",10^12,OFFSET(PLE!$G$15,$M158-$A$15,BG$13)))</f>
        <v>0</v>
      </c>
    </row>
    <row r="159" spans="1:59" ht="51" x14ac:dyDescent="0.2">
      <c r="A159" s="7" t="str">
        <f t="shared" ca="1" si="8"/>
        <v>117</v>
      </c>
      <c r="B159" s="7" t="str">
        <f ca="1">OFFSET(ORÇAMENTO!C$15,$L159,0)</f>
        <v>S</v>
      </c>
      <c r="C159" s="7" t="str">
        <f ca="1">OFFSET(ORÇAMENTO!L$15,$L159,0)</f>
        <v>F</v>
      </c>
      <c r="D159" s="116" t="str">
        <f ca="1">OFFSET(ORÇAMENTO!N$15,$L159,0)</f>
        <v>Serviço</v>
      </c>
      <c r="E159" s="117" t="str">
        <f ca="1">OFFSET(ORÇAMENTO!O$15,$L159,0)</f>
        <v>1.8.4.0.1.</v>
      </c>
      <c r="F159" s="163" t="str">
        <f ca="1">OFFSET(ORÇAMENTO!R$15,$L159,0)</f>
        <v>KIT CAVALETE PARA MEDIÇÃO DE ÁGUA - ENTRADA INDIVIDUALIZADA, EM PVC 25 MM (3/4"), PARA 1 MEDIDOR - FORNECIMENTO E INSTALAÇÃO (EXCLUSIVE HIDRÔMETRO). AF_03/2024</v>
      </c>
      <c r="G159" s="164" t="str">
        <f ca="1">IF($D159&lt;&gt;"Serviço","",OFFSET(ORÇAMENTO!S$15,$L159,0))</f>
        <v>UN</v>
      </c>
      <c r="H159" s="122" cm="1">
        <f t="array" aca="1" ref="H159" ca="1">IF($D159&lt;&gt;"Serviço",0,IF(ACOMPANHAMENTO="BM",ROUND(OFFSET(ORÇAMENTO!AJ$15,$L159,0),15-13*ORÇAMENTO!$AF$7),IF(IFERROR(CÁLCULO.FrentesPreenchidas,0)=0,0,SUM(ROUND(OFFSET($P159,0,1,1,CÁLCULO.FrentesPreenchidas),15-13*ORÇAMENTO!$AF$7)))))</f>
        <v>30</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2"/>
      <c r="L159" s="165">
        <f t="shared" ca="1" si="9"/>
        <v>144</v>
      </c>
      <c r="M159" s="166">
        <f ca="1">IF($D159&lt;&gt;"Serviço","",
          IF(AUTOEVENTO="manual",$A159,
                IF(ISERROR(MATCH($A159,$A$15:OFFSET($A159,-1,0),0)),MAX($M$15:OFFSET(M159,-1,0))+1,
                      INDEX($M$15:OFFSET(M159,-1,0),MATCH($A159,$A$15:OFFSET($A159,-1,0),0)))))</f>
        <v>8</v>
      </c>
      <c r="N159" s="167" t="str">
        <f ca="1">IF($D159&lt;&gt;"Serviço","",
         IF(AUTOEVENTO="Manual",
                IF($A159=0,"&lt;-- defina o número do agrupador",
                       OFFSET(EVENTOS!$D$15,$A159-$A$15,0)),
                OFFSET($F$15,$A159,0)))</f>
        <v>INSTALAÇÕES HIDROSSANITARIAS</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1000000000000</v>
      </c>
      <c r="AN159" s="171">
        <f ca="1">IF(OR($D159&lt;&gt;"Serviço",AND(AUTOEVENTO="Manual",$M159=$A$15)),0,
         IF(OFFSET(CRONOPLE!$F$15,$M159-$A$15,AN$13)=0,10^12,OFFSET(CRONOPLE!$F$15,$M159-$A$15,AN$13)))</f>
        <v>1000000000000</v>
      </c>
      <c r="AO159" s="171">
        <f ca="1">IF(OR($D159&lt;&gt;"Serviço",AND(AUTOEVENTO="Manual",$M159=$A$15)),0,
         IF(OFFSET(CRONOPLE!$F$15,$M159-$A$15,AO$13)=0,10^12,OFFSET(CRONOPLE!$F$15,$M159-$A$15,AO$13)))</f>
        <v>1000000000000</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ht="12.75" x14ac:dyDescent="0.2">
      <c r="A160" s="7" t="str">
        <f t="shared" ca="1" si="8"/>
        <v>117</v>
      </c>
      <c r="B160" s="7">
        <f ca="1">OFFSET(ORÇAMENTO!C$15,$L160,0)</f>
        <v>3</v>
      </c>
      <c r="C160" s="7" t="str">
        <f ca="1">OFFSET(ORÇAMENTO!L$15,$L160,0)</f>
        <v>F</v>
      </c>
      <c r="D160" s="116" t="str">
        <f ca="1">OFFSET(ORÇAMENTO!N$15,$L160,0)</f>
        <v>Nível 3</v>
      </c>
      <c r="E160" s="117" t="str">
        <f ca="1">OFFSET(ORÇAMENTO!O$15,$L160,0)</f>
        <v>1.8.5.</v>
      </c>
      <c r="F160" s="163" t="str">
        <f ca="1">OFFSET(ORÇAMENTO!R$15,$L160,0)</f>
        <v>ÁGUA FRIA - TUBOS E CONEXÕES</v>
      </c>
      <c r="G160" s="164" t="str">
        <f ca="1">IF($D160&lt;&gt;"Serviço","",OFFSET(ORÇAMENTO!S$15,$L160,0))</f>
        <v/>
      </c>
      <c r="H160" s="122" cm="1">
        <f t="array" aca="1" ref="H160" ca="1">IF($D160&lt;&gt;"Serviço",0,IF(ACOMPANHAMENTO="BM",ROUND(OFFSET(ORÇAMENTO!AJ$15,$L160,0),15-13*ORÇAMENTO!$AF$7),IF(IFERROR(CÁLCULO.FrentesPreenchidas,0)=0,0,SUM(ROUND(OFFSET($P160,0,1,1,CÁLCULO.FrentesPreenchidas),15-13*ORÇAMENTO!$AF$7)))))</f>
        <v>0</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2"/>
      <c r="L160" s="165">
        <f t="shared" ca="1" si="9"/>
        <v>145</v>
      </c>
      <c r="M160" s="166" t="str">
        <f ca="1">IF($D160&lt;&gt;"Serviço","",
          IF(AUTOEVENTO="manual",$A160,
                IF(ISERROR(MATCH($A160,$A$15:OFFSET($A160,-1,0),0)),MAX($M$15:OFFSET(M160,-1,0))+1,
                      INDEX($M$15:OFFSET(M160,-1,0),MATCH($A160,$A$15:OFFSET($A160,-1,0),0)))))</f>
        <v/>
      </c>
      <c r="N160" s="167" t="str">
        <f ca="1">IF($D160&lt;&gt;"Serviço","",
         IF(AUTOEVENTO="Manual",
                IF($A160=0,"&lt;-- defina o número do agrupador",
                       OFFSET(EVENTOS!$D$15,$A160-$A$15,0)),
                OFFSET($F$15,$A160,0)))</f>
        <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0</v>
      </c>
      <c r="AN160" s="171">
        <f ca="1">IF(OR($D160&lt;&gt;"Serviço",AND(AUTOEVENTO="Manual",$M160=$A$15)),0,
         IF(OFFSET(CRONOPLE!$F$15,$M160-$A$15,AN$13)=0,10^12,OFFSET(CRONOPLE!$F$15,$M160-$A$15,AN$13)))</f>
        <v>0</v>
      </c>
      <c r="AO160" s="171">
        <f ca="1">IF(OR($D160&lt;&gt;"Serviço",AND(AUTOEVENTO="Manual",$M160=$A$15)),0,
         IF(OFFSET(CRONOPLE!$F$15,$M160-$A$15,AO$13)=0,10^12,OFFSET(CRONOPLE!$F$15,$M160-$A$15,AO$13)))</f>
        <v>0</v>
      </c>
      <c r="AP160" s="171">
        <f ca="1">IF(OR($D160&lt;&gt;"Serviço",AND(AUTOEVENTO="Manual",$M160=$A$15)),0,
         IF(OFFSET(CRONOPLE!$F$15,$M160-$A$15,AP$13)=0,10^12,OFFSET(CRONOPLE!$F$15,$M160-$A$15,AP$13)))</f>
        <v>0</v>
      </c>
      <c r="AQ160" s="171">
        <f ca="1">IF(OR($D160&lt;&gt;"Serviço",AND(AUTOEVENTO="Manual",$M160=$A$15)),0,
         IF(OFFSET(CRONOPLE!$F$15,$M160-$A$15,AQ$13)=0,10^12,OFFSET(CRONOPLE!$F$15,$M160-$A$15,AQ$13)))</f>
        <v>0</v>
      </c>
      <c r="AR160" s="171">
        <f ca="1">IF(OR($D160&lt;&gt;"Serviço",AND(AUTOEVENTO="Manual",$M160=$A$15)),0,
         IF(OFFSET(CRONOPLE!$F$15,$M160-$A$15,AR$13)=0,10^12,OFFSET(CRONOPLE!$F$15,$M160-$A$15,AR$13)))</f>
        <v>0</v>
      </c>
      <c r="AS160" s="171">
        <f ca="1">IF(OR($D160&lt;&gt;"Serviço",AND(AUTOEVENTO="Manual",$M160=$A$15)),0,
         IF(OFFSET(CRONOPLE!$F$15,$M160-$A$15,AS$13)=0,10^12,OFFSET(CRONOPLE!$F$15,$M160-$A$15,AS$13)))</f>
        <v>0</v>
      </c>
      <c r="AT160" s="171">
        <f ca="1">IF(OR($D160&lt;&gt;"Serviço",AND(AUTOEVENTO="Manual",$M160=$A$15)),0,
         IF(OFFSET(CRONOPLE!$F$15,$M160-$A$15,AT$13)=0,10^12,OFFSET(CRONOPLE!$F$15,$M160-$A$15,AT$13)))</f>
        <v>0</v>
      </c>
      <c r="AU160" s="171">
        <f ca="1">IF(OR($D160&lt;&gt;"Serviço",AND(AUTOEVENTO="Manual",$M160=$A$15)),0,
         IF(OFFSET(CRONOPLE!$F$15,$M160-$A$15,AU$13)=0,10^12,OFFSET(CRONOPLE!$F$15,$M160-$A$15,AU$13)))</f>
        <v>0</v>
      </c>
      <c r="AV160" s="171">
        <f ca="1">IF(OR($D160&lt;&gt;"Serviço",AND(AUTOEVENTO="Manual",$M160=$A$15)),0,
         IF(OFFSET(CRONOPLE!$F$15,$M160-$A$15,AV$13)=0,10^12,OFFSET(CRONOPLE!$F$15,$M160-$A$15,AV$13)))</f>
        <v>0</v>
      </c>
      <c r="AX160" s="172" cm="1">
        <f t="array" aca="1" ref="AX160" ca="1">IF(OR($D160&lt;&gt;"Serviço",AND(AUTOEVENTO="Manual",$M160=$A$15),$M160&gt;(ROW(PLE.lastrow)-ROW(PLE.firstrow))),0,
           IF(OFFSET(PLE!$G$15,$M160-$A$15,AX$13)="",10^12,OFFSET(PLE!$G$15,$M160-$A$15,AX$13)))</f>
        <v>0</v>
      </c>
      <c r="AY160" s="172" cm="1">
        <f t="array" aca="1" ref="AY160" ca="1">IF(OR($D160&lt;&gt;"Serviço",AND(AUTOEVENTO="Manual",$M160=$A$15),$M160&gt;(ROW(PLE.lastrow)-ROW(PLE.firstrow))),0,
           IF(OFFSET(PLE!$G$15,$M160-$A$15,AY$13)="",10^12,OFFSET(PLE!$G$15,$M160-$A$15,AY$13)))</f>
        <v>0</v>
      </c>
      <c r="AZ160" s="172" cm="1">
        <f t="array" aca="1" ref="AZ160" ca="1">IF(OR($D160&lt;&gt;"Serviço",AND(AUTOEVENTO="Manual",$M160=$A$15),$M160&gt;(ROW(PLE.lastrow)-ROW(PLE.firstrow))),0,
           IF(OFFSET(PLE!$G$15,$M160-$A$15,AZ$13)="",10^12,OFFSET(PLE!$G$15,$M160-$A$15,AZ$13)))</f>
        <v>0</v>
      </c>
      <c r="BA160" s="172" cm="1">
        <f t="array" aca="1" ref="BA160" ca="1">IF(OR($D160&lt;&gt;"Serviço",AND(AUTOEVENTO="Manual",$M160=$A$15),$M160&gt;(ROW(PLE.lastrow)-ROW(PLE.firstrow))),0,
           IF(OFFSET(PLE!$G$15,$M160-$A$15,BA$13)="",10^12,OFFSET(PLE!$G$15,$M160-$A$15,BA$13)))</f>
        <v>0</v>
      </c>
      <c r="BB160" s="172" cm="1">
        <f t="array" aca="1" ref="BB160" ca="1">IF(OR($D160&lt;&gt;"Serviço",AND(AUTOEVENTO="Manual",$M160=$A$15),$M160&gt;(ROW(PLE.lastrow)-ROW(PLE.firstrow))),0,
           IF(OFFSET(PLE!$G$15,$M160-$A$15,BB$13)="",10^12,OFFSET(PLE!$G$15,$M160-$A$15,BB$13)))</f>
        <v>0</v>
      </c>
      <c r="BC160" s="172" cm="1">
        <f t="array" aca="1" ref="BC160" ca="1">IF(OR($D160&lt;&gt;"Serviço",AND(AUTOEVENTO="Manual",$M160=$A$15),$M160&gt;(ROW(PLE.lastrow)-ROW(PLE.firstrow))),0,
           IF(OFFSET(PLE!$G$15,$M160-$A$15,BC$13)="",10^12,OFFSET(PLE!$G$15,$M160-$A$15,BC$13)))</f>
        <v>0</v>
      </c>
      <c r="BD160" s="172" cm="1">
        <f t="array" aca="1" ref="BD160" ca="1">IF(OR($D160&lt;&gt;"Serviço",AND(AUTOEVENTO="Manual",$M160=$A$15),$M160&gt;(ROW(PLE.lastrow)-ROW(PLE.firstrow))),0,
           IF(OFFSET(PLE!$G$15,$M160-$A$15,BD$13)="",10^12,OFFSET(PLE!$G$15,$M160-$A$15,BD$13)))</f>
        <v>0</v>
      </c>
      <c r="BE160" s="172" cm="1">
        <f t="array" aca="1" ref="BE160" ca="1">IF(OR($D160&lt;&gt;"Serviço",AND(AUTOEVENTO="Manual",$M160=$A$15),$M160&gt;(ROW(PLE.lastrow)-ROW(PLE.firstrow))),0,
           IF(OFFSET(PLE!$G$15,$M160-$A$15,BE$13)="",10^12,OFFSET(PLE!$G$15,$M160-$A$15,BE$13)))</f>
        <v>0</v>
      </c>
      <c r="BF160" s="172" cm="1">
        <f t="array" aca="1" ref="BF160" ca="1">IF(OR($D160&lt;&gt;"Serviço",AND(AUTOEVENTO="Manual",$M160=$A$15),$M160&gt;(ROW(PLE.lastrow)-ROW(PLE.firstrow))),0,
           IF(OFFSET(PLE!$G$15,$M160-$A$15,BF$13)="",10^12,OFFSET(PLE!$G$15,$M160-$A$15,BF$13)))</f>
        <v>0</v>
      </c>
      <c r="BG160" s="172" cm="1">
        <f t="array" aca="1" ref="BG160" ca="1">IF(OR($D160&lt;&gt;"Serviço",AND(AUTOEVENTO="Manual",$M160=$A$15),$M160&gt;(ROW(PLE.lastrow)-ROW(PLE.firstrow))),0,
           IF(OFFSET(PLE!$G$15,$M160-$A$15,BG$13)="",10^12,OFFSET(PLE!$G$15,$M160-$A$15,BG$13)))</f>
        <v>0</v>
      </c>
    </row>
    <row r="161" spans="1:59" ht="38.25" x14ac:dyDescent="0.2">
      <c r="A161" s="7" t="str">
        <f t="shared" ca="1" si="8"/>
        <v>117</v>
      </c>
      <c r="B161" s="7" t="str">
        <f ca="1">OFFSET(ORÇAMENTO!C$15,$L161,0)</f>
        <v>S</v>
      </c>
      <c r="C161" s="7" t="str">
        <f ca="1">OFFSET(ORÇAMENTO!L$15,$L161,0)</f>
        <v>F</v>
      </c>
      <c r="D161" s="116" t="str">
        <f ca="1">OFFSET(ORÇAMENTO!N$15,$L161,0)</f>
        <v>Serviço</v>
      </c>
      <c r="E161" s="117" t="str">
        <f ca="1">OFFSET(ORÇAMENTO!O$15,$L161,0)</f>
        <v>1.8.5.0.1.</v>
      </c>
      <c r="F161" s="163" t="str">
        <f ca="1">OFFSET(ORÇAMENTO!R$15,$L161,0)</f>
        <v>PONTO DE CONSUMO TERMINAL DE ÁGUA FRIA (SUBRAMAL) COM TUBULAÇÃO DE PVC, DN 25 MM, INSTALADO EM RAMAL DE ÁGUA, INCLUSOS RASGO E CHUMBAMENTO EM ALVENARIA. AF_12/2014</v>
      </c>
      <c r="G161" s="164" t="str">
        <f ca="1">IF($D161&lt;&gt;"Serviço","",OFFSET(ORÇAMENTO!S$15,$L161,0))</f>
        <v>UN</v>
      </c>
      <c r="H161" s="122" cm="1">
        <f t="array" aca="1" ref="H161" ca="1">IF($D161&lt;&gt;"Serviço",0,IF(ACOMPANHAMENTO="BM",ROUND(OFFSET(ORÇAMENTO!AJ$15,$L161,0),15-13*ORÇAMENTO!$AF$7),IF(IFERROR(CÁLCULO.FrentesPreenchidas,0)=0,0,SUM(ROUND(OFFSET($P161,0,1,1,CÁLCULO.FrentesPreenchidas),15-13*ORÇAMENTO!$AF$7)))))</f>
        <v>180</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2"/>
      <c r="L161" s="165">
        <f t="shared" ca="1" si="9"/>
        <v>146</v>
      </c>
      <c r="M161" s="166">
        <f ca="1">IF($D161&lt;&gt;"Serviço","",
          IF(AUTOEVENTO="manual",$A161,
                IF(ISERROR(MATCH($A161,$A$15:OFFSET($A161,-1,0),0)),MAX($M$15:OFFSET(M161,-1,0))+1,
                      INDEX($M$15:OFFSET(M161,-1,0),MATCH($A161,$A$15:OFFSET($A161,-1,0),0)))))</f>
        <v>8</v>
      </c>
      <c r="N161" s="167" t="str">
        <f ca="1">IF($D161&lt;&gt;"Serviço","",
         IF(AUTOEVENTO="Manual",
                IF($A161=0,"&lt;-- defina o número do agrupador",
                       OFFSET(EVENTOS!$D$15,$A161-$A$15,0)),
                OFFSET($F$15,$A161,0)))</f>
        <v>INSTALAÇÕES HIDROSSANITARIAS</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1000000000000</v>
      </c>
      <c r="AN161" s="171">
        <f ca="1">IF(OR($D161&lt;&gt;"Serviço",AND(AUTOEVENTO="Manual",$M161=$A$15)),0,
         IF(OFFSET(CRONOPLE!$F$15,$M161-$A$15,AN$13)=0,10^12,OFFSET(CRONOPLE!$F$15,$M161-$A$15,AN$13)))</f>
        <v>1000000000000</v>
      </c>
      <c r="AO161" s="171">
        <f ca="1">IF(OR($D161&lt;&gt;"Serviço",AND(AUTOEVENTO="Manual",$M161=$A$15)),0,
         IF(OFFSET(CRONOPLE!$F$15,$M161-$A$15,AO$13)=0,10^12,OFFSET(CRONOPLE!$F$15,$M161-$A$15,AO$13)))</f>
        <v>1000000000000</v>
      </c>
      <c r="AP161" s="171">
        <f ca="1">IF(OR($D161&lt;&gt;"Serviço",AND(AUTOEVENTO="Manual",$M161=$A$15)),0,
         IF(OFFSET(CRONOPLE!$F$15,$M161-$A$15,AP$13)=0,10^12,OFFSET(CRONOPLE!$F$15,$M161-$A$15,AP$13)))</f>
        <v>1000000000000</v>
      </c>
      <c r="AQ161" s="171">
        <f ca="1">IF(OR($D161&lt;&gt;"Serviço",AND(AUTOEVENTO="Manual",$M161=$A$15)),0,
         IF(OFFSET(CRONOPLE!$F$15,$M161-$A$15,AQ$13)=0,10^12,OFFSET(CRONOPLE!$F$15,$M161-$A$15,AQ$13)))</f>
        <v>1000000000000</v>
      </c>
      <c r="AR161" s="171">
        <f ca="1">IF(OR($D161&lt;&gt;"Serviço",AND(AUTOEVENTO="Manual",$M161=$A$15)),0,
         IF(OFFSET(CRONOPLE!$F$15,$M161-$A$15,AR$13)=0,10^12,OFFSET(CRONOPLE!$F$15,$M161-$A$15,AR$13)))</f>
        <v>1000000000000</v>
      </c>
      <c r="AS161" s="171">
        <f ca="1">IF(OR($D161&lt;&gt;"Serviço",AND(AUTOEVENTO="Manual",$M161=$A$15)),0,
         IF(OFFSET(CRONOPLE!$F$15,$M161-$A$15,AS$13)=0,10^12,OFFSET(CRONOPLE!$F$15,$M161-$A$15,AS$13)))</f>
        <v>1000000000000</v>
      </c>
      <c r="AT161" s="171">
        <f ca="1">IF(OR($D161&lt;&gt;"Serviço",AND(AUTOEVENTO="Manual",$M161=$A$15)),0,
         IF(OFFSET(CRONOPLE!$F$15,$M161-$A$15,AT$13)=0,10^12,OFFSET(CRONOPLE!$F$15,$M161-$A$15,AT$13)))</f>
        <v>1000000000000</v>
      </c>
      <c r="AU161" s="171">
        <f ca="1">IF(OR($D161&lt;&gt;"Serviço",AND(AUTOEVENTO="Manual",$M161=$A$15)),0,
         IF(OFFSET(CRONOPLE!$F$15,$M161-$A$15,AU$13)=0,10^12,OFFSET(CRONOPLE!$F$15,$M161-$A$15,AU$13)))</f>
        <v>1000000000000</v>
      </c>
      <c r="AV161" s="171">
        <f ca="1">IF(OR($D161&lt;&gt;"Serviço",AND(AUTOEVENTO="Manual",$M161=$A$15)),0,
         IF(OFFSET(CRONOPLE!$F$15,$M161-$A$15,AV$13)=0,10^12,OFFSET(CRONOPLE!$F$15,$M161-$A$15,AV$13)))</f>
        <v>1000000000000</v>
      </c>
      <c r="AX161" s="172" cm="1">
        <f t="array" aca="1" ref="AX161" ca="1">IF(OR($D161&lt;&gt;"Serviço",AND(AUTOEVENTO="Manual",$M161=$A$15),$M161&gt;(ROW(PLE.lastrow)-ROW(PLE.firstrow))),0,
           IF(OFFSET(PLE!$G$15,$M161-$A$15,AX$13)="",10^12,OFFSET(PLE!$G$15,$M161-$A$15,AX$13)))</f>
        <v>1000000000000</v>
      </c>
      <c r="AY161" s="172" cm="1">
        <f t="array" aca="1" ref="AY161" ca="1">IF(OR($D161&lt;&gt;"Serviço",AND(AUTOEVENTO="Manual",$M161=$A$15),$M161&gt;(ROW(PLE.lastrow)-ROW(PLE.firstrow))),0,
           IF(OFFSET(PLE!$G$15,$M161-$A$15,AY$13)="",10^12,OFFSET(PLE!$G$15,$M161-$A$15,AY$13)))</f>
        <v>1000000000000</v>
      </c>
      <c r="AZ161" s="172" cm="1">
        <f t="array" aca="1" ref="AZ161" ca="1">IF(OR($D161&lt;&gt;"Serviço",AND(AUTOEVENTO="Manual",$M161=$A$15),$M161&gt;(ROW(PLE.lastrow)-ROW(PLE.firstrow))),0,
           IF(OFFSET(PLE!$G$15,$M161-$A$15,AZ$13)="",10^12,OFFSET(PLE!$G$15,$M161-$A$15,AZ$13)))</f>
        <v>1000000000000</v>
      </c>
      <c r="BA161" s="172" cm="1">
        <f t="array" aca="1" ref="BA161" ca="1">IF(OR($D161&lt;&gt;"Serviço",AND(AUTOEVENTO="Manual",$M161=$A$15),$M161&gt;(ROW(PLE.lastrow)-ROW(PLE.firstrow))),0,
           IF(OFFSET(PLE!$G$15,$M161-$A$15,BA$13)="",10^12,OFFSET(PLE!$G$15,$M161-$A$15,BA$13)))</f>
        <v>1000000000000</v>
      </c>
      <c r="BB161" s="172" cm="1">
        <f t="array" aca="1" ref="BB161" ca="1">IF(OR($D161&lt;&gt;"Serviço",AND(AUTOEVENTO="Manual",$M161=$A$15),$M161&gt;(ROW(PLE.lastrow)-ROW(PLE.firstrow))),0,
           IF(OFFSET(PLE!$G$15,$M161-$A$15,BB$13)="",10^12,OFFSET(PLE!$G$15,$M161-$A$15,BB$13)))</f>
        <v>1000000000000</v>
      </c>
      <c r="BC161" s="172" cm="1">
        <f t="array" aca="1" ref="BC161" ca="1">IF(OR($D161&lt;&gt;"Serviço",AND(AUTOEVENTO="Manual",$M161=$A$15),$M161&gt;(ROW(PLE.lastrow)-ROW(PLE.firstrow))),0,
           IF(OFFSET(PLE!$G$15,$M161-$A$15,BC$13)="",10^12,OFFSET(PLE!$G$15,$M161-$A$15,BC$13)))</f>
        <v>1000000000000</v>
      </c>
      <c r="BD161" s="172" cm="1">
        <f t="array" aca="1" ref="BD161" ca="1">IF(OR($D161&lt;&gt;"Serviço",AND(AUTOEVENTO="Manual",$M161=$A$15),$M161&gt;(ROW(PLE.lastrow)-ROW(PLE.firstrow))),0,
           IF(OFFSET(PLE!$G$15,$M161-$A$15,BD$13)="",10^12,OFFSET(PLE!$G$15,$M161-$A$15,BD$13)))</f>
        <v>1000000000000</v>
      </c>
      <c r="BE161" s="172" cm="1">
        <f t="array" aca="1" ref="BE161" ca="1">IF(OR($D161&lt;&gt;"Serviço",AND(AUTOEVENTO="Manual",$M161=$A$15),$M161&gt;(ROW(PLE.lastrow)-ROW(PLE.firstrow))),0,
           IF(OFFSET(PLE!$G$15,$M161-$A$15,BE$13)="",10^12,OFFSET(PLE!$G$15,$M161-$A$15,BE$13)))</f>
        <v>1000000000000</v>
      </c>
      <c r="BF161" s="172" cm="1">
        <f t="array" aca="1" ref="BF161" ca="1">IF(OR($D161&lt;&gt;"Serviço",AND(AUTOEVENTO="Manual",$M161=$A$15),$M161&gt;(ROW(PLE.lastrow)-ROW(PLE.firstrow))),0,
           IF(OFFSET(PLE!$G$15,$M161-$A$15,BF$13)="",10^12,OFFSET(PLE!$G$15,$M161-$A$15,BF$13)))</f>
        <v>1000000000000</v>
      </c>
      <c r="BG161" s="172" cm="1">
        <f t="array" aca="1" ref="BG161" ca="1">IF(OR($D161&lt;&gt;"Serviço",AND(AUTOEVENTO="Manual",$M161=$A$15),$M161&gt;(ROW(PLE.lastrow)-ROW(PLE.firstrow))),0,
           IF(OFFSET(PLE!$G$15,$M161-$A$15,BG$13)="",10^12,OFFSET(PLE!$G$15,$M161-$A$15,BG$13)))</f>
        <v>1000000000000</v>
      </c>
    </row>
    <row r="162" spans="1:59" ht="12.75" x14ac:dyDescent="0.2">
      <c r="A162" s="7" t="str">
        <f t="shared" ca="1" si="8"/>
        <v>117</v>
      </c>
      <c r="B162" s="7">
        <f ca="1">OFFSET(ORÇAMENTO!C$15,$L162,0)</f>
        <v>3</v>
      </c>
      <c r="C162" s="7" t="str">
        <f ca="1">OFFSET(ORÇAMENTO!L$15,$L162,0)</f>
        <v>F</v>
      </c>
      <c r="D162" s="116" t="str">
        <f ca="1">OFFSET(ORÇAMENTO!N$15,$L162,0)</f>
        <v>Nível 3</v>
      </c>
      <c r="E162" s="117" t="str">
        <f ca="1">OFFSET(ORÇAMENTO!O$15,$L162,0)</f>
        <v>1.8.6.</v>
      </c>
      <c r="F162" s="163" t="str">
        <f ca="1">OFFSET(ORÇAMENTO!R$15,$L162,0)</f>
        <v>ÁGUA FRIA - REGISTROS E VÁLVULAS</v>
      </c>
      <c r="G162" s="164" t="str">
        <f ca="1">IF($D162&lt;&gt;"Serviço","",OFFSET(ORÇAMENTO!S$15,$L162,0))</f>
        <v/>
      </c>
      <c r="H162" s="122" cm="1">
        <f t="array" aca="1" ref="H162" ca="1">IF($D162&lt;&gt;"Serviço",0,IF(ACOMPANHAMENTO="BM",ROUND(OFFSET(ORÇAMENTO!AJ$15,$L162,0),15-13*ORÇAMENTO!$AF$7),IF(IFERROR(CÁLCULO.FrentesPreenchidas,0)=0,0,SUM(ROUND(OFFSET($P162,0,1,1,CÁLCULO.FrentesPreenchidas),15-13*ORÇAMENTO!$AF$7)))))</f>
        <v>0</v>
      </c>
      <c r="I162" s="468"/>
      <c r="J162" s="651"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2"/>
      <c r="L162" s="165">
        <f t="shared" ca="1" si="9"/>
        <v>147</v>
      </c>
      <c r="M162" s="166" t="str">
        <f ca="1">IF($D162&lt;&gt;"Serviço","",
          IF(AUTOEVENTO="manual",$A162,
                IF(ISERROR(MATCH($A162,$A$15:OFFSET($A162,-1,0),0)),MAX($M$15:OFFSET(M162,-1,0))+1,
                      INDEX($M$15:OFFSET(M162,-1,0),MATCH($A162,$A$15:OFFSET($A162,-1,0),0)))))</f>
        <v/>
      </c>
      <c r="N162" s="167" t="str">
        <f ca="1">IF($D162&lt;&gt;"Serviço","",
         IF(AUTOEVENTO="Manual",
                IF($A162=0,"&lt;-- defina o número do agrupador",
                       OFFSET(EVENTOS!$D$15,$A162-$A$15,0)),
                OFFSET($F$15,$A162,0)))</f>
        <v/>
      </c>
      <c r="O162" s="168"/>
      <c r="Q162" s="168"/>
      <c r="R162" s="169"/>
      <c r="S162" s="169"/>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0</v>
      </c>
      <c r="AN162" s="171">
        <f ca="1">IF(OR($D162&lt;&gt;"Serviço",AND(AUTOEVENTO="Manual",$M162=$A$15)),0,
         IF(OFFSET(CRONOPLE!$F$15,$M162-$A$15,AN$13)=0,10^12,OFFSET(CRONOPLE!$F$15,$M162-$A$15,AN$13)))</f>
        <v>0</v>
      </c>
      <c r="AO162" s="171">
        <f ca="1">IF(OR($D162&lt;&gt;"Serviço",AND(AUTOEVENTO="Manual",$M162=$A$15)),0,
         IF(OFFSET(CRONOPLE!$F$15,$M162-$A$15,AO$13)=0,10^12,OFFSET(CRONOPLE!$F$15,$M162-$A$15,AO$13)))</f>
        <v>0</v>
      </c>
      <c r="AP162" s="171">
        <f ca="1">IF(OR($D162&lt;&gt;"Serviço",AND(AUTOEVENTO="Manual",$M162=$A$15)),0,
         IF(OFFSET(CRONOPLE!$F$15,$M162-$A$15,AP$13)=0,10^12,OFFSET(CRONOPLE!$F$15,$M162-$A$15,AP$13)))</f>
        <v>0</v>
      </c>
      <c r="AQ162" s="171">
        <f ca="1">IF(OR($D162&lt;&gt;"Serviço",AND(AUTOEVENTO="Manual",$M162=$A$15)),0,
         IF(OFFSET(CRONOPLE!$F$15,$M162-$A$15,AQ$13)=0,10^12,OFFSET(CRONOPLE!$F$15,$M162-$A$15,AQ$13)))</f>
        <v>0</v>
      </c>
      <c r="AR162" s="171">
        <f ca="1">IF(OR($D162&lt;&gt;"Serviço",AND(AUTOEVENTO="Manual",$M162=$A$15)),0,
         IF(OFFSET(CRONOPLE!$F$15,$M162-$A$15,AR$13)=0,10^12,OFFSET(CRONOPLE!$F$15,$M162-$A$15,AR$13)))</f>
        <v>0</v>
      </c>
      <c r="AS162" s="171">
        <f ca="1">IF(OR($D162&lt;&gt;"Serviço",AND(AUTOEVENTO="Manual",$M162=$A$15)),0,
         IF(OFFSET(CRONOPLE!$F$15,$M162-$A$15,AS$13)=0,10^12,OFFSET(CRONOPLE!$F$15,$M162-$A$15,AS$13)))</f>
        <v>0</v>
      </c>
      <c r="AT162" s="171">
        <f ca="1">IF(OR($D162&lt;&gt;"Serviço",AND(AUTOEVENTO="Manual",$M162=$A$15)),0,
         IF(OFFSET(CRONOPLE!$F$15,$M162-$A$15,AT$13)=0,10^12,OFFSET(CRONOPLE!$F$15,$M162-$A$15,AT$13)))</f>
        <v>0</v>
      </c>
      <c r="AU162" s="171">
        <f ca="1">IF(OR($D162&lt;&gt;"Serviço",AND(AUTOEVENTO="Manual",$M162=$A$15)),0,
         IF(OFFSET(CRONOPLE!$F$15,$M162-$A$15,AU$13)=0,10^12,OFFSET(CRONOPLE!$F$15,$M162-$A$15,AU$13)))</f>
        <v>0</v>
      </c>
      <c r="AV162" s="171">
        <f ca="1">IF(OR($D162&lt;&gt;"Serviço",AND(AUTOEVENTO="Manual",$M162=$A$15)),0,
         IF(OFFSET(CRONOPLE!$F$15,$M162-$A$15,AV$13)=0,10^12,OFFSET(CRONOPLE!$F$15,$M162-$A$15,AV$13)))</f>
        <v>0</v>
      </c>
      <c r="AX162" s="172" cm="1">
        <f t="array" aca="1" ref="AX162" ca="1">IF(OR($D162&lt;&gt;"Serviço",AND(AUTOEVENTO="Manual",$M162=$A$15),$M162&gt;(ROW(PLE.lastrow)-ROW(PLE.firstrow))),0,
           IF(OFFSET(PLE!$G$15,$M162-$A$15,AX$13)="",10^12,OFFSET(PLE!$G$15,$M162-$A$15,AX$13)))</f>
        <v>0</v>
      </c>
      <c r="AY162" s="172" cm="1">
        <f t="array" aca="1" ref="AY162" ca="1">IF(OR($D162&lt;&gt;"Serviço",AND(AUTOEVENTO="Manual",$M162=$A$15),$M162&gt;(ROW(PLE.lastrow)-ROW(PLE.firstrow))),0,
           IF(OFFSET(PLE!$G$15,$M162-$A$15,AY$13)="",10^12,OFFSET(PLE!$G$15,$M162-$A$15,AY$13)))</f>
        <v>0</v>
      </c>
      <c r="AZ162" s="172" cm="1">
        <f t="array" aca="1" ref="AZ162" ca="1">IF(OR($D162&lt;&gt;"Serviço",AND(AUTOEVENTO="Manual",$M162=$A$15),$M162&gt;(ROW(PLE.lastrow)-ROW(PLE.firstrow))),0,
           IF(OFFSET(PLE!$G$15,$M162-$A$15,AZ$13)="",10^12,OFFSET(PLE!$G$15,$M162-$A$15,AZ$13)))</f>
        <v>0</v>
      </c>
      <c r="BA162" s="172" cm="1">
        <f t="array" aca="1" ref="BA162" ca="1">IF(OR($D162&lt;&gt;"Serviço",AND(AUTOEVENTO="Manual",$M162=$A$15),$M162&gt;(ROW(PLE.lastrow)-ROW(PLE.firstrow))),0,
           IF(OFFSET(PLE!$G$15,$M162-$A$15,BA$13)="",10^12,OFFSET(PLE!$G$15,$M162-$A$15,BA$13)))</f>
        <v>0</v>
      </c>
      <c r="BB162" s="172" cm="1">
        <f t="array" aca="1" ref="BB162" ca="1">IF(OR($D162&lt;&gt;"Serviço",AND(AUTOEVENTO="Manual",$M162=$A$15),$M162&gt;(ROW(PLE.lastrow)-ROW(PLE.firstrow))),0,
           IF(OFFSET(PLE!$G$15,$M162-$A$15,BB$13)="",10^12,OFFSET(PLE!$G$15,$M162-$A$15,BB$13)))</f>
        <v>0</v>
      </c>
      <c r="BC162" s="172" cm="1">
        <f t="array" aca="1" ref="BC162" ca="1">IF(OR($D162&lt;&gt;"Serviço",AND(AUTOEVENTO="Manual",$M162=$A$15),$M162&gt;(ROW(PLE.lastrow)-ROW(PLE.firstrow))),0,
           IF(OFFSET(PLE!$G$15,$M162-$A$15,BC$13)="",10^12,OFFSET(PLE!$G$15,$M162-$A$15,BC$13)))</f>
        <v>0</v>
      </c>
      <c r="BD162" s="172" cm="1">
        <f t="array" aca="1" ref="BD162" ca="1">IF(OR($D162&lt;&gt;"Serviço",AND(AUTOEVENTO="Manual",$M162=$A$15),$M162&gt;(ROW(PLE.lastrow)-ROW(PLE.firstrow))),0,
           IF(OFFSET(PLE!$G$15,$M162-$A$15,BD$13)="",10^12,OFFSET(PLE!$G$15,$M162-$A$15,BD$13)))</f>
        <v>0</v>
      </c>
      <c r="BE162" s="172" cm="1">
        <f t="array" aca="1" ref="BE162" ca="1">IF(OR($D162&lt;&gt;"Serviço",AND(AUTOEVENTO="Manual",$M162=$A$15),$M162&gt;(ROW(PLE.lastrow)-ROW(PLE.firstrow))),0,
           IF(OFFSET(PLE!$G$15,$M162-$A$15,BE$13)="",10^12,OFFSET(PLE!$G$15,$M162-$A$15,BE$13)))</f>
        <v>0</v>
      </c>
      <c r="BF162" s="172" cm="1">
        <f t="array" aca="1" ref="BF162" ca="1">IF(OR($D162&lt;&gt;"Serviço",AND(AUTOEVENTO="Manual",$M162=$A$15),$M162&gt;(ROW(PLE.lastrow)-ROW(PLE.firstrow))),0,
           IF(OFFSET(PLE!$G$15,$M162-$A$15,BF$13)="",10^12,OFFSET(PLE!$G$15,$M162-$A$15,BF$13)))</f>
        <v>0</v>
      </c>
      <c r="BG162" s="172" cm="1">
        <f t="array" aca="1" ref="BG162" ca="1">IF(OR($D162&lt;&gt;"Serviço",AND(AUTOEVENTO="Manual",$M162=$A$15),$M162&gt;(ROW(PLE.lastrow)-ROW(PLE.firstrow))),0,
           IF(OFFSET(PLE!$G$15,$M162-$A$15,BG$13)="",10^12,OFFSET(PLE!$G$15,$M162-$A$15,BG$13)))</f>
        <v>0</v>
      </c>
    </row>
    <row r="163" spans="1:59" ht="25.5" x14ac:dyDescent="0.2">
      <c r="A163" s="7" t="str">
        <f t="shared" ca="1" si="8"/>
        <v>117</v>
      </c>
      <c r="B163" s="7" t="str">
        <f ca="1">OFFSET(ORÇAMENTO!C$15,$L163,0)</f>
        <v>S</v>
      </c>
      <c r="C163" s="7" t="str">
        <f ca="1">OFFSET(ORÇAMENTO!L$15,$L163,0)</f>
        <v>F</v>
      </c>
      <c r="D163" s="116" t="str">
        <f ca="1">OFFSET(ORÇAMENTO!N$15,$L163,0)</f>
        <v>Serviço</v>
      </c>
      <c r="E163" s="117" t="str">
        <f ca="1">OFFSET(ORÇAMENTO!O$15,$L163,0)</f>
        <v>1.8.6.0.1.</v>
      </c>
      <c r="F163" s="163" t="str">
        <f ca="1">OFFSET(ORÇAMENTO!R$15,$L163,0)</f>
        <v>REGISTRO DE ESFERA, PVC, SOLDÁVEL, COM VOLANTE, DN 25 MM - FORNECIMENTO E INSTALAÇÃO. AF_08/2021</v>
      </c>
      <c r="G163" s="164" t="str">
        <f ca="1">IF($D163&lt;&gt;"Serviço","",OFFSET(ORÇAMENTO!S$15,$L163,0))</f>
        <v>UN</v>
      </c>
      <c r="H163" s="122" cm="1">
        <f t="array" aca="1" ref="H163" ca="1">IF($D163&lt;&gt;"Serviço",0,IF(ACOMPANHAMENTO="BM",ROUND(OFFSET(ORÇAMENTO!AJ$15,$L163,0),15-13*ORÇAMENTO!$AF$7),IF(IFERROR(CÁLCULO.FrentesPreenchidas,0)=0,0,SUM(ROUND(OFFSET($P163,0,1,1,CÁLCULO.FrentesPreenchidas),15-13*ORÇAMENTO!$AF$7)))))</f>
        <v>90</v>
      </c>
      <c r="I163" s="468"/>
      <c r="J163" s="651"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2"/>
      <c r="L163" s="165">
        <f t="shared" ca="1" si="9"/>
        <v>148</v>
      </c>
      <c r="M163" s="166">
        <f ca="1">IF($D163&lt;&gt;"Serviço","",
          IF(AUTOEVENTO="manual",$A163,
                IF(ISERROR(MATCH($A163,$A$15:OFFSET($A163,-1,0),0)),MAX($M$15:OFFSET(M163,-1,0))+1,
                      INDEX($M$15:OFFSET(M163,-1,0),MATCH($A163,$A$15:OFFSET($A163,-1,0),0)))))</f>
        <v>8</v>
      </c>
      <c r="N163" s="167" t="str">
        <f ca="1">IF($D163&lt;&gt;"Serviço","",
         IF(AUTOEVENTO="Manual",
                IF($A163=0,"&lt;-- defina o número do agrupador",
                       OFFSET(EVENTOS!$D$15,$A163-$A$15,0)),
                OFFSET($F$15,$A163,0)))</f>
        <v>INSTALAÇÕES HIDROSSANITARIAS</v>
      </c>
      <c r="O163" s="168"/>
      <c r="Q163" s="168"/>
      <c r="R163" s="169"/>
      <c r="S163" s="169"/>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1000000000000</v>
      </c>
      <c r="AN163" s="171">
        <f ca="1">IF(OR($D163&lt;&gt;"Serviço",AND(AUTOEVENTO="Manual",$M163=$A$15)),0,
         IF(OFFSET(CRONOPLE!$F$15,$M163-$A$15,AN$13)=0,10^12,OFFSET(CRONOPLE!$F$15,$M163-$A$15,AN$13)))</f>
        <v>1000000000000</v>
      </c>
      <c r="AO163" s="171">
        <f ca="1">IF(OR($D163&lt;&gt;"Serviço",AND(AUTOEVENTO="Manual",$M163=$A$15)),0,
         IF(OFFSET(CRONOPLE!$F$15,$M163-$A$15,AO$13)=0,10^12,OFFSET(CRONOPLE!$F$15,$M163-$A$15,AO$13)))</f>
        <v>1000000000000</v>
      </c>
      <c r="AP163" s="171">
        <f ca="1">IF(OR($D163&lt;&gt;"Serviço",AND(AUTOEVENTO="Manual",$M163=$A$15)),0,
         IF(OFFSET(CRONOPLE!$F$15,$M163-$A$15,AP$13)=0,10^12,OFFSET(CRONOPLE!$F$15,$M163-$A$15,AP$13)))</f>
        <v>1000000000000</v>
      </c>
      <c r="AQ163" s="171">
        <f ca="1">IF(OR($D163&lt;&gt;"Serviço",AND(AUTOEVENTO="Manual",$M163=$A$15)),0,
         IF(OFFSET(CRONOPLE!$F$15,$M163-$A$15,AQ$13)=0,10^12,OFFSET(CRONOPLE!$F$15,$M163-$A$15,AQ$13)))</f>
        <v>1000000000000</v>
      </c>
      <c r="AR163" s="171">
        <f ca="1">IF(OR($D163&lt;&gt;"Serviço",AND(AUTOEVENTO="Manual",$M163=$A$15)),0,
         IF(OFFSET(CRONOPLE!$F$15,$M163-$A$15,AR$13)=0,10^12,OFFSET(CRONOPLE!$F$15,$M163-$A$15,AR$13)))</f>
        <v>1000000000000</v>
      </c>
      <c r="AS163" s="171">
        <f ca="1">IF(OR($D163&lt;&gt;"Serviço",AND(AUTOEVENTO="Manual",$M163=$A$15)),0,
         IF(OFFSET(CRONOPLE!$F$15,$M163-$A$15,AS$13)=0,10^12,OFFSET(CRONOPLE!$F$15,$M163-$A$15,AS$13)))</f>
        <v>1000000000000</v>
      </c>
      <c r="AT163" s="171">
        <f ca="1">IF(OR($D163&lt;&gt;"Serviço",AND(AUTOEVENTO="Manual",$M163=$A$15)),0,
         IF(OFFSET(CRONOPLE!$F$15,$M163-$A$15,AT$13)=0,10^12,OFFSET(CRONOPLE!$F$15,$M163-$A$15,AT$13)))</f>
        <v>1000000000000</v>
      </c>
      <c r="AU163" s="171">
        <f ca="1">IF(OR($D163&lt;&gt;"Serviço",AND(AUTOEVENTO="Manual",$M163=$A$15)),0,
         IF(OFFSET(CRONOPLE!$F$15,$M163-$A$15,AU$13)=0,10^12,OFFSET(CRONOPLE!$F$15,$M163-$A$15,AU$13)))</f>
        <v>1000000000000</v>
      </c>
      <c r="AV163" s="171">
        <f ca="1">IF(OR($D163&lt;&gt;"Serviço",AND(AUTOEVENTO="Manual",$M163=$A$15)),0,
         IF(OFFSET(CRONOPLE!$F$15,$M163-$A$15,AV$13)=0,10^12,OFFSET(CRONOPLE!$F$15,$M163-$A$15,AV$13)))</f>
        <v>1000000000000</v>
      </c>
      <c r="AX163" s="172" cm="1">
        <f t="array" aca="1" ref="AX163" ca="1">IF(OR($D163&lt;&gt;"Serviço",AND(AUTOEVENTO="Manual",$M163=$A$15),$M163&gt;(ROW(PLE.lastrow)-ROW(PLE.firstrow))),0,
           IF(OFFSET(PLE!$G$15,$M163-$A$15,AX$13)="",10^12,OFFSET(PLE!$G$15,$M163-$A$15,AX$13)))</f>
        <v>1000000000000</v>
      </c>
      <c r="AY163" s="172" cm="1">
        <f t="array" aca="1" ref="AY163" ca="1">IF(OR($D163&lt;&gt;"Serviço",AND(AUTOEVENTO="Manual",$M163=$A$15),$M163&gt;(ROW(PLE.lastrow)-ROW(PLE.firstrow))),0,
           IF(OFFSET(PLE!$G$15,$M163-$A$15,AY$13)="",10^12,OFFSET(PLE!$G$15,$M163-$A$15,AY$13)))</f>
        <v>1000000000000</v>
      </c>
      <c r="AZ163" s="172" cm="1">
        <f t="array" aca="1" ref="AZ163" ca="1">IF(OR($D163&lt;&gt;"Serviço",AND(AUTOEVENTO="Manual",$M163=$A$15),$M163&gt;(ROW(PLE.lastrow)-ROW(PLE.firstrow))),0,
           IF(OFFSET(PLE!$G$15,$M163-$A$15,AZ$13)="",10^12,OFFSET(PLE!$G$15,$M163-$A$15,AZ$13)))</f>
        <v>1000000000000</v>
      </c>
      <c r="BA163" s="172" cm="1">
        <f t="array" aca="1" ref="BA163" ca="1">IF(OR($D163&lt;&gt;"Serviço",AND(AUTOEVENTO="Manual",$M163=$A$15),$M163&gt;(ROW(PLE.lastrow)-ROW(PLE.firstrow))),0,
           IF(OFFSET(PLE!$G$15,$M163-$A$15,BA$13)="",10^12,OFFSET(PLE!$G$15,$M163-$A$15,BA$13)))</f>
        <v>1000000000000</v>
      </c>
      <c r="BB163" s="172" cm="1">
        <f t="array" aca="1" ref="BB163" ca="1">IF(OR($D163&lt;&gt;"Serviço",AND(AUTOEVENTO="Manual",$M163=$A$15),$M163&gt;(ROW(PLE.lastrow)-ROW(PLE.firstrow))),0,
           IF(OFFSET(PLE!$G$15,$M163-$A$15,BB$13)="",10^12,OFFSET(PLE!$G$15,$M163-$A$15,BB$13)))</f>
        <v>1000000000000</v>
      </c>
      <c r="BC163" s="172" cm="1">
        <f t="array" aca="1" ref="BC163" ca="1">IF(OR($D163&lt;&gt;"Serviço",AND(AUTOEVENTO="Manual",$M163=$A$15),$M163&gt;(ROW(PLE.lastrow)-ROW(PLE.firstrow))),0,
           IF(OFFSET(PLE!$G$15,$M163-$A$15,BC$13)="",10^12,OFFSET(PLE!$G$15,$M163-$A$15,BC$13)))</f>
        <v>1000000000000</v>
      </c>
      <c r="BD163" s="172" cm="1">
        <f t="array" aca="1" ref="BD163" ca="1">IF(OR($D163&lt;&gt;"Serviço",AND(AUTOEVENTO="Manual",$M163=$A$15),$M163&gt;(ROW(PLE.lastrow)-ROW(PLE.firstrow))),0,
           IF(OFFSET(PLE!$G$15,$M163-$A$15,BD$13)="",10^12,OFFSET(PLE!$G$15,$M163-$A$15,BD$13)))</f>
        <v>1000000000000</v>
      </c>
      <c r="BE163" s="172" cm="1">
        <f t="array" aca="1" ref="BE163" ca="1">IF(OR($D163&lt;&gt;"Serviço",AND(AUTOEVENTO="Manual",$M163=$A$15),$M163&gt;(ROW(PLE.lastrow)-ROW(PLE.firstrow))),0,
           IF(OFFSET(PLE!$G$15,$M163-$A$15,BE$13)="",10^12,OFFSET(PLE!$G$15,$M163-$A$15,BE$13)))</f>
        <v>1000000000000</v>
      </c>
      <c r="BF163" s="172" cm="1">
        <f t="array" aca="1" ref="BF163" ca="1">IF(OR($D163&lt;&gt;"Serviço",AND(AUTOEVENTO="Manual",$M163=$A$15),$M163&gt;(ROW(PLE.lastrow)-ROW(PLE.firstrow))),0,
           IF(OFFSET(PLE!$G$15,$M163-$A$15,BF$13)="",10^12,OFFSET(PLE!$G$15,$M163-$A$15,BF$13)))</f>
        <v>1000000000000</v>
      </c>
      <c r="BG163" s="172" cm="1">
        <f t="array" aca="1" ref="BG163" ca="1">IF(OR($D163&lt;&gt;"Serviço",AND(AUTOEVENTO="Manual",$M163=$A$15),$M163&gt;(ROW(PLE.lastrow)-ROW(PLE.firstrow))),0,
           IF(OFFSET(PLE!$G$15,$M163-$A$15,BG$13)="",10^12,OFFSET(PLE!$G$15,$M163-$A$15,BG$13)))</f>
        <v>1000000000000</v>
      </c>
    </row>
    <row r="164" spans="1:59" ht="38.25" x14ac:dyDescent="0.2">
      <c r="A164" s="7" t="str">
        <f t="shared" ca="1" si="8"/>
        <v>117</v>
      </c>
      <c r="B164" s="7" t="str">
        <f ca="1">OFFSET(ORÇAMENTO!C$15,$L164,0)</f>
        <v>S</v>
      </c>
      <c r="C164" s="7" t="str">
        <f ca="1">OFFSET(ORÇAMENTO!L$15,$L164,0)</f>
        <v>F</v>
      </c>
      <c r="D164" s="116" t="str">
        <f ca="1">OFFSET(ORÇAMENTO!N$15,$L164,0)</f>
        <v>Serviço</v>
      </c>
      <c r="E164" s="117" t="str">
        <f ca="1">OFFSET(ORÇAMENTO!O$15,$L164,0)</f>
        <v>1.8.6.0.2.</v>
      </c>
      <c r="F164" s="163" t="str">
        <f ca="1">OFFSET(ORÇAMENTO!R$15,$L164,0)</f>
        <v>REGISTRO DE PRESSÃO BRUTO, LATÃO, ROSCÁVEL, 3/4", COM ACABAMENTO E CANOPLA CROMADOS - FORNECIMENTO E INSTALAÇÃO. AF_08/2021</v>
      </c>
      <c r="G164" s="164" t="str">
        <f ca="1">IF($D164&lt;&gt;"Serviço","",OFFSET(ORÇAMENTO!S$15,$L164,0))</f>
        <v>UN</v>
      </c>
      <c r="H164" s="122" cm="1">
        <f t="array" aca="1" ref="H164" ca="1">IF($D164&lt;&gt;"Serviço",0,IF(ACOMPANHAMENTO="BM",ROUND(OFFSET(ORÇAMENTO!AJ$15,$L164,0),15-13*ORÇAMENTO!$AF$7),IF(IFERROR(CÁLCULO.FrentesPreenchidas,0)=0,0,SUM(ROUND(OFFSET($P164,0,1,1,CÁLCULO.FrentesPreenchidas),15-13*ORÇAMENTO!$AF$7)))))</f>
        <v>30</v>
      </c>
      <c r="I164" s="468"/>
      <c r="J164" s="651"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2"/>
      <c r="L164" s="165">
        <f t="shared" ca="1" si="9"/>
        <v>149</v>
      </c>
      <c r="M164" s="166">
        <f ca="1">IF($D164&lt;&gt;"Serviço","",
          IF(AUTOEVENTO="manual",$A164,
                IF(ISERROR(MATCH($A164,$A$15:OFFSET($A164,-1,0),0)),MAX($M$15:OFFSET(M164,-1,0))+1,
                      INDEX($M$15:OFFSET(M164,-1,0),MATCH($A164,$A$15:OFFSET($A164,-1,0),0)))))</f>
        <v>8</v>
      </c>
      <c r="N164" s="167" t="str">
        <f ca="1">IF($D164&lt;&gt;"Serviço","",
         IF(AUTOEVENTO="Manual",
                IF($A164=0,"&lt;-- defina o número do agrupador",
                       OFFSET(EVENTOS!$D$15,$A164-$A$15,0)),
                OFFSET($F$15,$A164,0)))</f>
        <v>INSTALAÇÕES HIDROSSANITARIAS</v>
      </c>
      <c r="O164" s="168"/>
      <c r="Q164" s="168"/>
      <c r="R164" s="169"/>
      <c r="S164" s="169"/>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1000000000000</v>
      </c>
      <c r="AN164" s="171">
        <f ca="1">IF(OR($D164&lt;&gt;"Serviço",AND(AUTOEVENTO="Manual",$M164=$A$15)),0,
         IF(OFFSET(CRONOPLE!$F$15,$M164-$A$15,AN$13)=0,10^12,OFFSET(CRONOPLE!$F$15,$M164-$A$15,AN$13)))</f>
        <v>1000000000000</v>
      </c>
      <c r="AO164" s="171">
        <f ca="1">IF(OR($D164&lt;&gt;"Serviço",AND(AUTOEVENTO="Manual",$M164=$A$15)),0,
         IF(OFFSET(CRONOPLE!$F$15,$M164-$A$15,AO$13)=0,10^12,OFFSET(CRONOPLE!$F$15,$M164-$A$15,AO$13)))</f>
        <v>1000000000000</v>
      </c>
      <c r="AP164" s="171">
        <f ca="1">IF(OR($D164&lt;&gt;"Serviço",AND(AUTOEVENTO="Manual",$M164=$A$15)),0,
         IF(OFFSET(CRONOPLE!$F$15,$M164-$A$15,AP$13)=0,10^12,OFFSET(CRONOPLE!$F$15,$M164-$A$15,AP$13)))</f>
        <v>1000000000000</v>
      </c>
      <c r="AQ164" s="171">
        <f ca="1">IF(OR($D164&lt;&gt;"Serviço",AND(AUTOEVENTO="Manual",$M164=$A$15)),0,
         IF(OFFSET(CRONOPLE!$F$15,$M164-$A$15,AQ$13)=0,10^12,OFFSET(CRONOPLE!$F$15,$M164-$A$15,AQ$13)))</f>
        <v>1000000000000</v>
      </c>
      <c r="AR164" s="171">
        <f ca="1">IF(OR($D164&lt;&gt;"Serviço",AND(AUTOEVENTO="Manual",$M164=$A$15)),0,
         IF(OFFSET(CRONOPLE!$F$15,$M164-$A$15,AR$13)=0,10^12,OFFSET(CRONOPLE!$F$15,$M164-$A$15,AR$13)))</f>
        <v>1000000000000</v>
      </c>
      <c r="AS164" s="171">
        <f ca="1">IF(OR($D164&lt;&gt;"Serviço",AND(AUTOEVENTO="Manual",$M164=$A$15)),0,
         IF(OFFSET(CRONOPLE!$F$15,$M164-$A$15,AS$13)=0,10^12,OFFSET(CRONOPLE!$F$15,$M164-$A$15,AS$13)))</f>
        <v>1000000000000</v>
      </c>
      <c r="AT164" s="171">
        <f ca="1">IF(OR($D164&lt;&gt;"Serviço",AND(AUTOEVENTO="Manual",$M164=$A$15)),0,
         IF(OFFSET(CRONOPLE!$F$15,$M164-$A$15,AT$13)=0,10^12,OFFSET(CRONOPLE!$F$15,$M164-$A$15,AT$13)))</f>
        <v>1000000000000</v>
      </c>
      <c r="AU164" s="171">
        <f ca="1">IF(OR($D164&lt;&gt;"Serviço",AND(AUTOEVENTO="Manual",$M164=$A$15)),0,
         IF(OFFSET(CRONOPLE!$F$15,$M164-$A$15,AU$13)=0,10^12,OFFSET(CRONOPLE!$F$15,$M164-$A$15,AU$13)))</f>
        <v>1000000000000</v>
      </c>
      <c r="AV164" s="171">
        <f ca="1">IF(OR($D164&lt;&gt;"Serviço",AND(AUTOEVENTO="Manual",$M164=$A$15)),0,
         IF(OFFSET(CRONOPLE!$F$15,$M164-$A$15,AV$13)=0,10^12,OFFSET(CRONOPLE!$F$15,$M164-$A$15,AV$13)))</f>
        <v>1000000000000</v>
      </c>
      <c r="AX164" s="172" cm="1">
        <f t="array" aca="1" ref="AX164" ca="1">IF(OR($D164&lt;&gt;"Serviço",AND(AUTOEVENTO="Manual",$M164=$A$15),$M164&gt;(ROW(PLE.lastrow)-ROW(PLE.firstrow))),0,
           IF(OFFSET(PLE!$G$15,$M164-$A$15,AX$13)="",10^12,OFFSET(PLE!$G$15,$M164-$A$15,AX$13)))</f>
        <v>1000000000000</v>
      </c>
      <c r="AY164" s="172" cm="1">
        <f t="array" aca="1" ref="AY164" ca="1">IF(OR($D164&lt;&gt;"Serviço",AND(AUTOEVENTO="Manual",$M164=$A$15),$M164&gt;(ROW(PLE.lastrow)-ROW(PLE.firstrow))),0,
           IF(OFFSET(PLE!$G$15,$M164-$A$15,AY$13)="",10^12,OFFSET(PLE!$G$15,$M164-$A$15,AY$13)))</f>
        <v>1000000000000</v>
      </c>
      <c r="AZ164" s="172" cm="1">
        <f t="array" aca="1" ref="AZ164" ca="1">IF(OR($D164&lt;&gt;"Serviço",AND(AUTOEVENTO="Manual",$M164=$A$15),$M164&gt;(ROW(PLE.lastrow)-ROW(PLE.firstrow))),0,
           IF(OFFSET(PLE!$G$15,$M164-$A$15,AZ$13)="",10^12,OFFSET(PLE!$G$15,$M164-$A$15,AZ$13)))</f>
        <v>1000000000000</v>
      </c>
      <c r="BA164" s="172" cm="1">
        <f t="array" aca="1" ref="BA164" ca="1">IF(OR($D164&lt;&gt;"Serviço",AND(AUTOEVENTO="Manual",$M164=$A$15),$M164&gt;(ROW(PLE.lastrow)-ROW(PLE.firstrow))),0,
           IF(OFFSET(PLE!$G$15,$M164-$A$15,BA$13)="",10^12,OFFSET(PLE!$G$15,$M164-$A$15,BA$13)))</f>
        <v>1000000000000</v>
      </c>
      <c r="BB164" s="172" cm="1">
        <f t="array" aca="1" ref="BB164" ca="1">IF(OR($D164&lt;&gt;"Serviço",AND(AUTOEVENTO="Manual",$M164=$A$15),$M164&gt;(ROW(PLE.lastrow)-ROW(PLE.firstrow))),0,
           IF(OFFSET(PLE!$G$15,$M164-$A$15,BB$13)="",10^12,OFFSET(PLE!$G$15,$M164-$A$15,BB$13)))</f>
        <v>1000000000000</v>
      </c>
      <c r="BC164" s="172" cm="1">
        <f t="array" aca="1" ref="BC164" ca="1">IF(OR($D164&lt;&gt;"Serviço",AND(AUTOEVENTO="Manual",$M164=$A$15),$M164&gt;(ROW(PLE.lastrow)-ROW(PLE.firstrow))),0,
           IF(OFFSET(PLE!$G$15,$M164-$A$15,BC$13)="",10^12,OFFSET(PLE!$G$15,$M164-$A$15,BC$13)))</f>
        <v>1000000000000</v>
      </c>
      <c r="BD164" s="172" cm="1">
        <f t="array" aca="1" ref="BD164" ca="1">IF(OR($D164&lt;&gt;"Serviço",AND(AUTOEVENTO="Manual",$M164=$A$15),$M164&gt;(ROW(PLE.lastrow)-ROW(PLE.firstrow))),0,
           IF(OFFSET(PLE!$G$15,$M164-$A$15,BD$13)="",10^12,OFFSET(PLE!$G$15,$M164-$A$15,BD$13)))</f>
        <v>1000000000000</v>
      </c>
      <c r="BE164" s="172" cm="1">
        <f t="array" aca="1" ref="BE164" ca="1">IF(OR($D164&lt;&gt;"Serviço",AND(AUTOEVENTO="Manual",$M164=$A$15),$M164&gt;(ROW(PLE.lastrow)-ROW(PLE.firstrow))),0,
           IF(OFFSET(PLE!$G$15,$M164-$A$15,BE$13)="",10^12,OFFSET(PLE!$G$15,$M164-$A$15,BE$13)))</f>
        <v>1000000000000</v>
      </c>
      <c r="BF164" s="172" cm="1">
        <f t="array" aca="1" ref="BF164" ca="1">IF(OR($D164&lt;&gt;"Serviço",AND(AUTOEVENTO="Manual",$M164=$A$15),$M164&gt;(ROW(PLE.lastrow)-ROW(PLE.firstrow))),0,
           IF(OFFSET(PLE!$G$15,$M164-$A$15,BF$13)="",10^12,OFFSET(PLE!$G$15,$M164-$A$15,BF$13)))</f>
        <v>1000000000000</v>
      </c>
      <c r="BG164" s="172" cm="1">
        <f t="array" aca="1" ref="BG164" ca="1">IF(OR($D164&lt;&gt;"Serviço",AND(AUTOEVENTO="Manual",$M164=$A$15),$M164&gt;(ROW(PLE.lastrow)-ROW(PLE.firstrow))),0,
           IF(OFFSET(PLE!$G$15,$M164-$A$15,BG$13)="",10^12,OFFSET(PLE!$G$15,$M164-$A$15,BG$13)))</f>
        <v>1000000000000</v>
      </c>
    </row>
    <row r="165" spans="1:59" ht="25.5" x14ac:dyDescent="0.2">
      <c r="A165" s="7" t="str">
        <f t="shared" ca="1" si="8"/>
        <v>117</v>
      </c>
      <c r="B165" s="7" t="str">
        <f ca="1">OFFSET(ORÇAMENTO!C$15,$L165,0)</f>
        <v>S</v>
      </c>
      <c r="C165" s="7" t="str">
        <f ca="1">OFFSET(ORÇAMENTO!L$15,$L165,0)</f>
        <v>F</v>
      </c>
      <c r="D165" s="116" t="str">
        <f ca="1">OFFSET(ORÇAMENTO!N$15,$L165,0)</f>
        <v>Serviço</v>
      </c>
      <c r="E165" s="117" t="str">
        <f ca="1">OFFSET(ORÇAMENTO!O$15,$L165,0)</f>
        <v>1.8.6.0.3.</v>
      </c>
      <c r="F165" s="163" t="str">
        <f ca="1">OFFSET(ORÇAMENTO!R$15,$L165,0)</f>
        <v>REGISTRO DE GAVETA BRUTO, LATÃO, ROSCÁVEL, 1" - FORNECIMENTO E INSTALAÇÃO. AF_08/2021</v>
      </c>
      <c r="G165" s="164" t="str">
        <f ca="1">IF($D165&lt;&gt;"Serviço","",OFFSET(ORÇAMENTO!S$15,$L165,0))</f>
        <v>UN</v>
      </c>
      <c r="H165" s="122" cm="1">
        <f t="array" aca="1" ref="H165" ca="1">IF($D165&lt;&gt;"Serviço",0,IF(ACOMPANHAMENTO="BM",ROUND(OFFSET(ORÇAMENTO!AJ$15,$L165,0),15-13*ORÇAMENTO!$AF$7),IF(IFERROR(CÁLCULO.FrentesPreenchidas,0)=0,0,SUM(ROUND(OFFSET($P165,0,1,1,CÁLCULO.FrentesPreenchidas),15-13*ORÇAMENTO!$AF$7)))))</f>
        <v>60</v>
      </c>
      <c r="I165" s="468"/>
      <c r="J165" s="651"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
      </c>
      <c r="K165" s="652"/>
      <c r="L165" s="165">
        <f t="shared" ca="1" si="9"/>
        <v>150</v>
      </c>
      <c r="M165" s="166">
        <f ca="1">IF($D165&lt;&gt;"Serviço","",
          IF(AUTOEVENTO="manual",$A165,
                IF(ISERROR(MATCH($A165,$A$15:OFFSET($A165,-1,0),0)),MAX($M$15:OFFSET(M165,-1,0))+1,
                      INDEX($M$15:OFFSET(M165,-1,0),MATCH($A165,$A$15:OFFSET($A165,-1,0),0)))))</f>
        <v>8</v>
      </c>
      <c r="N165" s="167" t="str">
        <f ca="1">IF($D165&lt;&gt;"Serviço","",
         IF(AUTOEVENTO="Manual",
                IF($A165=0,"&lt;-- defina o número do agrupador",
                       OFFSET(EVENTOS!$D$15,$A165-$A$15,0)),
                OFFSET($F$15,$A165,0)))</f>
        <v>INSTALAÇÕES HIDROSSANITARIAS</v>
      </c>
      <c r="O165" s="168"/>
      <c r="Q165" s="168"/>
      <c r="R165" s="169"/>
      <c r="S165" s="169"/>
      <c r="T165" s="169"/>
      <c r="U165" s="169"/>
      <c r="V165" s="169"/>
      <c r="W165" s="169"/>
      <c r="X165" s="169"/>
      <c r="Y165" s="169"/>
      <c r="Z165" s="170"/>
      <c r="AB165" s="453">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3">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3">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3">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3">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3">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3">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3">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1">
        <f ca="1">IF(OR($D165&lt;&gt;"Serviço",AND(AUTOEVENTO="Manual",$M165=$A$15)),0,
         IF(OFFSET(CRONOPLE!$F$15,$M165-$A$15,AM$13)=0,10^12,OFFSET(CRONOPLE!$F$15,$M165-$A$15,AM$13)))</f>
        <v>1000000000000</v>
      </c>
      <c r="AN165" s="171">
        <f ca="1">IF(OR($D165&lt;&gt;"Serviço",AND(AUTOEVENTO="Manual",$M165=$A$15)),0,
         IF(OFFSET(CRONOPLE!$F$15,$M165-$A$15,AN$13)=0,10^12,OFFSET(CRONOPLE!$F$15,$M165-$A$15,AN$13)))</f>
        <v>1000000000000</v>
      </c>
      <c r="AO165" s="171">
        <f ca="1">IF(OR($D165&lt;&gt;"Serviço",AND(AUTOEVENTO="Manual",$M165=$A$15)),0,
         IF(OFFSET(CRONOPLE!$F$15,$M165-$A$15,AO$13)=0,10^12,OFFSET(CRONOPLE!$F$15,$M165-$A$15,AO$13)))</f>
        <v>1000000000000</v>
      </c>
      <c r="AP165" s="171">
        <f ca="1">IF(OR($D165&lt;&gt;"Serviço",AND(AUTOEVENTO="Manual",$M165=$A$15)),0,
         IF(OFFSET(CRONOPLE!$F$15,$M165-$A$15,AP$13)=0,10^12,OFFSET(CRONOPLE!$F$15,$M165-$A$15,AP$13)))</f>
        <v>1000000000000</v>
      </c>
      <c r="AQ165" s="171">
        <f ca="1">IF(OR($D165&lt;&gt;"Serviço",AND(AUTOEVENTO="Manual",$M165=$A$15)),0,
         IF(OFFSET(CRONOPLE!$F$15,$M165-$A$15,AQ$13)=0,10^12,OFFSET(CRONOPLE!$F$15,$M165-$A$15,AQ$13)))</f>
        <v>1000000000000</v>
      </c>
      <c r="AR165" s="171">
        <f ca="1">IF(OR($D165&lt;&gt;"Serviço",AND(AUTOEVENTO="Manual",$M165=$A$15)),0,
         IF(OFFSET(CRONOPLE!$F$15,$M165-$A$15,AR$13)=0,10^12,OFFSET(CRONOPLE!$F$15,$M165-$A$15,AR$13)))</f>
        <v>1000000000000</v>
      </c>
      <c r="AS165" s="171">
        <f ca="1">IF(OR($D165&lt;&gt;"Serviço",AND(AUTOEVENTO="Manual",$M165=$A$15)),0,
         IF(OFFSET(CRONOPLE!$F$15,$M165-$A$15,AS$13)=0,10^12,OFFSET(CRONOPLE!$F$15,$M165-$A$15,AS$13)))</f>
        <v>1000000000000</v>
      </c>
      <c r="AT165" s="171">
        <f ca="1">IF(OR($D165&lt;&gt;"Serviço",AND(AUTOEVENTO="Manual",$M165=$A$15)),0,
         IF(OFFSET(CRONOPLE!$F$15,$M165-$A$15,AT$13)=0,10^12,OFFSET(CRONOPLE!$F$15,$M165-$A$15,AT$13)))</f>
        <v>1000000000000</v>
      </c>
      <c r="AU165" s="171">
        <f ca="1">IF(OR($D165&lt;&gt;"Serviço",AND(AUTOEVENTO="Manual",$M165=$A$15)),0,
         IF(OFFSET(CRONOPLE!$F$15,$M165-$A$15,AU$13)=0,10^12,OFFSET(CRONOPLE!$F$15,$M165-$A$15,AU$13)))</f>
        <v>1000000000000</v>
      </c>
      <c r="AV165" s="171">
        <f ca="1">IF(OR($D165&lt;&gt;"Serviço",AND(AUTOEVENTO="Manual",$M165=$A$15)),0,
         IF(OFFSET(CRONOPLE!$F$15,$M165-$A$15,AV$13)=0,10^12,OFFSET(CRONOPLE!$F$15,$M165-$A$15,AV$13)))</f>
        <v>1000000000000</v>
      </c>
      <c r="AX165" s="172" cm="1">
        <f t="array" aca="1" ref="AX165" ca="1">IF(OR($D165&lt;&gt;"Serviço",AND(AUTOEVENTO="Manual",$M165=$A$15),$M165&gt;(ROW(PLE.lastrow)-ROW(PLE.firstrow))),0,
           IF(OFFSET(PLE!$G$15,$M165-$A$15,AX$13)="",10^12,OFFSET(PLE!$G$15,$M165-$A$15,AX$13)))</f>
        <v>1000000000000</v>
      </c>
      <c r="AY165" s="172" cm="1">
        <f t="array" aca="1" ref="AY165" ca="1">IF(OR($D165&lt;&gt;"Serviço",AND(AUTOEVENTO="Manual",$M165=$A$15),$M165&gt;(ROW(PLE.lastrow)-ROW(PLE.firstrow))),0,
           IF(OFFSET(PLE!$G$15,$M165-$A$15,AY$13)="",10^12,OFFSET(PLE!$G$15,$M165-$A$15,AY$13)))</f>
        <v>1000000000000</v>
      </c>
      <c r="AZ165" s="172" cm="1">
        <f t="array" aca="1" ref="AZ165" ca="1">IF(OR($D165&lt;&gt;"Serviço",AND(AUTOEVENTO="Manual",$M165=$A$15),$M165&gt;(ROW(PLE.lastrow)-ROW(PLE.firstrow))),0,
           IF(OFFSET(PLE!$G$15,$M165-$A$15,AZ$13)="",10^12,OFFSET(PLE!$G$15,$M165-$A$15,AZ$13)))</f>
        <v>1000000000000</v>
      </c>
      <c r="BA165" s="172" cm="1">
        <f t="array" aca="1" ref="BA165" ca="1">IF(OR($D165&lt;&gt;"Serviço",AND(AUTOEVENTO="Manual",$M165=$A$15),$M165&gt;(ROW(PLE.lastrow)-ROW(PLE.firstrow))),0,
           IF(OFFSET(PLE!$G$15,$M165-$A$15,BA$13)="",10^12,OFFSET(PLE!$G$15,$M165-$A$15,BA$13)))</f>
        <v>1000000000000</v>
      </c>
      <c r="BB165" s="172" cm="1">
        <f t="array" aca="1" ref="BB165" ca="1">IF(OR($D165&lt;&gt;"Serviço",AND(AUTOEVENTO="Manual",$M165=$A$15),$M165&gt;(ROW(PLE.lastrow)-ROW(PLE.firstrow))),0,
           IF(OFFSET(PLE!$G$15,$M165-$A$15,BB$13)="",10^12,OFFSET(PLE!$G$15,$M165-$A$15,BB$13)))</f>
        <v>1000000000000</v>
      </c>
      <c r="BC165" s="172" cm="1">
        <f t="array" aca="1" ref="BC165" ca="1">IF(OR($D165&lt;&gt;"Serviço",AND(AUTOEVENTO="Manual",$M165=$A$15),$M165&gt;(ROW(PLE.lastrow)-ROW(PLE.firstrow))),0,
           IF(OFFSET(PLE!$G$15,$M165-$A$15,BC$13)="",10^12,OFFSET(PLE!$G$15,$M165-$A$15,BC$13)))</f>
        <v>1000000000000</v>
      </c>
      <c r="BD165" s="172" cm="1">
        <f t="array" aca="1" ref="BD165" ca="1">IF(OR($D165&lt;&gt;"Serviço",AND(AUTOEVENTO="Manual",$M165=$A$15),$M165&gt;(ROW(PLE.lastrow)-ROW(PLE.firstrow))),0,
           IF(OFFSET(PLE!$G$15,$M165-$A$15,BD$13)="",10^12,OFFSET(PLE!$G$15,$M165-$A$15,BD$13)))</f>
        <v>1000000000000</v>
      </c>
      <c r="BE165" s="172" cm="1">
        <f t="array" aca="1" ref="BE165" ca="1">IF(OR($D165&lt;&gt;"Serviço",AND(AUTOEVENTO="Manual",$M165=$A$15),$M165&gt;(ROW(PLE.lastrow)-ROW(PLE.firstrow))),0,
           IF(OFFSET(PLE!$G$15,$M165-$A$15,BE$13)="",10^12,OFFSET(PLE!$G$15,$M165-$A$15,BE$13)))</f>
        <v>1000000000000</v>
      </c>
      <c r="BF165" s="172" cm="1">
        <f t="array" aca="1" ref="BF165" ca="1">IF(OR($D165&lt;&gt;"Serviço",AND(AUTOEVENTO="Manual",$M165=$A$15),$M165&gt;(ROW(PLE.lastrow)-ROW(PLE.firstrow))),0,
           IF(OFFSET(PLE!$G$15,$M165-$A$15,BF$13)="",10^12,OFFSET(PLE!$G$15,$M165-$A$15,BF$13)))</f>
        <v>1000000000000</v>
      </c>
      <c r="BG165" s="172" cm="1">
        <f t="array" aca="1" ref="BG165" ca="1">IF(OR($D165&lt;&gt;"Serviço",AND(AUTOEVENTO="Manual",$M165=$A$15),$M165&gt;(ROW(PLE.lastrow)-ROW(PLE.firstrow))),0,
           IF(OFFSET(PLE!$G$15,$M165-$A$15,BG$13)="",10^12,OFFSET(PLE!$G$15,$M165-$A$15,BG$13)))</f>
        <v>1000000000000</v>
      </c>
    </row>
    <row r="166" spans="1:59" ht="12.75" x14ac:dyDescent="0.2">
      <c r="A166" s="7" t="str">
        <f t="shared" ca="1" si="8"/>
        <v>117</v>
      </c>
      <c r="B166" s="7">
        <f ca="1">OFFSET(ORÇAMENTO!C$15,$L166,0)</f>
        <v>3</v>
      </c>
      <c r="C166" s="7" t="str">
        <f ca="1">OFFSET(ORÇAMENTO!L$15,$L166,0)</f>
        <v>F</v>
      </c>
      <c r="D166" s="116" t="str">
        <f ca="1">OFFSET(ORÇAMENTO!N$15,$L166,0)</f>
        <v>Nível 3</v>
      </c>
      <c r="E166" s="117" t="str">
        <f ca="1">OFFSET(ORÇAMENTO!O$15,$L166,0)</f>
        <v>1.8.7.</v>
      </c>
      <c r="F166" s="163" t="str">
        <f ca="1">OFFSET(ORÇAMENTO!R$15,$L166,0)</f>
        <v>APARELHOS SANITÁRIOS, LOUÇAS E METAIS</v>
      </c>
      <c r="G166" s="164" t="str">
        <f ca="1">IF($D166&lt;&gt;"Serviço","",OFFSET(ORÇAMENTO!S$15,$L166,0))</f>
        <v/>
      </c>
      <c r="H166" s="122" cm="1">
        <f t="array" aca="1" ref="H166" ca="1">IF($D166&lt;&gt;"Serviço",0,IF(ACOMPANHAMENTO="BM",ROUND(OFFSET(ORÇAMENTO!AJ$15,$L166,0),15-13*ORÇAMENTO!$AF$7),IF(IFERROR(CÁLCULO.FrentesPreenchidas,0)=0,0,SUM(ROUND(OFFSET($P166,0,1,1,CÁLCULO.FrentesPreenchidas),15-13*ORÇAMENTO!$AF$7)))))</f>
        <v>0</v>
      </c>
      <c r="I166" s="468"/>
      <c r="J166" s="651"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
      </c>
      <c r="K166" s="652"/>
      <c r="L166" s="165">
        <f t="shared" ca="1" si="9"/>
        <v>151</v>
      </c>
      <c r="M166" s="166" t="str">
        <f ca="1">IF($D166&lt;&gt;"Serviço","",
          IF(AUTOEVENTO="manual",$A166,
                IF(ISERROR(MATCH($A166,$A$15:OFFSET($A166,-1,0),0)),MAX($M$15:OFFSET(M166,-1,0))+1,
                      INDEX($M$15:OFFSET(M166,-1,0),MATCH($A166,$A$15:OFFSET($A166,-1,0),0)))))</f>
        <v/>
      </c>
      <c r="N166" s="167" t="str">
        <f ca="1">IF($D166&lt;&gt;"Serviço","",
         IF(AUTOEVENTO="Manual",
                IF($A166=0,"&lt;-- defina o número do agrupador",
                       OFFSET(EVENTOS!$D$15,$A166-$A$15,0)),
                OFFSET($F$15,$A166,0)))</f>
        <v/>
      </c>
      <c r="O166" s="168"/>
      <c r="Q166" s="168"/>
      <c r="R166" s="169"/>
      <c r="S166" s="169"/>
      <c r="T166" s="169"/>
      <c r="U166" s="169"/>
      <c r="V166" s="169"/>
      <c r="W166" s="169"/>
      <c r="X166" s="169"/>
      <c r="Y166" s="169"/>
      <c r="Z166" s="170"/>
      <c r="AB166" s="453">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3">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3">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3">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3">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3">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3">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3">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1">
        <f ca="1">IF(OR($D166&lt;&gt;"Serviço",AND(AUTOEVENTO="Manual",$M166=$A$15)),0,
         IF(OFFSET(CRONOPLE!$F$15,$M166-$A$15,AM$13)=0,10^12,OFFSET(CRONOPLE!$F$15,$M166-$A$15,AM$13)))</f>
        <v>0</v>
      </c>
      <c r="AN166" s="171">
        <f ca="1">IF(OR($D166&lt;&gt;"Serviço",AND(AUTOEVENTO="Manual",$M166=$A$15)),0,
         IF(OFFSET(CRONOPLE!$F$15,$M166-$A$15,AN$13)=0,10^12,OFFSET(CRONOPLE!$F$15,$M166-$A$15,AN$13)))</f>
        <v>0</v>
      </c>
      <c r="AO166" s="171">
        <f ca="1">IF(OR($D166&lt;&gt;"Serviço",AND(AUTOEVENTO="Manual",$M166=$A$15)),0,
         IF(OFFSET(CRONOPLE!$F$15,$M166-$A$15,AO$13)=0,10^12,OFFSET(CRONOPLE!$F$15,$M166-$A$15,AO$13)))</f>
        <v>0</v>
      </c>
      <c r="AP166" s="171">
        <f ca="1">IF(OR($D166&lt;&gt;"Serviço",AND(AUTOEVENTO="Manual",$M166=$A$15)),0,
         IF(OFFSET(CRONOPLE!$F$15,$M166-$A$15,AP$13)=0,10^12,OFFSET(CRONOPLE!$F$15,$M166-$A$15,AP$13)))</f>
        <v>0</v>
      </c>
      <c r="AQ166" s="171">
        <f ca="1">IF(OR($D166&lt;&gt;"Serviço",AND(AUTOEVENTO="Manual",$M166=$A$15)),0,
         IF(OFFSET(CRONOPLE!$F$15,$M166-$A$15,AQ$13)=0,10^12,OFFSET(CRONOPLE!$F$15,$M166-$A$15,AQ$13)))</f>
        <v>0</v>
      </c>
      <c r="AR166" s="171">
        <f ca="1">IF(OR($D166&lt;&gt;"Serviço",AND(AUTOEVENTO="Manual",$M166=$A$15)),0,
         IF(OFFSET(CRONOPLE!$F$15,$M166-$A$15,AR$13)=0,10^12,OFFSET(CRONOPLE!$F$15,$M166-$A$15,AR$13)))</f>
        <v>0</v>
      </c>
      <c r="AS166" s="171">
        <f ca="1">IF(OR($D166&lt;&gt;"Serviço",AND(AUTOEVENTO="Manual",$M166=$A$15)),0,
         IF(OFFSET(CRONOPLE!$F$15,$M166-$A$15,AS$13)=0,10^12,OFFSET(CRONOPLE!$F$15,$M166-$A$15,AS$13)))</f>
        <v>0</v>
      </c>
      <c r="AT166" s="171">
        <f ca="1">IF(OR($D166&lt;&gt;"Serviço",AND(AUTOEVENTO="Manual",$M166=$A$15)),0,
         IF(OFFSET(CRONOPLE!$F$15,$M166-$A$15,AT$13)=0,10^12,OFFSET(CRONOPLE!$F$15,$M166-$A$15,AT$13)))</f>
        <v>0</v>
      </c>
      <c r="AU166" s="171">
        <f ca="1">IF(OR($D166&lt;&gt;"Serviço",AND(AUTOEVENTO="Manual",$M166=$A$15)),0,
         IF(OFFSET(CRONOPLE!$F$15,$M166-$A$15,AU$13)=0,10^12,OFFSET(CRONOPLE!$F$15,$M166-$A$15,AU$13)))</f>
        <v>0</v>
      </c>
      <c r="AV166" s="171">
        <f ca="1">IF(OR($D166&lt;&gt;"Serviço",AND(AUTOEVENTO="Manual",$M166=$A$15)),0,
         IF(OFFSET(CRONOPLE!$F$15,$M166-$A$15,AV$13)=0,10^12,OFFSET(CRONOPLE!$F$15,$M166-$A$15,AV$13)))</f>
        <v>0</v>
      </c>
      <c r="AX166" s="172" cm="1">
        <f t="array" aca="1" ref="AX166" ca="1">IF(OR($D166&lt;&gt;"Serviço",AND(AUTOEVENTO="Manual",$M166=$A$15),$M166&gt;(ROW(PLE.lastrow)-ROW(PLE.firstrow))),0,
           IF(OFFSET(PLE!$G$15,$M166-$A$15,AX$13)="",10^12,OFFSET(PLE!$G$15,$M166-$A$15,AX$13)))</f>
        <v>0</v>
      </c>
      <c r="AY166" s="172" cm="1">
        <f t="array" aca="1" ref="AY166" ca="1">IF(OR($D166&lt;&gt;"Serviço",AND(AUTOEVENTO="Manual",$M166=$A$15),$M166&gt;(ROW(PLE.lastrow)-ROW(PLE.firstrow))),0,
           IF(OFFSET(PLE!$G$15,$M166-$A$15,AY$13)="",10^12,OFFSET(PLE!$G$15,$M166-$A$15,AY$13)))</f>
        <v>0</v>
      </c>
      <c r="AZ166" s="172" cm="1">
        <f t="array" aca="1" ref="AZ166" ca="1">IF(OR($D166&lt;&gt;"Serviço",AND(AUTOEVENTO="Manual",$M166=$A$15),$M166&gt;(ROW(PLE.lastrow)-ROW(PLE.firstrow))),0,
           IF(OFFSET(PLE!$G$15,$M166-$A$15,AZ$13)="",10^12,OFFSET(PLE!$G$15,$M166-$A$15,AZ$13)))</f>
        <v>0</v>
      </c>
      <c r="BA166" s="172" cm="1">
        <f t="array" aca="1" ref="BA166" ca="1">IF(OR($D166&lt;&gt;"Serviço",AND(AUTOEVENTO="Manual",$M166=$A$15),$M166&gt;(ROW(PLE.lastrow)-ROW(PLE.firstrow))),0,
           IF(OFFSET(PLE!$G$15,$M166-$A$15,BA$13)="",10^12,OFFSET(PLE!$G$15,$M166-$A$15,BA$13)))</f>
        <v>0</v>
      </c>
      <c r="BB166" s="172" cm="1">
        <f t="array" aca="1" ref="BB166" ca="1">IF(OR($D166&lt;&gt;"Serviço",AND(AUTOEVENTO="Manual",$M166=$A$15),$M166&gt;(ROW(PLE.lastrow)-ROW(PLE.firstrow))),0,
           IF(OFFSET(PLE!$G$15,$M166-$A$15,BB$13)="",10^12,OFFSET(PLE!$G$15,$M166-$A$15,BB$13)))</f>
        <v>0</v>
      </c>
      <c r="BC166" s="172" cm="1">
        <f t="array" aca="1" ref="BC166" ca="1">IF(OR($D166&lt;&gt;"Serviço",AND(AUTOEVENTO="Manual",$M166=$A$15),$M166&gt;(ROW(PLE.lastrow)-ROW(PLE.firstrow))),0,
           IF(OFFSET(PLE!$G$15,$M166-$A$15,BC$13)="",10^12,OFFSET(PLE!$G$15,$M166-$A$15,BC$13)))</f>
        <v>0</v>
      </c>
      <c r="BD166" s="172" cm="1">
        <f t="array" aca="1" ref="BD166" ca="1">IF(OR($D166&lt;&gt;"Serviço",AND(AUTOEVENTO="Manual",$M166=$A$15),$M166&gt;(ROW(PLE.lastrow)-ROW(PLE.firstrow))),0,
           IF(OFFSET(PLE!$G$15,$M166-$A$15,BD$13)="",10^12,OFFSET(PLE!$G$15,$M166-$A$15,BD$13)))</f>
        <v>0</v>
      </c>
      <c r="BE166" s="172" cm="1">
        <f t="array" aca="1" ref="BE166" ca="1">IF(OR($D166&lt;&gt;"Serviço",AND(AUTOEVENTO="Manual",$M166=$A$15),$M166&gt;(ROW(PLE.lastrow)-ROW(PLE.firstrow))),0,
           IF(OFFSET(PLE!$G$15,$M166-$A$15,BE$13)="",10^12,OFFSET(PLE!$G$15,$M166-$A$15,BE$13)))</f>
        <v>0</v>
      </c>
      <c r="BF166" s="172" cm="1">
        <f t="array" aca="1" ref="BF166" ca="1">IF(OR($D166&lt;&gt;"Serviço",AND(AUTOEVENTO="Manual",$M166=$A$15),$M166&gt;(ROW(PLE.lastrow)-ROW(PLE.firstrow))),0,
           IF(OFFSET(PLE!$G$15,$M166-$A$15,BF$13)="",10^12,OFFSET(PLE!$G$15,$M166-$A$15,BF$13)))</f>
        <v>0</v>
      </c>
      <c r="BG166" s="172" cm="1">
        <f t="array" aca="1" ref="BG166" ca="1">IF(OR($D166&lt;&gt;"Serviço",AND(AUTOEVENTO="Manual",$M166=$A$15),$M166&gt;(ROW(PLE.lastrow)-ROW(PLE.firstrow))),0,
           IF(OFFSET(PLE!$G$15,$M166-$A$15,BG$13)="",10^12,OFFSET(PLE!$G$15,$M166-$A$15,BG$13)))</f>
        <v>0</v>
      </c>
    </row>
    <row r="167" spans="1:59" ht="38.25" x14ac:dyDescent="0.2">
      <c r="A167" s="7" t="str">
        <f t="shared" ca="1" si="8"/>
        <v>117</v>
      </c>
      <c r="B167" s="7" t="str">
        <f ca="1">OFFSET(ORÇAMENTO!C$15,$L167,0)</f>
        <v>S</v>
      </c>
      <c r="C167" s="7" t="str">
        <f ca="1">OFFSET(ORÇAMENTO!L$15,$L167,0)</f>
        <v>F</v>
      </c>
      <c r="D167" s="116" t="str">
        <f ca="1">OFFSET(ORÇAMENTO!N$15,$L167,0)</f>
        <v>Serviço</v>
      </c>
      <c r="E167" s="117" t="str">
        <f ca="1">OFFSET(ORÇAMENTO!O$15,$L167,0)</f>
        <v>1.8.7.0.1.</v>
      </c>
      <c r="F167" s="163" t="str">
        <f ca="1">OFFSET(ORÇAMENTO!R$15,$L167,0)</f>
        <v>BACIA SANITÁRIA COM CAIXA ACOPLADA LOUÇA BRANCA, INCLUSO ENGATE FLEXÍVEL EM PLÁSTICO BRANCO, 1/2" X 40 CM - FORNECIMENTO E INSTALAÇÃO. AF_02/2026</v>
      </c>
      <c r="G167" s="164" t="str">
        <f ca="1">IF($D167&lt;&gt;"Serviço","",OFFSET(ORÇAMENTO!S$15,$L167,0))</f>
        <v>UN</v>
      </c>
      <c r="H167" s="122" cm="1">
        <f t="array" aca="1" ref="H167" ca="1">IF($D167&lt;&gt;"Serviço",0,IF(ACOMPANHAMENTO="BM",ROUND(OFFSET(ORÇAMENTO!AJ$15,$L167,0),15-13*ORÇAMENTO!$AF$7),IF(IFERROR(CÁLCULO.FrentesPreenchidas,0)=0,0,SUM(ROUND(OFFSET($P167,0,1,1,CÁLCULO.FrentesPreenchidas),15-13*ORÇAMENTO!$AF$7)))))</f>
        <v>30</v>
      </c>
      <c r="I167" s="468"/>
      <c r="J167" s="651"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2"/>
      <c r="L167" s="165">
        <f t="shared" ca="1" si="9"/>
        <v>152</v>
      </c>
      <c r="M167" s="166">
        <f ca="1">IF($D167&lt;&gt;"Serviço","",
          IF(AUTOEVENTO="manual",$A167,
                IF(ISERROR(MATCH($A167,$A$15:OFFSET($A167,-1,0),0)),MAX($M$15:OFFSET(M167,-1,0))+1,
                      INDEX($M$15:OFFSET(M167,-1,0),MATCH($A167,$A$15:OFFSET($A167,-1,0),0)))))</f>
        <v>8</v>
      </c>
      <c r="N167" s="167" t="str">
        <f ca="1">IF($D167&lt;&gt;"Serviço","",
         IF(AUTOEVENTO="Manual",
                IF($A167=0,"&lt;-- defina o número do agrupador",
                       OFFSET(EVENTOS!$D$15,$A167-$A$15,0)),
                OFFSET($F$15,$A167,0)))</f>
        <v>INSTALAÇÕES HIDROSSANITARIAS</v>
      </c>
      <c r="O167" s="168"/>
      <c r="Q167" s="168"/>
      <c r="R167" s="169"/>
      <c r="S167" s="169"/>
      <c r="T167" s="169"/>
      <c r="U167" s="169"/>
      <c r="V167" s="169"/>
      <c r="W167" s="169"/>
      <c r="X167" s="169"/>
      <c r="Y167" s="169"/>
      <c r="Z167" s="170"/>
      <c r="AB167" s="453">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3">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3">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3">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3">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3">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3">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3">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1">
        <f ca="1">IF(OR($D167&lt;&gt;"Serviço",AND(AUTOEVENTO="Manual",$M167=$A$15)),0,
         IF(OFFSET(CRONOPLE!$F$15,$M167-$A$15,AM$13)=0,10^12,OFFSET(CRONOPLE!$F$15,$M167-$A$15,AM$13)))</f>
        <v>1000000000000</v>
      </c>
      <c r="AN167" s="171">
        <f ca="1">IF(OR($D167&lt;&gt;"Serviço",AND(AUTOEVENTO="Manual",$M167=$A$15)),0,
         IF(OFFSET(CRONOPLE!$F$15,$M167-$A$15,AN$13)=0,10^12,OFFSET(CRONOPLE!$F$15,$M167-$A$15,AN$13)))</f>
        <v>1000000000000</v>
      </c>
      <c r="AO167" s="171">
        <f ca="1">IF(OR($D167&lt;&gt;"Serviço",AND(AUTOEVENTO="Manual",$M167=$A$15)),0,
         IF(OFFSET(CRONOPLE!$F$15,$M167-$A$15,AO$13)=0,10^12,OFFSET(CRONOPLE!$F$15,$M167-$A$15,AO$13)))</f>
        <v>1000000000000</v>
      </c>
      <c r="AP167" s="171">
        <f ca="1">IF(OR($D167&lt;&gt;"Serviço",AND(AUTOEVENTO="Manual",$M167=$A$15)),0,
         IF(OFFSET(CRONOPLE!$F$15,$M167-$A$15,AP$13)=0,10^12,OFFSET(CRONOPLE!$F$15,$M167-$A$15,AP$13)))</f>
        <v>1000000000000</v>
      </c>
      <c r="AQ167" s="171">
        <f ca="1">IF(OR($D167&lt;&gt;"Serviço",AND(AUTOEVENTO="Manual",$M167=$A$15)),0,
         IF(OFFSET(CRONOPLE!$F$15,$M167-$A$15,AQ$13)=0,10^12,OFFSET(CRONOPLE!$F$15,$M167-$A$15,AQ$13)))</f>
        <v>1000000000000</v>
      </c>
      <c r="AR167" s="171">
        <f ca="1">IF(OR($D167&lt;&gt;"Serviço",AND(AUTOEVENTO="Manual",$M167=$A$15)),0,
         IF(OFFSET(CRONOPLE!$F$15,$M167-$A$15,AR$13)=0,10^12,OFFSET(CRONOPLE!$F$15,$M167-$A$15,AR$13)))</f>
        <v>1000000000000</v>
      </c>
      <c r="AS167" s="171">
        <f ca="1">IF(OR($D167&lt;&gt;"Serviço",AND(AUTOEVENTO="Manual",$M167=$A$15)),0,
         IF(OFFSET(CRONOPLE!$F$15,$M167-$A$15,AS$13)=0,10^12,OFFSET(CRONOPLE!$F$15,$M167-$A$15,AS$13)))</f>
        <v>1000000000000</v>
      </c>
      <c r="AT167" s="171">
        <f ca="1">IF(OR($D167&lt;&gt;"Serviço",AND(AUTOEVENTO="Manual",$M167=$A$15)),0,
         IF(OFFSET(CRONOPLE!$F$15,$M167-$A$15,AT$13)=0,10^12,OFFSET(CRONOPLE!$F$15,$M167-$A$15,AT$13)))</f>
        <v>1000000000000</v>
      </c>
      <c r="AU167" s="171">
        <f ca="1">IF(OR($D167&lt;&gt;"Serviço",AND(AUTOEVENTO="Manual",$M167=$A$15)),0,
         IF(OFFSET(CRONOPLE!$F$15,$M167-$A$15,AU$13)=0,10^12,OFFSET(CRONOPLE!$F$15,$M167-$A$15,AU$13)))</f>
        <v>1000000000000</v>
      </c>
      <c r="AV167" s="171">
        <f ca="1">IF(OR($D167&lt;&gt;"Serviço",AND(AUTOEVENTO="Manual",$M167=$A$15)),0,
         IF(OFFSET(CRONOPLE!$F$15,$M167-$A$15,AV$13)=0,10^12,OFFSET(CRONOPLE!$F$15,$M167-$A$15,AV$13)))</f>
        <v>1000000000000</v>
      </c>
      <c r="AX167" s="172" cm="1">
        <f t="array" aca="1" ref="AX167" ca="1">IF(OR($D167&lt;&gt;"Serviço",AND(AUTOEVENTO="Manual",$M167=$A$15),$M167&gt;(ROW(PLE.lastrow)-ROW(PLE.firstrow))),0,
           IF(OFFSET(PLE!$G$15,$M167-$A$15,AX$13)="",10^12,OFFSET(PLE!$G$15,$M167-$A$15,AX$13)))</f>
        <v>1000000000000</v>
      </c>
      <c r="AY167" s="172" cm="1">
        <f t="array" aca="1" ref="AY167" ca="1">IF(OR($D167&lt;&gt;"Serviço",AND(AUTOEVENTO="Manual",$M167=$A$15),$M167&gt;(ROW(PLE.lastrow)-ROW(PLE.firstrow))),0,
           IF(OFFSET(PLE!$G$15,$M167-$A$15,AY$13)="",10^12,OFFSET(PLE!$G$15,$M167-$A$15,AY$13)))</f>
        <v>1000000000000</v>
      </c>
      <c r="AZ167" s="172" cm="1">
        <f t="array" aca="1" ref="AZ167" ca="1">IF(OR($D167&lt;&gt;"Serviço",AND(AUTOEVENTO="Manual",$M167=$A$15),$M167&gt;(ROW(PLE.lastrow)-ROW(PLE.firstrow))),0,
           IF(OFFSET(PLE!$G$15,$M167-$A$15,AZ$13)="",10^12,OFFSET(PLE!$G$15,$M167-$A$15,AZ$13)))</f>
        <v>1000000000000</v>
      </c>
      <c r="BA167" s="172" cm="1">
        <f t="array" aca="1" ref="BA167" ca="1">IF(OR($D167&lt;&gt;"Serviço",AND(AUTOEVENTO="Manual",$M167=$A$15),$M167&gt;(ROW(PLE.lastrow)-ROW(PLE.firstrow))),0,
           IF(OFFSET(PLE!$G$15,$M167-$A$15,BA$13)="",10^12,OFFSET(PLE!$G$15,$M167-$A$15,BA$13)))</f>
        <v>1000000000000</v>
      </c>
      <c r="BB167" s="172" cm="1">
        <f t="array" aca="1" ref="BB167" ca="1">IF(OR($D167&lt;&gt;"Serviço",AND(AUTOEVENTO="Manual",$M167=$A$15),$M167&gt;(ROW(PLE.lastrow)-ROW(PLE.firstrow))),0,
           IF(OFFSET(PLE!$G$15,$M167-$A$15,BB$13)="",10^12,OFFSET(PLE!$G$15,$M167-$A$15,BB$13)))</f>
        <v>1000000000000</v>
      </c>
      <c r="BC167" s="172" cm="1">
        <f t="array" aca="1" ref="BC167" ca="1">IF(OR($D167&lt;&gt;"Serviço",AND(AUTOEVENTO="Manual",$M167=$A$15),$M167&gt;(ROW(PLE.lastrow)-ROW(PLE.firstrow))),0,
           IF(OFFSET(PLE!$G$15,$M167-$A$15,BC$13)="",10^12,OFFSET(PLE!$G$15,$M167-$A$15,BC$13)))</f>
        <v>1000000000000</v>
      </c>
      <c r="BD167" s="172" cm="1">
        <f t="array" aca="1" ref="BD167" ca="1">IF(OR($D167&lt;&gt;"Serviço",AND(AUTOEVENTO="Manual",$M167=$A$15),$M167&gt;(ROW(PLE.lastrow)-ROW(PLE.firstrow))),0,
           IF(OFFSET(PLE!$G$15,$M167-$A$15,BD$13)="",10^12,OFFSET(PLE!$G$15,$M167-$A$15,BD$13)))</f>
        <v>1000000000000</v>
      </c>
      <c r="BE167" s="172" cm="1">
        <f t="array" aca="1" ref="BE167" ca="1">IF(OR($D167&lt;&gt;"Serviço",AND(AUTOEVENTO="Manual",$M167=$A$15),$M167&gt;(ROW(PLE.lastrow)-ROW(PLE.firstrow))),0,
           IF(OFFSET(PLE!$G$15,$M167-$A$15,BE$13)="",10^12,OFFSET(PLE!$G$15,$M167-$A$15,BE$13)))</f>
        <v>1000000000000</v>
      </c>
      <c r="BF167" s="172" cm="1">
        <f t="array" aca="1" ref="BF167" ca="1">IF(OR($D167&lt;&gt;"Serviço",AND(AUTOEVENTO="Manual",$M167=$A$15),$M167&gt;(ROW(PLE.lastrow)-ROW(PLE.firstrow))),0,
           IF(OFFSET(PLE!$G$15,$M167-$A$15,BF$13)="",10^12,OFFSET(PLE!$G$15,$M167-$A$15,BF$13)))</f>
        <v>1000000000000</v>
      </c>
      <c r="BG167" s="172" cm="1">
        <f t="array" aca="1" ref="BG167" ca="1">IF(OR($D167&lt;&gt;"Serviço",AND(AUTOEVENTO="Manual",$M167=$A$15),$M167&gt;(ROW(PLE.lastrow)-ROW(PLE.firstrow))),0,
           IF(OFFSET(PLE!$G$15,$M167-$A$15,BG$13)="",10^12,OFFSET(PLE!$G$15,$M167-$A$15,BG$13)))</f>
        <v>1000000000000</v>
      </c>
    </row>
    <row r="168" spans="1:59" ht="25.5" x14ac:dyDescent="0.2">
      <c r="A168" s="7" t="str">
        <f t="shared" ca="1" si="8"/>
        <v>117</v>
      </c>
      <c r="B168" s="7" t="str">
        <f ca="1">OFFSET(ORÇAMENTO!C$15,$L168,0)</f>
        <v>S</v>
      </c>
      <c r="C168" s="7" t="str">
        <f ca="1">OFFSET(ORÇAMENTO!L$15,$L168,0)</f>
        <v>F</v>
      </c>
      <c r="D168" s="116" t="str">
        <f ca="1">OFFSET(ORÇAMENTO!N$15,$L168,0)</f>
        <v>Serviço</v>
      </c>
      <c r="E168" s="117" t="str">
        <f ca="1">OFFSET(ORÇAMENTO!O$15,$L168,0)</f>
        <v>1.8.7.0.2.</v>
      </c>
      <c r="F168" s="163" t="str">
        <f ca="1">OFFSET(ORÇAMENTO!R$15,$L168,0)</f>
        <v>ASSENTO SANITÁRIO CONVENCIONAL - FORNECIMENTO E INSTALAÇÃO. AF_02/2026</v>
      </c>
      <c r="G168" s="164" t="str">
        <f ca="1">IF($D168&lt;&gt;"Serviço","",OFFSET(ORÇAMENTO!S$15,$L168,0))</f>
        <v>UN</v>
      </c>
      <c r="H168" s="122" cm="1">
        <f t="array" aca="1" ref="H168" ca="1">IF($D168&lt;&gt;"Serviço",0,IF(ACOMPANHAMENTO="BM",ROUND(OFFSET(ORÇAMENTO!AJ$15,$L168,0),15-13*ORÇAMENTO!$AF$7),IF(IFERROR(CÁLCULO.FrentesPreenchidas,0)=0,0,SUM(ROUND(OFFSET($P168,0,1,1,CÁLCULO.FrentesPreenchidas),15-13*ORÇAMENTO!$AF$7)))))</f>
        <v>30</v>
      </c>
      <c r="I168" s="468"/>
      <c r="J168" s="651"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
      </c>
      <c r="K168" s="652"/>
      <c r="L168" s="165">
        <f t="shared" ca="1" si="9"/>
        <v>153</v>
      </c>
      <c r="M168" s="166">
        <f ca="1">IF($D168&lt;&gt;"Serviço","",
          IF(AUTOEVENTO="manual",$A168,
                IF(ISERROR(MATCH($A168,$A$15:OFFSET($A168,-1,0),0)),MAX($M$15:OFFSET(M168,-1,0))+1,
                      INDEX($M$15:OFFSET(M168,-1,0),MATCH($A168,$A$15:OFFSET($A168,-1,0),0)))))</f>
        <v>8</v>
      </c>
      <c r="N168" s="167" t="str">
        <f ca="1">IF($D168&lt;&gt;"Serviço","",
         IF(AUTOEVENTO="Manual",
                IF($A168=0,"&lt;-- defina o número do agrupador",
                       OFFSET(EVENTOS!$D$15,$A168-$A$15,0)),
                OFFSET($F$15,$A168,0)))</f>
        <v>INSTALAÇÕES HIDROSSANITARIAS</v>
      </c>
      <c r="O168" s="168"/>
      <c r="Q168" s="168"/>
      <c r="R168" s="169"/>
      <c r="S168" s="169"/>
      <c r="T168" s="169"/>
      <c r="U168" s="169"/>
      <c r="V168" s="169"/>
      <c r="W168" s="169"/>
      <c r="X168" s="169"/>
      <c r="Y168" s="169"/>
      <c r="Z168" s="170"/>
      <c r="AB168" s="453">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3">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3">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3">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3">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3">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3">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3">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1">
        <f ca="1">IF(OR($D168&lt;&gt;"Serviço",AND(AUTOEVENTO="Manual",$M168=$A$15)),0,
         IF(OFFSET(CRONOPLE!$F$15,$M168-$A$15,AM$13)=0,10^12,OFFSET(CRONOPLE!$F$15,$M168-$A$15,AM$13)))</f>
        <v>1000000000000</v>
      </c>
      <c r="AN168" s="171">
        <f ca="1">IF(OR($D168&lt;&gt;"Serviço",AND(AUTOEVENTO="Manual",$M168=$A$15)),0,
         IF(OFFSET(CRONOPLE!$F$15,$M168-$A$15,AN$13)=0,10^12,OFFSET(CRONOPLE!$F$15,$M168-$A$15,AN$13)))</f>
        <v>1000000000000</v>
      </c>
      <c r="AO168" s="171">
        <f ca="1">IF(OR($D168&lt;&gt;"Serviço",AND(AUTOEVENTO="Manual",$M168=$A$15)),0,
         IF(OFFSET(CRONOPLE!$F$15,$M168-$A$15,AO$13)=0,10^12,OFFSET(CRONOPLE!$F$15,$M168-$A$15,AO$13)))</f>
        <v>1000000000000</v>
      </c>
      <c r="AP168" s="171">
        <f ca="1">IF(OR($D168&lt;&gt;"Serviço",AND(AUTOEVENTO="Manual",$M168=$A$15)),0,
         IF(OFFSET(CRONOPLE!$F$15,$M168-$A$15,AP$13)=0,10^12,OFFSET(CRONOPLE!$F$15,$M168-$A$15,AP$13)))</f>
        <v>1000000000000</v>
      </c>
      <c r="AQ168" s="171">
        <f ca="1">IF(OR($D168&lt;&gt;"Serviço",AND(AUTOEVENTO="Manual",$M168=$A$15)),0,
         IF(OFFSET(CRONOPLE!$F$15,$M168-$A$15,AQ$13)=0,10^12,OFFSET(CRONOPLE!$F$15,$M168-$A$15,AQ$13)))</f>
        <v>1000000000000</v>
      </c>
      <c r="AR168" s="171">
        <f ca="1">IF(OR($D168&lt;&gt;"Serviço",AND(AUTOEVENTO="Manual",$M168=$A$15)),0,
         IF(OFFSET(CRONOPLE!$F$15,$M168-$A$15,AR$13)=0,10^12,OFFSET(CRONOPLE!$F$15,$M168-$A$15,AR$13)))</f>
        <v>1000000000000</v>
      </c>
      <c r="AS168" s="171">
        <f ca="1">IF(OR($D168&lt;&gt;"Serviço",AND(AUTOEVENTO="Manual",$M168=$A$15)),0,
         IF(OFFSET(CRONOPLE!$F$15,$M168-$A$15,AS$13)=0,10^12,OFFSET(CRONOPLE!$F$15,$M168-$A$15,AS$13)))</f>
        <v>1000000000000</v>
      </c>
      <c r="AT168" s="171">
        <f ca="1">IF(OR($D168&lt;&gt;"Serviço",AND(AUTOEVENTO="Manual",$M168=$A$15)),0,
         IF(OFFSET(CRONOPLE!$F$15,$M168-$A$15,AT$13)=0,10^12,OFFSET(CRONOPLE!$F$15,$M168-$A$15,AT$13)))</f>
        <v>1000000000000</v>
      </c>
      <c r="AU168" s="171">
        <f ca="1">IF(OR($D168&lt;&gt;"Serviço",AND(AUTOEVENTO="Manual",$M168=$A$15)),0,
         IF(OFFSET(CRONOPLE!$F$15,$M168-$A$15,AU$13)=0,10^12,OFFSET(CRONOPLE!$F$15,$M168-$A$15,AU$13)))</f>
        <v>1000000000000</v>
      </c>
      <c r="AV168" s="171">
        <f ca="1">IF(OR($D168&lt;&gt;"Serviço",AND(AUTOEVENTO="Manual",$M168=$A$15)),0,
         IF(OFFSET(CRONOPLE!$F$15,$M168-$A$15,AV$13)=0,10^12,OFFSET(CRONOPLE!$F$15,$M168-$A$15,AV$13)))</f>
        <v>1000000000000</v>
      </c>
      <c r="AX168" s="172" cm="1">
        <f t="array" aca="1" ref="AX168" ca="1">IF(OR($D168&lt;&gt;"Serviço",AND(AUTOEVENTO="Manual",$M168=$A$15),$M168&gt;(ROW(PLE.lastrow)-ROW(PLE.firstrow))),0,
           IF(OFFSET(PLE!$G$15,$M168-$A$15,AX$13)="",10^12,OFFSET(PLE!$G$15,$M168-$A$15,AX$13)))</f>
        <v>1000000000000</v>
      </c>
      <c r="AY168" s="172" cm="1">
        <f t="array" aca="1" ref="AY168" ca="1">IF(OR($D168&lt;&gt;"Serviço",AND(AUTOEVENTO="Manual",$M168=$A$15),$M168&gt;(ROW(PLE.lastrow)-ROW(PLE.firstrow))),0,
           IF(OFFSET(PLE!$G$15,$M168-$A$15,AY$13)="",10^12,OFFSET(PLE!$G$15,$M168-$A$15,AY$13)))</f>
        <v>1000000000000</v>
      </c>
      <c r="AZ168" s="172" cm="1">
        <f t="array" aca="1" ref="AZ168" ca="1">IF(OR($D168&lt;&gt;"Serviço",AND(AUTOEVENTO="Manual",$M168=$A$15),$M168&gt;(ROW(PLE.lastrow)-ROW(PLE.firstrow))),0,
           IF(OFFSET(PLE!$G$15,$M168-$A$15,AZ$13)="",10^12,OFFSET(PLE!$G$15,$M168-$A$15,AZ$13)))</f>
        <v>1000000000000</v>
      </c>
      <c r="BA168" s="172" cm="1">
        <f t="array" aca="1" ref="BA168" ca="1">IF(OR($D168&lt;&gt;"Serviço",AND(AUTOEVENTO="Manual",$M168=$A$15),$M168&gt;(ROW(PLE.lastrow)-ROW(PLE.firstrow))),0,
           IF(OFFSET(PLE!$G$15,$M168-$A$15,BA$13)="",10^12,OFFSET(PLE!$G$15,$M168-$A$15,BA$13)))</f>
        <v>1000000000000</v>
      </c>
      <c r="BB168" s="172" cm="1">
        <f t="array" aca="1" ref="BB168" ca="1">IF(OR($D168&lt;&gt;"Serviço",AND(AUTOEVENTO="Manual",$M168=$A$15),$M168&gt;(ROW(PLE.lastrow)-ROW(PLE.firstrow))),0,
           IF(OFFSET(PLE!$G$15,$M168-$A$15,BB$13)="",10^12,OFFSET(PLE!$G$15,$M168-$A$15,BB$13)))</f>
        <v>1000000000000</v>
      </c>
      <c r="BC168" s="172" cm="1">
        <f t="array" aca="1" ref="BC168" ca="1">IF(OR($D168&lt;&gt;"Serviço",AND(AUTOEVENTO="Manual",$M168=$A$15),$M168&gt;(ROW(PLE.lastrow)-ROW(PLE.firstrow))),0,
           IF(OFFSET(PLE!$G$15,$M168-$A$15,BC$13)="",10^12,OFFSET(PLE!$G$15,$M168-$A$15,BC$13)))</f>
        <v>1000000000000</v>
      </c>
      <c r="BD168" s="172" cm="1">
        <f t="array" aca="1" ref="BD168" ca="1">IF(OR($D168&lt;&gt;"Serviço",AND(AUTOEVENTO="Manual",$M168=$A$15),$M168&gt;(ROW(PLE.lastrow)-ROW(PLE.firstrow))),0,
           IF(OFFSET(PLE!$G$15,$M168-$A$15,BD$13)="",10^12,OFFSET(PLE!$G$15,$M168-$A$15,BD$13)))</f>
        <v>1000000000000</v>
      </c>
      <c r="BE168" s="172" cm="1">
        <f t="array" aca="1" ref="BE168" ca="1">IF(OR($D168&lt;&gt;"Serviço",AND(AUTOEVENTO="Manual",$M168=$A$15),$M168&gt;(ROW(PLE.lastrow)-ROW(PLE.firstrow))),0,
           IF(OFFSET(PLE!$G$15,$M168-$A$15,BE$13)="",10^12,OFFSET(PLE!$G$15,$M168-$A$15,BE$13)))</f>
        <v>1000000000000</v>
      </c>
      <c r="BF168" s="172" cm="1">
        <f t="array" aca="1" ref="BF168" ca="1">IF(OR($D168&lt;&gt;"Serviço",AND(AUTOEVENTO="Manual",$M168=$A$15),$M168&gt;(ROW(PLE.lastrow)-ROW(PLE.firstrow))),0,
           IF(OFFSET(PLE!$G$15,$M168-$A$15,BF$13)="",10^12,OFFSET(PLE!$G$15,$M168-$A$15,BF$13)))</f>
        <v>1000000000000</v>
      </c>
      <c r="BG168" s="172" cm="1">
        <f t="array" aca="1" ref="BG168" ca="1">IF(OR($D168&lt;&gt;"Serviço",AND(AUTOEVENTO="Manual",$M168=$A$15),$M168&gt;(ROW(PLE.lastrow)-ROW(PLE.firstrow))),0,
           IF(OFFSET(PLE!$G$15,$M168-$A$15,BG$13)="",10^12,OFFSET(PLE!$G$15,$M168-$A$15,BG$13)))</f>
        <v>1000000000000</v>
      </c>
    </row>
    <row r="169" spans="1:59" ht="51" x14ac:dyDescent="0.2">
      <c r="A169" s="7" t="str">
        <f t="shared" ca="1" si="8"/>
        <v>117</v>
      </c>
      <c r="B169" s="7" t="str">
        <f ca="1">OFFSET(ORÇAMENTO!C$15,$L169,0)</f>
        <v>S</v>
      </c>
      <c r="C169" s="7" t="str">
        <f ca="1">OFFSET(ORÇAMENTO!L$15,$L169,0)</f>
        <v>F</v>
      </c>
      <c r="D169" s="116" t="str">
        <f ca="1">OFFSET(ORÇAMENTO!N$15,$L169,0)</f>
        <v>Serviço</v>
      </c>
      <c r="E169" s="117" t="str">
        <f ca="1">OFFSET(ORÇAMENTO!O$15,$L169,0)</f>
        <v>1.8.7.0.3.</v>
      </c>
      <c r="F169" s="163" t="str">
        <f ca="1">OFFSET(ORÇAMENTO!R$15,$L169,0)</f>
        <v>LAVATÓRIO LOUÇA BRANCA COM COLUNA, *44 X 35* CM, PADRÃO POPULAR, INCLUSO SIFÃO FLEXÍVEL EM PVC, VÁLVULA E ENGATE FLEXÍVEL 30 CM EM PLÁSTICO E COM TORNEIRA CROMADA PADRÃO POPULAR - FORNECIMENTO E INSTALAÇÃO. AF_02/2026</v>
      </c>
      <c r="G169" s="164" t="str">
        <f ca="1">IF($D169&lt;&gt;"Serviço","",OFFSET(ORÇAMENTO!S$15,$L169,0))</f>
        <v>UN</v>
      </c>
      <c r="H169" s="122" cm="1">
        <f t="array" aca="1" ref="H169" ca="1">IF($D169&lt;&gt;"Serviço",0,IF(ACOMPANHAMENTO="BM",ROUND(OFFSET(ORÇAMENTO!AJ$15,$L169,0),15-13*ORÇAMENTO!$AF$7),IF(IFERROR(CÁLCULO.FrentesPreenchidas,0)=0,0,SUM(ROUND(OFFSET($P169,0,1,1,CÁLCULO.FrentesPreenchidas),15-13*ORÇAMENTO!$AF$7)))))</f>
        <v>30</v>
      </c>
      <c r="I169" s="468"/>
      <c r="J169" s="651"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2"/>
      <c r="L169" s="165">
        <f t="shared" ca="1" si="9"/>
        <v>154</v>
      </c>
      <c r="M169" s="166">
        <f ca="1">IF($D169&lt;&gt;"Serviço","",
          IF(AUTOEVENTO="manual",$A169,
                IF(ISERROR(MATCH($A169,$A$15:OFFSET($A169,-1,0),0)),MAX($M$15:OFFSET(M169,-1,0))+1,
                      INDEX($M$15:OFFSET(M169,-1,0),MATCH($A169,$A$15:OFFSET($A169,-1,0),0)))))</f>
        <v>8</v>
      </c>
      <c r="N169" s="167" t="str">
        <f ca="1">IF($D169&lt;&gt;"Serviço","",
         IF(AUTOEVENTO="Manual",
                IF($A169=0,"&lt;-- defina o número do agrupador",
                       OFFSET(EVENTOS!$D$15,$A169-$A$15,0)),
                OFFSET($F$15,$A169,0)))</f>
        <v>INSTALAÇÕES HIDROSSANITARIAS</v>
      </c>
      <c r="O169" s="168"/>
      <c r="Q169" s="168"/>
      <c r="R169" s="169"/>
      <c r="S169" s="169"/>
      <c r="T169" s="169"/>
      <c r="U169" s="169"/>
      <c r="V169" s="169"/>
      <c r="W169" s="169"/>
      <c r="X169" s="169"/>
      <c r="Y169" s="169"/>
      <c r="Z169" s="170"/>
      <c r="AB169" s="453">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3">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3">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3">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3">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3">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3">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3">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1">
        <f ca="1">IF(OR($D169&lt;&gt;"Serviço",AND(AUTOEVENTO="Manual",$M169=$A$15)),0,
         IF(OFFSET(CRONOPLE!$F$15,$M169-$A$15,AM$13)=0,10^12,OFFSET(CRONOPLE!$F$15,$M169-$A$15,AM$13)))</f>
        <v>1000000000000</v>
      </c>
      <c r="AN169" s="171">
        <f ca="1">IF(OR($D169&lt;&gt;"Serviço",AND(AUTOEVENTO="Manual",$M169=$A$15)),0,
         IF(OFFSET(CRONOPLE!$F$15,$M169-$A$15,AN$13)=0,10^12,OFFSET(CRONOPLE!$F$15,$M169-$A$15,AN$13)))</f>
        <v>1000000000000</v>
      </c>
      <c r="AO169" s="171">
        <f ca="1">IF(OR($D169&lt;&gt;"Serviço",AND(AUTOEVENTO="Manual",$M169=$A$15)),0,
         IF(OFFSET(CRONOPLE!$F$15,$M169-$A$15,AO$13)=0,10^12,OFFSET(CRONOPLE!$F$15,$M169-$A$15,AO$13)))</f>
        <v>1000000000000</v>
      </c>
      <c r="AP169" s="171">
        <f ca="1">IF(OR($D169&lt;&gt;"Serviço",AND(AUTOEVENTO="Manual",$M169=$A$15)),0,
         IF(OFFSET(CRONOPLE!$F$15,$M169-$A$15,AP$13)=0,10^12,OFFSET(CRONOPLE!$F$15,$M169-$A$15,AP$13)))</f>
        <v>1000000000000</v>
      </c>
      <c r="AQ169" s="171">
        <f ca="1">IF(OR($D169&lt;&gt;"Serviço",AND(AUTOEVENTO="Manual",$M169=$A$15)),0,
         IF(OFFSET(CRONOPLE!$F$15,$M169-$A$15,AQ$13)=0,10^12,OFFSET(CRONOPLE!$F$15,$M169-$A$15,AQ$13)))</f>
        <v>1000000000000</v>
      </c>
      <c r="AR169" s="171">
        <f ca="1">IF(OR($D169&lt;&gt;"Serviço",AND(AUTOEVENTO="Manual",$M169=$A$15)),0,
         IF(OFFSET(CRONOPLE!$F$15,$M169-$A$15,AR$13)=0,10^12,OFFSET(CRONOPLE!$F$15,$M169-$A$15,AR$13)))</f>
        <v>1000000000000</v>
      </c>
      <c r="AS169" s="171">
        <f ca="1">IF(OR($D169&lt;&gt;"Serviço",AND(AUTOEVENTO="Manual",$M169=$A$15)),0,
         IF(OFFSET(CRONOPLE!$F$15,$M169-$A$15,AS$13)=0,10^12,OFFSET(CRONOPLE!$F$15,$M169-$A$15,AS$13)))</f>
        <v>1000000000000</v>
      </c>
      <c r="AT169" s="171">
        <f ca="1">IF(OR($D169&lt;&gt;"Serviço",AND(AUTOEVENTO="Manual",$M169=$A$15)),0,
         IF(OFFSET(CRONOPLE!$F$15,$M169-$A$15,AT$13)=0,10^12,OFFSET(CRONOPLE!$F$15,$M169-$A$15,AT$13)))</f>
        <v>1000000000000</v>
      </c>
      <c r="AU169" s="171">
        <f ca="1">IF(OR($D169&lt;&gt;"Serviço",AND(AUTOEVENTO="Manual",$M169=$A$15)),0,
         IF(OFFSET(CRONOPLE!$F$15,$M169-$A$15,AU$13)=0,10^12,OFFSET(CRONOPLE!$F$15,$M169-$A$15,AU$13)))</f>
        <v>1000000000000</v>
      </c>
      <c r="AV169" s="171">
        <f ca="1">IF(OR($D169&lt;&gt;"Serviço",AND(AUTOEVENTO="Manual",$M169=$A$15)),0,
         IF(OFFSET(CRONOPLE!$F$15,$M169-$A$15,AV$13)=0,10^12,OFFSET(CRONOPLE!$F$15,$M169-$A$15,AV$13)))</f>
        <v>1000000000000</v>
      </c>
      <c r="AX169" s="172" cm="1">
        <f t="array" aca="1" ref="AX169" ca="1">IF(OR($D169&lt;&gt;"Serviço",AND(AUTOEVENTO="Manual",$M169=$A$15),$M169&gt;(ROW(PLE.lastrow)-ROW(PLE.firstrow))),0,
           IF(OFFSET(PLE!$G$15,$M169-$A$15,AX$13)="",10^12,OFFSET(PLE!$G$15,$M169-$A$15,AX$13)))</f>
        <v>1000000000000</v>
      </c>
      <c r="AY169" s="172" cm="1">
        <f t="array" aca="1" ref="AY169" ca="1">IF(OR($D169&lt;&gt;"Serviço",AND(AUTOEVENTO="Manual",$M169=$A$15),$M169&gt;(ROW(PLE.lastrow)-ROW(PLE.firstrow))),0,
           IF(OFFSET(PLE!$G$15,$M169-$A$15,AY$13)="",10^12,OFFSET(PLE!$G$15,$M169-$A$15,AY$13)))</f>
        <v>1000000000000</v>
      </c>
      <c r="AZ169" s="172" cm="1">
        <f t="array" aca="1" ref="AZ169" ca="1">IF(OR($D169&lt;&gt;"Serviço",AND(AUTOEVENTO="Manual",$M169=$A$15),$M169&gt;(ROW(PLE.lastrow)-ROW(PLE.firstrow))),0,
           IF(OFFSET(PLE!$G$15,$M169-$A$15,AZ$13)="",10^12,OFFSET(PLE!$G$15,$M169-$A$15,AZ$13)))</f>
        <v>1000000000000</v>
      </c>
      <c r="BA169" s="172" cm="1">
        <f t="array" aca="1" ref="BA169" ca="1">IF(OR($D169&lt;&gt;"Serviço",AND(AUTOEVENTO="Manual",$M169=$A$15),$M169&gt;(ROW(PLE.lastrow)-ROW(PLE.firstrow))),0,
           IF(OFFSET(PLE!$G$15,$M169-$A$15,BA$13)="",10^12,OFFSET(PLE!$G$15,$M169-$A$15,BA$13)))</f>
        <v>1000000000000</v>
      </c>
      <c r="BB169" s="172" cm="1">
        <f t="array" aca="1" ref="BB169" ca="1">IF(OR($D169&lt;&gt;"Serviço",AND(AUTOEVENTO="Manual",$M169=$A$15),$M169&gt;(ROW(PLE.lastrow)-ROW(PLE.firstrow))),0,
           IF(OFFSET(PLE!$G$15,$M169-$A$15,BB$13)="",10^12,OFFSET(PLE!$G$15,$M169-$A$15,BB$13)))</f>
        <v>1000000000000</v>
      </c>
      <c r="BC169" s="172" cm="1">
        <f t="array" aca="1" ref="BC169" ca="1">IF(OR($D169&lt;&gt;"Serviço",AND(AUTOEVENTO="Manual",$M169=$A$15),$M169&gt;(ROW(PLE.lastrow)-ROW(PLE.firstrow))),0,
           IF(OFFSET(PLE!$G$15,$M169-$A$15,BC$13)="",10^12,OFFSET(PLE!$G$15,$M169-$A$15,BC$13)))</f>
        <v>1000000000000</v>
      </c>
      <c r="BD169" s="172" cm="1">
        <f t="array" aca="1" ref="BD169" ca="1">IF(OR($D169&lt;&gt;"Serviço",AND(AUTOEVENTO="Manual",$M169=$A$15),$M169&gt;(ROW(PLE.lastrow)-ROW(PLE.firstrow))),0,
           IF(OFFSET(PLE!$G$15,$M169-$A$15,BD$13)="",10^12,OFFSET(PLE!$G$15,$M169-$A$15,BD$13)))</f>
        <v>1000000000000</v>
      </c>
      <c r="BE169" s="172" cm="1">
        <f t="array" aca="1" ref="BE169" ca="1">IF(OR($D169&lt;&gt;"Serviço",AND(AUTOEVENTO="Manual",$M169=$A$15),$M169&gt;(ROW(PLE.lastrow)-ROW(PLE.firstrow))),0,
           IF(OFFSET(PLE!$G$15,$M169-$A$15,BE$13)="",10^12,OFFSET(PLE!$G$15,$M169-$A$15,BE$13)))</f>
        <v>1000000000000</v>
      </c>
      <c r="BF169" s="172" cm="1">
        <f t="array" aca="1" ref="BF169" ca="1">IF(OR($D169&lt;&gt;"Serviço",AND(AUTOEVENTO="Manual",$M169=$A$15),$M169&gt;(ROW(PLE.lastrow)-ROW(PLE.firstrow))),0,
           IF(OFFSET(PLE!$G$15,$M169-$A$15,BF$13)="",10^12,OFFSET(PLE!$G$15,$M169-$A$15,BF$13)))</f>
        <v>1000000000000</v>
      </c>
      <c r="BG169" s="172" cm="1">
        <f t="array" aca="1" ref="BG169" ca="1">IF(OR($D169&lt;&gt;"Serviço",AND(AUTOEVENTO="Manual",$M169=$A$15),$M169&gt;(ROW(PLE.lastrow)-ROW(PLE.firstrow))),0,
           IF(OFFSET(PLE!$G$15,$M169-$A$15,BG$13)="",10^12,OFFSET(PLE!$G$15,$M169-$A$15,BG$13)))</f>
        <v>1000000000000</v>
      </c>
    </row>
    <row r="170" spans="1:59" ht="51" x14ac:dyDescent="0.2">
      <c r="A170" s="7" t="str">
        <f t="shared" ca="1" si="8"/>
        <v>117</v>
      </c>
      <c r="B170" s="7" t="str">
        <f ca="1">OFFSET(ORÇAMENTO!C$15,$L170,0)</f>
        <v>S</v>
      </c>
      <c r="C170" s="7" t="str">
        <f ca="1">OFFSET(ORÇAMENTO!L$15,$L170,0)</f>
        <v>F</v>
      </c>
      <c r="D170" s="116" t="str">
        <f ca="1">OFFSET(ORÇAMENTO!N$15,$L170,0)</f>
        <v>Serviço</v>
      </c>
      <c r="E170" s="117" t="str">
        <f ca="1">OFFSET(ORÇAMENTO!O$15,$L170,0)</f>
        <v>1.8.7.0.4.</v>
      </c>
      <c r="F170" s="163" t="str">
        <f ca="1">OFFSET(ORÇAMENTO!R$15,$L170,0)</f>
        <v>TANQUE DE LOUÇA BRANCA COM COLUNA, 30L OU EQUIVALENTE, INCLUSO SIFÃO FLEXÍVEL EM PVC, VÁLVULA PLÁSTICA E TORNEIRA DE METAL CROMADO PADRÃO POPULAR - FORNECIMENTO E INSTALAÇÃO. AF_02/2026</v>
      </c>
      <c r="G170" s="164" t="str">
        <f ca="1">IF($D170&lt;&gt;"Serviço","",OFFSET(ORÇAMENTO!S$15,$L170,0))</f>
        <v>UN</v>
      </c>
      <c r="H170" s="122" cm="1">
        <f t="array" aca="1" ref="H170" ca="1">IF($D170&lt;&gt;"Serviço",0,IF(ACOMPANHAMENTO="BM",ROUND(OFFSET(ORÇAMENTO!AJ$15,$L170,0),15-13*ORÇAMENTO!$AF$7),IF(IFERROR(CÁLCULO.FrentesPreenchidas,0)=0,0,SUM(ROUND(OFFSET($P170,0,1,1,CÁLCULO.FrentesPreenchidas),15-13*ORÇAMENTO!$AF$7)))))</f>
        <v>30</v>
      </c>
      <c r="I170" s="468"/>
      <c r="J170" s="651"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
      </c>
      <c r="K170" s="652"/>
      <c r="L170" s="165">
        <f t="shared" ca="1" si="9"/>
        <v>155</v>
      </c>
      <c r="M170" s="166">
        <f ca="1">IF($D170&lt;&gt;"Serviço","",
          IF(AUTOEVENTO="manual",$A170,
                IF(ISERROR(MATCH($A170,$A$15:OFFSET($A170,-1,0),0)),MAX($M$15:OFFSET(M170,-1,0))+1,
                      INDEX($M$15:OFFSET(M170,-1,0),MATCH($A170,$A$15:OFFSET($A170,-1,0),0)))))</f>
        <v>8</v>
      </c>
      <c r="N170" s="167" t="str">
        <f ca="1">IF($D170&lt;&gt;"Serviço","",
         IF(AUTOEVENTO="Manual",
                IF($A170=0,"&lt;-- defina o número do agrupador",
                       OFFSET(EVENTOS!$D$15,$A170-$A$15,0)),
                OFFSET($F$15,$A170,0)))</f>
        <v>INSTALAÇÕES HIDROSSANITARIAS</v>
      </c>
      <c r="O170" s="168"/>
      <c r="Q170" s="168"/>
      <c r="R170" s="169"/>
      <c r="S170" s="169"/>
      <c r="T170" s="169"/>
      <c r="U170" s="169"/>
      <c r="V170" s="169"/>
      <c r="W170" s="169"/>
      <c r="X170" s="169"/>
      <c r="Y170" s="169"/>
      <c r="Z170" s="170"/>
      <c r="AB170" s="453">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3">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3">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3">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3">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3">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3">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3">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1">
        <f ca="1">IF(OR($D170&lt;&gt;"Serviço",AND(AUTOEVENTO="Manual",$M170=$A$15)),0,
         IF(OFFSET(CRONOPLE!$F$15,$M170-$A$15,AM$13)=0,10^12,OFFSET(CRONOPLE!$F$15,$M170-$A$15,AM$13)))</f>
        <v>1000000000000</v>
      </c>
      <c r="AN170" s="171">
        <f ca="1">IF(OR($D170&lt;&gt;"Serviço",AND(AUTOEVENTO="Manual",$M170=$A$15)),0,
         IF(OFFSET(CRONOPLE!$F$15,$M170-$A$15,AN$13)=0,10^12,OFFSET(CRONOPLE!$F$15,$M170-$A$15,AN$13)))</f>
        <v>1000000000000</v>
      </c>
      <c r="AO170" s="171">
        <f ca="1">IF(OR($D170&lt;&gt;"Serviço",AND(AUTOEVENTO="Manual",$M170=$A$15)),0,
         IF(OFFSET(CRONOPLE!$F$15,$M170-$A$15,AO$13)=0,10^12,OFFSET(CRONOPLE!$F$15,$M170-$A$15,AO$13)))</f>
        <v>1000000000000</v>
      </c>
      <c r="AP170" s="171">
        <f ca="1">IF(OR($D170&lt;&gt;"Serviço",AND(AUTOEVENTO="Manual",$M170=$A$15)),0,
         IF(OFFSET(CRONOPLE!$F$15,$M170-$A$15,AP$13)=0,10^12,OFFSET(CRONOPLE!$F$15,$M170-$A$15,AP$13)))</f>
        <v>1000000000000</v>
      </c>
      <c r="AQ170" s="171">
        <f ca="1">IF(OR($D170&lt;&gt;"Serviço",AND(AUTOEVENTO="Manual",$M170=$A$15)),0,
         IF(OFFSET(CRONOPLE!$F$15,$M170-$A$15,AQ$13)=0,10^12,OFFSET(CRONOPLE!$F$15,$M170-$A$15,AQ$13)))</f>
        <v>1000000000000</v>
      </c>
      <c r="AR170" s="171">
        <f ca="1">IF(OR($D170&lt;&gt;"Serviço",AND(AUTOEVENTO="Manual",$M170=$A$15)),0,
         IF(OFFSET(CRONOPLE!$F$15,$M170-$A$15,AR$13)=0,10^12,OFFSET(CRONOPLE!$F$15,$M170-$A$15,AR$13)))</f>
        <v>1000000000000</v>
      </c>
      <c r="AS170" s="171">
        <f ca="1">IF(OR($D170&lt;&gt;"Serviço",AND(AUTOEVENTO="Manual",$M170=$A$15)),0,
         IF(OFFSET(CRONOPLE!$F$15,$M170-$A$15,AS$13)=0,10^12,OFFSET(CRONOPLE!$F$15,$M170-$A$15,AS$13)))</f>
        <v>1000000000000</v>
      </c>
      <c r="AT170" s="171">
        <f ca="1">IF(OR($D170&lt;&gt;"Serviço",AND(AUTOEVENTO="Manual",$M170=$A$15)),0,
         IF(OFFSET(CRONOPLE!$F$15,$M170-$A$15,AT$13)=0,10^12,OFFSET(CRONOPLE!$F$15,$M170-$A$15,AT$13)))</f>
        <v>1000000000000</v>
      </c>
      <c r="AU170" s="171">
        <f ca="1">IF(OR($D170&lt;&gt;"Serviço",AND(AUTOEVENTO="Manual",$M170=$A$15)),0,
         IF(OFFSET(CRONOPLE!$F$15,$M170-$A$15,AU$13)=0,10^12,OFFSET(CRONOPLE!$F$15,$M170-$A$15,AU$13)))</f>
        <v>1000000000000</v>
      </c>
      <c r="AV170" s="171">
        <f ca="1">IF(OR($D170&lt;&gt;"Serviço",AND(AUTOEVENTO="Manual",$M170=$A$15)),0,
         IF(OFFSET(CRONOPLE!$F$15,$M170-$A$15,AV$13)=0,10^12,OFFSET(CRONOPLE!$F$15,$M170-$A$15,AV$13)))</f>
        <v>1000000000000</v>
      </c>
      <c r="AX170" s="172" cm="1">
        <f t="array" aca="1" ref="AX170" ca="1">IF(OR($D170&lt;&gt;"Serviço",AND(AUTOEVENTO="Manual",$M170=$A$15),$M170&gt;(ROW(PLE.lastrow)-ROW(PLE.firstrow))),0,
           IF(OFFSET(PLE!$G$15,$M170-$A$15,AX$13)="",10^12,OFFSET(PLE!$G$15,$M170-$A$15,AX$13)))</f>
        <v>1000000000000</v>
      </c>
      <c r="AY170" s="172" cm="1">
        <f t="array" aca="1" ref="AY170" ca="1">IF(OR($D170&lt;&gt;"Serviço",AND(AUTOEVENTO="Manual",$M170=$A$15),$M170&gt;(ROW(PLE.lastrow)-ROW(PLE.firstrow))),0,
           IF(OFFSET(PLE!$G$15,$M170-$A$15,AY$13)="",10^12,OFFSET(PLE!$G$15,$M170-$A$15,AY$13)))</f>
        <v>1000000000000</v>
      </c>
      <c r="AZ170" s="172" cm="1">
        <f t="array" aca="1" ref="AZ170" ca="1">IF(OR($D170&lt;&gt;"Serviço",AND(AUTOEVENTO="Manual",$M170=$A$15),$M170&gt;(ROW(PLE.lastrow)-ROW(PLE.firstrow))),0,
           IF(OFFSET(PLE!$G$15,$M170-$A$15,AZ$13)="",10^12,OFFSET(PLE!$G$15,$M170-$A$15,AZ$13)))</f>
        <v>1000000000000</v>
      </c>
      <c r="BA170" s="172" cm="1">
        <f t="array" aca="1" ref="BA170" ca="1">IF(OR($D170&lt;&gt;"Serviço",AND(AUTOEVENTO="Manual",$M170=$A$15),$M170&gt;(ROW(PLE.lastrow)-ROW(PLE.firstrow))),0,
           IF(OFFSET(PLE!$G$15,$M170-$A$15,BA$13)="",10^12,OFFSET(PLE!$G$15,$M170-$A$15,BA$13)))</f>
        <v>1000000000000</v>
      </c>
      <c r="BB170" s="172" cm="1">
        <f t="array" aca="1" ref="BB170" ca="1">IF(OR($D170&lt;&gt;"Serviço",AND(AUTOEVENTO="Manual",$M170=$A$15),$M170&gt;(ROW(PLE.lastrow)-ROW(PLE.firstrow))),0,
           IF(OFFSET(PLE!$G$15,$M170-$A$15,BB$13)="",10^12,OFFSET(PLE!$G$15,$M170-$A$15,BB$13)))</f>
        <v>1000000000000</v>
      </c>
      <c r="BC170" s="172" cm="1">
        <f t="array" aca="1" ref="BC170" ca="1">IF(OR($D170&lt;&gt;"Serviço",AND(AUTOEVENTO="Manual",$M170=$A$15),$M170&gt;(ROW(PLE.lastrow)-ROW(PLE.firstrow))),0,
           IF(OFFSET(PLE!$G$15,$M170-$A$15,BC$13)="",10^12,OFFSET(PLE!$G$15,$M170-$A$15,BC$13)))</f>
        <v>1000000000000</v>
      </c>
      <c r="BD170" s="172" cm="1">
        <f t="array" aca="1" ref="BD170" ca="1">IF(OR($D170&lt;&gt;"Serviço",AND(AUTOEVENTO="Manual",$M170=$A$15),$M170&gt;(ROW(PLE.lastrow)-ROW(PLE.firstrow))),0,
           IF(OFFSET(PLE!$G$15,$M170-$A$15,BD$13)="",10^12,OFFSET(PLE!$G$15,$M170-$A$15,BD$13)))</f>
        <v>1000000000000</v>
      </c>
      <c r="BE170" s="172" cm="1">
        <f t="array" aca="1" ref="BE170" ca="1">IF(OR($D170&lt;&gt;"Serviço",AND(AUTOEVENTO="Manual",$M170=$A$15),$M170&gt;(ROW(PLE.lastrow)-ROW(PLE.firstrow))),0,
           IF(OFFSET(PLE!$G$15,$M170-$A$15,BE$13)="",10^12,OFFSET(PLE!$G$15,$M170-$A$15,BE$13)))</f>
        <v>1000000000000</v>
      </c>
      <c r="BF170" s="172" cm="1">
        <f t="array" aca="1" ref="BF170" ca="1">IF(OR($D170&lt;&gt;"Serviço",AND(AUTOEVENTO="Manual",$M170=$A$15),$M170&gt;(ROW(PLE.lastrow)-ROW(PLE.firstrow))),0,
           IF(OFFSET(PLE!$G$15,$M170-$A$15,BF$13)="",10^12,OFFSET(PLE!$G$15,$M170-$A$15,BF$13)))</f>
        <v>1000000000000</v>
      </c>
      <c r="BG170" s="172" cm="1">
        <f t="array" aca="1" ref="BG170" ca="1">IF(OR($D170&lt;&gt;"Serviço",AND(AUTOEVENTO="Manual",$M170=$A$15),$M170&gt;(ROW(PLE.lastrow)-ROW(PLE.firstrow))),0,
           IF(OFFSET(PLE!$G$15,$M170-$A$15,BG$13)="",10^12,OFFSET(PLE!$G$15,$M170-$A$15,BG$13)))</f>
        <v>1000000000000</v>
      </c>
    </row>
    <row r="171" spans="1:59" ht="63.75" x14ac:dyDescent="0.2">
      <c r="A171" s="7" t="str">
        <f t="shared" ca="1" si="8"/>
        <v>117</v>
      </c>
      <c r="B171" s="7" t="str">
        <f ca="1">OFFSET(ORÇAMENTO!C$15,$L171,0)</f>
        <v>S</v>
      </c>
      <c r="C171" s="7" t="str">
        <f ca="1">OFFSET(ORÇAMENTO!L$15,$L171,0)</f>
        <v>F</v>
      </c>
      <c r="D171" s="116" t="str">
        <f ca="1">OFFSET(ORÇAMENTO!N$15,$L171,0)</f>
        <v>Serviço</v>
      </c>
      <c r="E171" s="117" t="str">
        <f ca="1">OFFSET(ORÇAMENTO!O$15,$L171,0)</f>
        <v>1.8.7.0.5.</v>
      </c>
      <c r="F171" s="163" t="str">
        <f ca="1">OFFSET(ORÇAMENTO!R$15,$L171,0)</f>
        <v>BANCADA DE MÁRMORE SINTÉTICO 120 X 60CM, COM CUBA INTEGRADA, INCLUSO SIFÃO TIPO FLEXÍVEL EM PVC, VÁLVULA EM PLÁSTICO CROMADO TIPO AMERICANA E TORNEIRA CROMADA LONGA, DE PAREDE, PADRÃO POPULAR - FORNECIMENTO E INSTALAÇÃO. AF_02/2026</v>
      </c>
      <c r="G171" s="164" t="str">
        <f ca="1">IF($D171&lt;&gt;"Serviço","",OFFSET(ORÇAMENTO!S$15,$L171,0))</f>
        <v>UN</v>
      </c>
      <c r="H171" s="122" cm="1">
        <f t="array" aca="1" ref="H171" ca="1">IF($D171&lt;&gt;"Serviço",0,IF(ACOMPANHAMENTO="BM",ROUND(OFFSET(ORÇAMENTO!AJ$15,$L171,0),15-13*ORÇAMENTO!$AF$7),IF(IFERROR(CÁLCULO.FrentesPreenchidas,0)=0,0,SUM(ROUND(OFFSET($P171,0,1,1,CÁLCULO.FrentesPreenchidas),15-13*ORÇAMENTO!$AF$7)))))</f>
        <v>30</v>
      </c>
      <c r="I171" s="468"/>
      <c r="J171" s="651" t="str" cm="1">
        <f t="array" aca="1" ref="J171" ca="1">IF(OR(B171&lt;&gt;"S",CÁLCULO.FrentesPreenchidas=0),"",IF(AND(ACOMPANHAMENTO="PLE",AUTOEVENTO="Manual",OR(H171&gt;0,ORÇAMENTO!AC171="QUANT."),OR(K171="",M171=0,N171="")),"►E",IF(AND(ACOMPANHAMENTO="PLE",ORÇAMENTO!AC171="QUANT."),"►Q",IF(AND(ACOMPANHAMENTO="PLE",H171&lt;&gt;SUMPRODUCT(($Q$1:$AA$1=1)*ROUND(Q171:AA171,15))),"►S",IF(AND(COUNTIF($P$11:$AA$11,"▼")=0,H171&gt;0,I171=""),"◄M","")))))</f>
        <v/>
      </c>
      <c r="K171" s="652"/>
      <c r="L171" s="165">
        <f t="shared" ca="1" si="9"/>
        <v>156</v>
      </c>
      <c r="M171" s="166">
        <f ca="1">IF($D171&lt;&gt;"Serviço","",
          IF(AUTOEVENTO="manual",$A171,
                IF(ISERROR(MATCH($A171,$A$15:OFFSET($A171,-1,0),0)),MAX($M$15:OFFSET(M171,-1,0))+1,
                      INDEX($M$15:OFFSET(M171,-1,0),MATCH($A171,$A$15:OFFSET($A171,-1,0),0)))))</f>
        <v>8</v>
      </c>
      <c r="N171" s="167" t="str">
        <f ca="1">IF($D171&lt;&gt;"Serviço","",
         IF(AUTOEVENTO="Manual",
                IF($A171=0,"&lt;-- defina o número do agrupador",
                       OFFSET(EVENTOS!$D$15,$A171-$A$15,0)),
                OFFSET($F$15,$A171,0)))</f>
        <v>INSTALAÇÕES HIDROSSANITARIAS</v>
      </c>
      <c r="O171" s="168"/>
      <c r="Q171" s="168"/>
      <c r="R171" s="169"/>
      <c r="S171" s="169"/>
      <c r="T171" s="169"/>
      <c r="U171" s="169"/>
      <c r="V171" s="169"/>
      <c r="W171" s="169"/>
      <c r="X171" s="169"/>
      <c r="Y171" s="169"/>
      <c r="Z171" s="170"/>
      <c r="AB171" s="453">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3">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3">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3">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3">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3">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3">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3">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1">
        <f ca="1">IF(OR($D171&lt;&gt;"Serviço",AND(AUTOEVENTO="Manual",$M171=$A$15)),0,
         IF(OFFSET(CRONOPLE!$F$15,$M171-$A$15,AM$13)=0,10^12,OFFSET(CRONOPLE!$F$15,$M171-$A$15,AM$13)))</f>
        <v>1000000000000</v>
      </c>
      <c r="AN171" s="171">
        <f ca="1">IF(OR($D171&lt;&gt;"Serviço",AND(AUTOEVENTO="Manual",$M171=$A$15)),0,
         IF(OFFSET(CRONOPLE!$F$15,$M171-$A$15,AN$13)=0,10^12,OFFSET(CRONOPLE!$F$15,$M171-$A$15,AN$13)))</f>
        <v>1000000000000</v>
      </c>
      <c r="AO171" s="171">
        <f ca="1">IF(OR($D171&lt;&gt;"Serviço",AND(AUTOEVENTO="Manual",$M171=$A$15)),0,
         IF(OFFSET(CRONOPLE!$F$15,$M171-$A$15,AO$13)=0,10^12,OFFSET(CRONOPLE!$F$15,$M171-$A$15,AO$13)))</f>
        <v>1000000000000</v>
      </c>
      <c r="AP171" s="171">
        <f ca="1">IF(OR($D171&lt;&gt;"Serviço",AND(AUTOEVENTO="Manual",$M171=$A$15)),0,
         IF(OFFSET(CRONOPLE!$F$15,$M171-$A$15,AP$13)=0,10^12,OFFSET(CRONOPLE!$F$15,$M171-$A$15,AP$13)))</f>
        <v>1000000000000</v>
      </c>
      <c r="AQ171" s="171">
        <f ca="1">IF(OR($D171&lt;&gt;"Serviço",AND(AUTOEVENTO="Manual",$M171=$A$15)),0,
         IF(OFFSET(CRONOPLE!$F$15,$M171-$A$15,AQ$13)=0,10^12,OFFSET(CRONOPLE!$F$15,$M171-$A$15,AQ$13)))</f>
        <v>1000000000000</v>
      </c>
      <c r="AR171" s="171">
        <f ca="1">IF(OR($D171&lt;&gt;"Serviço",AND(AUTOEVENTO="Manual",$M171=$A$15)),0,
         IF(OFFSET(CRONOPLE!$F$15,$M171-$A$15,AR$13)=0,10^12,OFFSET(CRONOPLE!$F$15,$M171-$A$15,AR$13)))</f>
        <v>1000000000000</v>
      </c>
      <c r="AS171" s="171">
        <f ca="1">IF(OR($D171&lt;&gt;"Serviço",AND(AUTOEVENTO="Manual",$M171=$A$15)),0,
         IF(OFFSET(CRONOPLE!$F$15,$M171-$A$15,AS$13)=0,10^12,OFFSET(CRONOPLE!$F$15,$M171-$A$15,AS$13)))</f>
        <v>1000000000000</v>
      </c>
      <c r="AT171" s="171">
        <f ca="1">IF(OR($D171&lt;&gt;"Serviço",AND(AUTOEVENTO="Manual",$M171=$A$15)),0,
         IF(OFFSET(CRONOPLE!$F$15,$M171-$A$15,AT$13)=0,10^12,OFFSET(CRONOPLE!$F$15,$M171-$A$15,AT$13)))</f>
        <v>1000000000000</v>
      </c>
      <c r="AU171" s="171">
        <f ca="1">IF(OR($D171&lt;&gt;"Serviço",AND(AUTOEVENTO="Manual",$M171=$A$15)),0,
         IF(OFFSET(CRONOPLE!$F$15,$M171-$A$15,AU$13)=0,10^12,OFFSET(CRONOPLE!$F$15,$M171-$A$15,AU$13)))</f>
        <v>1000000000000</v>
      </c>
      <c r="AV171" s="171">
        <f ca="1">IF(OR($D171&lt;&gt;"Serviço",AND(AUTOEVENTO="Manual",$M171=$A$15)),0,
         IF(OFFSET(CRONOPLE!$F$15,$M171-$A$15,AV$13)=0,10^12,OFFSET(CRONOPLE!$F$15,$M171-$A$15,AV$13)))</f>
        <v>1000000000000</v>
      </c>
      <c r="AX171" s="172" cm="1">
        <f t="array" aca="1" ref="AX171" ca="1">IF(OR($D171&lt;&gt;"Serviço",AND(AUTOEVENTO="Manual",$M171=$A$15),$M171&gt;(ROW(PLE.lastrow)-ROW(PLE.firstrow))),0,
           IF(OFFSET(PLE!$G$15,$M171-$A$15,AX$13)="",10^12,OFFSET(PLE!$G$15,$M171-$A$15,AX$13)))</f>
        <v>1000000000000</v>
      </c>
      <c r="AY171" s="172" cm="1">
        <f t="array" aca="1" ref="AY171" ca="1">IF(OR($D171&lt;&gt;"Serviço",AND(AUTOEVENTO="Manual",$M171=$A$15),$M171&gt;(ROW(PLE.lastrow)-ROW(PLE.firstrow))),0,
           IF(OFFSET(PLE!$G$15,$M171-$A$15,AY$13)="",10^12,OFFSET(PLE!$G$15,$M171-$A$15,AY$13)))</f>
        <v>1000000000000</v>
      </c>
      <c r="AZ171" s="172" cm="1">
        <f t="array" aca="1" ref="AZ171" ca="1">IF(OR($D171&lt;&gt;"Serviço",AND(AUTOEVENTO="Manual",$M171=$A$15),$M171&gt;(ROW(PLE.lastrow)-ROW(PLE.firstrow))),0,
           IF(OFFSET(PLE!$G$15,$M171-$A$15,AZ$13)="",10^12,OFFSET(PLE!$G$15,$M171-$A$15,AZ$13)))</f>
        <v>1000000000000</v>
      </c>
      <c r="BA171" s="172" cm="1">
        <f t="array" aca="1" ref="BA171" ca="1">IF(OR($D171&lt;&gt;"Serviço",AND(AUTOEVENTO="Manual",$M171=$A$15),$M171&gt;(ROW(PLE.lastrow)-ROW(PLE.firstrow))),0,
           IF(OFFSET(PLE!$G$15,$M171-$A$15,BA$13)="",10^12,OFFSET(PLE!$G$15,$M171-$A$15,BA$13)))</f>
        <v>1000000000000</v>
      </c>
      <c r="BB171" s="172" cm="1">
        <f t="array" aca="1" ref="BB171" ca="1">IF(OR($D171&lt;&gt;"Serviço",AND(AUTOEVENTO="Manual",$M171=$A$15),$M171&gt;(ROW(PLE.lastrow)-ROW(PLE.firstrow))),0,
           IF(OFFSET(PLE!$G$15,$M171-$A$15,BB$13)="",10^12,OFFSET(PLE!$G$15,$M171-$A$15,BB$13)))</f>
        <v>1000000000000</v>
      </c>
      <c r="BC171" s="172" cm="1">
        <f t="array" aca="1" ref="BC171" ca="1">IF(OR($D171&lt;&gt;"Serviço",AND(AUTOEVENTO="Manual",$M171=$A$15),$M171&gt;(ROW(PLE.lastrow)-ROW(PLE.firstrow))),0,
           IF(OFFSET(PLE!$G$15,$M171-$A$15,BC$13)="",10^12,OFFSET(PLE!$G$15,$M171-$A$15,BC$13)))</f>
        <v>1000000000000</v>
      </c>
      <c r="BD171" s="172" cm="1">
        <f t="array" aca="1" ref="BD171" ca="1">IF(OR($D171&lt;&gt;"Serviço",AND(AUTOEVENTO="Manual",$M171=$A$15),$M171&gt;(ROW(PLE.lastrow)-ROW(PLE.firstrow))),0,
           IF(OFFSET(PLE!$G$15,$M171-$A$15,BD$13)="",10^12,OFFSET(PLE!$G$15,$M171-$A$15,BD$13)))</f>
        <v>1000000000000</v>
      </c>
      <c r="BE171" s="172" cm="1">
        <f t="array" aca="1" ref="BE171" ca="1">IF(OR($D171&lt;&gt;"Serviço",AND(AUTOEVENTO="Manual",$M171=$A$15),$M171&gt;(ROW(PLE.lastrow)-ROW(PLE.firstrow))),0,
           IF(OFFSET(PLE!$G$15,$M171-$A$15,BE$13)="",10^12,OFFSET(PLE!$G$15,$M171-$A$15,BE$13)))</f>
        <v>1000000000000</v>
      </c>
      <c r="BF171" s="172" cm="1">
        <f t="array" aca="1" ref="BF171" ca="1">IF(OR($D171&lt;&gt;"Serviço",AND(AUTOEVENTO="Manual",$M171=$A$15),$M171&gt;(ROW(PLE.lastrow)-ROW(PLE.firstrow))),0,
           IF(OFFSET(PLE!$G$15,$M171-$A$15,BF$13)="",10^12,OFFSET(PLE!$G$15,$M171-$A$15,BF$13)))</f>
        <v>1000000000000</v>
      </c>
      <c r="BG171" s="172" cm="1">
        <f t="array" aca="1" ref="BG171" ca="1">IF(OR($D171&lt;&gt;"Serviço",AND(AUTOEVENTO="Manual",$M171=$A$15),$M171&gt;(ROW(PLE.lastrow)-ROW(PLE.firstrow))),0,
           IF(OFFSET(PLE!$G$15,$M171-$A$15,BG$13)="",10^12,OFFSET(PLE!$G$15,$M171-$A$15,BG$13)))</f>
        <v>1000000000000</v>
      </c>
    </row>
    <row r="172" spans="1:59" ht="12.75" x14ac:dyDescent="0.2">
      <c r="A172" s="7" t="str">
        <f t="shared" ca="1" si="8"/>
        <v>117</v>
      </c>
      <c r="B172" s="7">
        <f ca="1">OFFSET(ORÇAMENTO!C$15,$L172,0)</f>
        <v>3</v>
      </c>
      <c r="C172" s="7" t="str">
        <f ca="1">OFFSET(ORÇAMENTO!L$15,$L172,0)</f>
        <v>F</v>
      </c>
      <c r="D172" s="116" t="str">
        <f ca="1">OFFSET(ORÇAMENTO!N$15,$L172,0)</f>
        <v>Nível 3</v>
      </c>
      <c r="E172" s="117" t="str">
        <f ca="1">OFFSET(ORÇAMENTO!O$15,$L172,0)</f>
        <v>1.8.8.</v>
      </c>
      <c r="F172" s="163" t="str">
        <f ca="1">OFFSET(ORÇAMENTO!R$15,$L172,0)</f>
        <v>RESERVATÓRIO</v>
      </c>
      <c r="G172" s="164" t="str">
        <f ca="1">IF($D172&lt;&gt;"Serviço","",OFFSET(ORÇAMENTO!S$15,$L172,0))</f>
        <v/>
      </c>
      <c r="H172" s="122" cm="1">
        <f t="array" aca="1" ref="H172" ca="1">IF($D172&lt;&gt;"Serviço",0,IF(ACOMPANHAMENTO="BM",ROUND(OFFSET(ORÇAMENTO!AJ$15,$L172,0),15-13*ORÇAMENTO!$AF$7),IF(IFERROR(CÁLCULO.FrentesPreenchidas,0)=0,0,SUM(ROUND(OFFSET($P172,0,1,1,CÁLCULO.FrentesPreenchidas),15-13*ORÇAMENTO!$AF$7)))))</f>
        <v>0</v>
      </c>
      <c r="I172" s="468"/>
      <c r="J172" s="651" t="str" cm="1">
        <f t="array" aca="1" ref="J172" ca="1">IF(OR(B172&lt;&gt;"S",CÁLCULO.FrentesPreenchidas=0),"",IF(AND(ACOMPANHAMENTO="PLE",AUTOEVENTO="Manual",OR(H172&gt;0,ORÇAMENTO!AC172="QUANT."),OR(K172="",M172=0,N172="")),"►E",IF(AND(ACOMPANHAMENTO="PLE",ORÇAMENTO!AC172="QUANT."),"►Q",IF(AND(ACOMPANHAMENTO="PLE",H172&lt;&gt;SUMPRODUCT(($Q$1:$AA$1=1)*ROUND(Q172:AA172,15))),"►S",IF(AND(COUNTIF($P$11:$AA$11,"▼")=0,H172&gt;0,I172=""),"◄M","")))))</f>
        <v/>
      </c>
      <c r="K172" s="652"/>
      <c r="L172" s="165">
        <f t="shared" ca="1" si="9"/>
        <v>157</v>
      </c>
      <c r="M172" s="166" t="str">
        <f ca="1">IF($D172&lt;&gt;"Serviço","",
          IF(AUTOEVENTO="manual",$A172,
                IF(ISERROR(MATCH($A172,$A$15:OFFSET($A172,-1,0),0)),MAX($M$15:OFFSET(M172,-1,0))+1,
                      INDEX($M$15:OFFSET(M172,-1,0),MATCH($A172,$A$15:OFFSET($A172,-1,0),0)))))</f>
        <v/>
      </c>
      <c r="N172" s="167" t="str">
        <f ca="1">IF($D172&lt;&gt;"Serviço","",
         IF(AUTOEVENTO="Manual",
                IF($A172=0,"&lt;-- defina o número do agrupador",
                       OFFSET(EVENTOS!$D$15,$A172-$A$15,0)),
                OFFSET($F$15,$A172,0)))</f>
        <v/>
      </c>
      <c r="O172" s="168"/>
      <c r="Q172" s="168"/>
      <c r="R172" s="169"/>
      <c r="S172" s="169"/>
      <c r="T172" s="169"/>
      <c r="U172" s="169"/>
      <c r="V172" s="169"/>
      <c r="W172" s="169"/>
      <c r="X172" s="169"/>
      <c r="Y172" s="169"/>
      <c r="Z172" s="170"/>
      <c r="AB172" s="453">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3">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3">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3">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3">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3">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3">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3">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1">
        <f ca="1">IF(OR($D172&lt;&gt;"Serviço",AND(AUTOEVENTO="Manual",$M172=$A$15)),0,
         IF(OFFSET(CRONOPLE!$F$15,$M172-$A$15,AM$13)=0,10^12,OFFSET(CRONOPLE!$F$15,$M172-$A$15,AM$13)))</f>
        <v>0</v>
      </c>
      <c r="AN172" s="171">
        <f ca="1">IF(OR($D172&lt;&gt;"Serviço",AND(AUTOEVENTO="Manual",$M172=$A$15)),0,
         IF(OFFSET(CRONOPLE!$F$15,$M172-$A$15,AN$13)=0,10^12,OFFSET(CRONOPLE!$F$15,$M172-$A$15,AN$13)))</f>
        <v>0</v>
      </c>
      <c r="AO172" s="171">
        <f ca="1">IF(OR($D172&lt;&gt;"Serviço",AND(AUTOEVENTO="Manual",$M172=$A$15)),0,
         IF(OFFSET(CRONOPLE!$F$15,$M172-$A$15,AO$13)=0,10^12,OFFSET(CRONOPLE!$F$15,$M172-$A$15,AO$13)))</f>
        <v>0</v>
      </c>
      <c r="AP172" s="171">
        <f ca="1">IF(OR($D172&lt;&gt;"Serviço",AND(AUTOEVENTO="Manual",$M172=$A$15)),0,
         IF(OFFSET(CRONOPLE!$F$15,$M172-$A$15,AP$13)=0,10^12,OFFSET(CRONOPLE!$F$15,$M172-$A$15,AP$13)))</f>
        <v>0</v>
      </c>
      <c r="AQ172" s="171">
        <f ca="1">IF(OR($D172&lt;&gt;"Serviço",AND(AUTOEVENTO="Manual",$M172=$A$15)),0,
         IF(OFFSET(CRONOPLE!$F$15,$M172-$A$15,AQ$13)=0,10^12,OFFSET(CRONOPLE!$F$15,$M172-$A$15,AQ$13)))</f>
        <v>0</v>
      </c>
      <c r="AR172" s="171">
        <f ca="1">IF(OR($D172&lt;&gt;"Serviço",AND(AUTOEVENTO="Manual",$M172=$A$15)),0,
         IF(OFFSET(CRONOPLE!$F$15,$M172-$A$15,AR$13)=0,10^12,OFFSET(CRONOPLE!$F$15,$M172-$A$15,AR$13)))</f>
        <v>0</v>
      </c>
      <c r="AS172" s="171">
        <f ca="1">IF(OR($D172&lt;&gt;"Serviço",AND(AUTOEVENTO="Manual",$M172=$A$15)),0,
         IF(OFFSET(CRONOPLE!$F$15,$M172-$A$15,AS$13)=0,10^12,OFFSET(CRONOPLE!$F$15,$M172-$A$15,AS$13)))</f>
        <v>0</v>
      </c>
      <c r="AT172" s="171">
        <f ca="1">IF(OR($D172&lt;&gt;"Serviço",AND(AUTOEVENTO="Manual",$M172=$A$15)),0,
         IF(OFFSET(CRONOPLE!$F$15,$M172-$A$15,AT$13)=0,10^12,OFFSET(CRONOPLE!$F$15,$M172-$A$15,AT$13)))</f>
        <v>0</v>
      </c>
      <c r="AU172" s="171">
        <f ca="1">IF(OR($D172&lt;&gt;"Serviço",AND(AUTOEVENTO="Manual",$M172=$A$15)),0,
         IF(OFFSET(CRONOPLE!$F$15,$M172-$A$15,AU$13)=0,10^12,OFFSET(CRONOPLE!$F$15,$M172-$A$15,AU$13)))</f>
        <v>0</v>
      </c>
      <c r="AV172" s="171">
        <f ca="1">IF(OR($D172&lt;&gt;"Serviço",AND(AUTOEVENTO="Manual",$M172=$A$15)),0,
         IF(OFFSET(CRONOPLE!$F$15,$M172-$A$15,AV$13)=0,10^12,OFFSET(CRONOPLE!$F$15,$M172-$A$15,AV$13)))</f>
        <v>0</v>
      </c>
      <c r="AX172" s="172" cm="1">
        <f t="array" aca="1" ref="AX172" ca="1">IF(OR($D172&lt;&gt;"Serviço",AND(AUTOEVENTO="Manual",$M172=$A$15),$M172&gt;(ROW(PLE.lastrow)-ROW(PLE.firstrow))),0,
           IF(OFFSET(PLE!$G$15,$M172-$A$15,AX$13)="",10^12,OFFSET(PLE!$G$15,$M172-$A$15,AX$13)))</f>
        <v>0</v>
      </c>
      <c r="AY172" s="172" cm="1">
        <f t="array" aca="1" ref="AY172" ca="1">IF(OR($D172&lt;&gt;"Serviço",AND(AUTOEVENTO="Manual",$M172=$A$15),$M172&gt;(ROW(PLE.lastrow)-ROW(PLE.firstrow))),0,
           IF(OFFSET(PLE!$G$15,$M172-$A$15,AY$13)="",10^12,OFFSET(PLE!$G$15,$M172-$A$15,AY$13)))</f>
        <v>0</v>
      </c>
      <c r="AZ172" s="172" cm="1">
        <f t="array" aca="1" ref="AZ172" ca="1">IF(OR($D172&lt;&gt;"Serviço",AND(AUTOEVENTO="Manual",$M172=$A$15),$M172&gt;(ROW(PLE.lastrow)-ROW(PLE.firstrow))),0,
           IF(OFFSET(PLE!$G$15,$M172-$A$15,AZ$13)="",10^12,OFFSET(PLE!$G$15,$M172-$A$15,AZ$13)))</f>
        <v>0</v>
      </c>
      <c r="BA172" s="172" cm="1">
        <f t="array" aca="1" ref="BA172" ca="1">IF(OR($D172&lt;&gt;"Serviço",AND(AUTOEVENTO="Manual",$M172=$A$15),$M172&gt;(ROW(PLE.lastrow)-ROW(PLE.firstrow))),0,
           IF(OFFSET(PLE!$G$15,$M172-$A$15,BA$13)="",10^12,OFFSET(PLE!$G$15,$M172-$A$15,BA$13)))</f>
        <v>0</v>
      </c>
      <c r="BB172" s="172" cm="1">
        <f t="array" aca="1" ref="BB172" ca="1">IF(OR($D172&lt;&gt;"Serviço",AND(AUTOEVENTO="Manual",$M172=$A$15),$M172&gt;(ROW(PLE.lastrow)-ROW(PLE.firstrow))),0,
           IF(OFFSET(PLE!$G$15,$M172-$A$15,BB$13)="",10^12,OFFSET(PLE!$G$15,$M172-$A$15,BB$13)))</f>
        <v>0</v>
      </c>
      <c r="BC172" s="172" cm="1">
        <f t="array" aca="1" ref="BC172" ca="1">IF(OR($D172&lt;&gt;"Serviço",AND(AUTOEVENTO="Manual",$M172=$A$15),$M172&gt;(ROW(PLE.lastrow)-ROW(PLE.firstrow))),0,
           IF(OFFSET(PLE!$G$15,$M172-$A$15,BC$13)="",10^12,OFFSET(PLE!$G$15,$M172-$A$15,BC$13)))</f>
        <v>0</v>
      </c>
      <c r="BD172" s="172" cm="1">
        <f t="array" aca="1" ref="BD172" ca="1">IF(OR($D172&lt;&gt;"Serviço",AND(AUTOEVENTO="Manual",$M172=$A$15),$M172&gt;(ROW(PLE.lastrow)-ROW(PLE.firstrow))),0,
           IF(OFFSET(PLE!$G$15,$M172-$A$15,BD$13)="",10^12,OFFSET(PLE!$G$15,$M172-$A$15,BD$13)))</f>
        <v>0</v>
      </c>
      <c r="BE172" s="172" cm="1">
        <f t="array" aca="1" ref="BE172" ca="1">IF(OR($D172&lt;&gt;"Serviço",AND(AUTOEVENTO="Manual",$M172=$A$15),$M172&gt;(ROW(PLE.lastrow)-ROW(PLE.firstrow))),0,
           IF(OFFSET(PLE!$G$15,$M172-$A$15,BE$13)="",10^12,OFFSET(PLE!$G$15,$M172-$A$15,BE$13)))</f>
        <v>0</v>
      </c>
      <c r="BF172" s="172" cm="1">
        <f t="array" aca="1" ref="BF172" ca="1">IF(OR($D172&lt;&gt;"Serviço",AND(AUTOEVENTO="Manual",$M172=$A$15),$M172&gt;(ROW(PLE.lastrow)-ROW(PLE.firstrow))),0,
           IF(OFFSET(PLE!$G$15,$M172-$A$15,BF$13)="",10^12,OFFSET(PLE!$G$15,$M172-$A$15,BF$13)))</f>
        <v>0</v>
      </c>
      <c r="BG172" s="172" cm="1">
        <f t="array" aca="1" ref="BG172" ca="1">IF(OR($D172&lt;&gt;"Serviço",AND(AUTOEVENTO="Manual",$M172=$A$15),$M172&gt;(ROW(PLE.lastrow)-ROW(PLE.firstrow))),0,
           IF(OFFSET(PLE!$G$15,$M172-$A$15,BG$13)="",10^12,OFFSET(PLE!$G$15,$M172-$A$15,BG$13)))</f>
        <v>0</v>
      </c>
    </row>
    <row r="173" spans="1:59" ht="25.5" x14ac:dyDescent="0.2">
      <c r="A173" s="7" t="str">
        <f t="shared" ca="1" si="8"/>
        <v>117</v>
      </c>
      <c r="B173" s="7" t="str">
        <f ca="1">OFFSET(ORÇAMENTO!C$15,$L173,0)</f>
        <v>S</v>
      </c>
      <c r="C173" s="7" t="str">
        <f ca="1">OFFSET(ORÇAMENTO!L$15,$L173,0)</f>
        <v>F</v>
      </c>
      <c r="D173" s="116" t="str">
        <f ca="1">OFFSET(ORÇAMENTO!N$15,$L173,0)</f>
        <v>Serviço</v>
      </c>
      <c r="E173" s="117" t="str">
        <f ca="1">OFFSET(ORÇAMENTO!O$15,$L173,0)</f>
        <v>1.8.8.0.1.</v>
      </c>
      <c r="F173" s="163" t="str">
        <f ca="1">OFFSET(ORÇAMENTO!R$15,$L173,0)</f>
        <v>CAIXA D´ÁGUA EM POLIETILENO, 500 LITROS - FORNECIMENTO E INSTALAÇÃO. AF_06/2021</v>
      </c>
      <c r="G173" s="164" t="str">
        <f ca="1">IF($D173&lt;&gt;"Serviço","",OFFSET(ORÇAMENTO!S$15,$L173,0))</f>
        <v>UN</v>
      </c>
      <c r="H173" s="122" cm="1">
        <f t="array" aca="1" ref="H173" ca="1">IF($D173&lt;&gt;"Serviço",0,IF(ACOMPANHAMENTO="BM",ROUND(OFFSET(ORÇAMENTO!AJ$15,$L173,0),15-13*ORÇAMENTO!$AF$7),IF(IFERROR(CÁLCULO.FrentesPreenchidas,0)=0,0,SUM(ROUND(OFFSET($P173,0,1,1,CÁLCULO.FrentesPreenchidas),15-13*ORÇAMENTO!$AF$7)))))</f>
        <v>30</v>
      </c>
      <c r="I173" s="468"/>
      <c r="J173" s="651" t="str" cm="1">
        <f t="array" aca="1" ref="J173" ca="1">IF(OR(B173&lt;&gt;"S",CÁLCULO.FrentesPreenchidas=0),"",IF(AND(ACOMPANHAMENTO="PLE",AUTOEVENTO="Manual",OR(H173&gt;0,ORÇAMENTO!AC173="QUANT."),OR(K173="",M173=0,N173="")),"►E",IF(AND(ACOMPANHAMENTO="PLE",ORÇAMENTO!AC173="QUANT."),"►Q",IF(AND(ACOMPANHAMENTO="PLE",H173&lt;&gt;SUMPRODUCT(($Q$1:$AA$1=1)*ROUND(Q173:AA173,15))),"►S",IF(AND(COUNTIF($P$11:$AA$11,"▼")=0,H173&gt;0,I173=""),"◄M","")))))</f>
        <v/>
      </c>
      <c r="K173" s="652"/>
      <c r="L173" s="165">
        <f t="shared" ca="1" si="9"/>
        <v>158</v>
      </c>
      <c r="M173" s="166">
        <f ca="1">IF($D173&lt;&gt;"Serviço","",
          IF(AUTOEVENTO="manual",$A173,
                IF(ISERROR(MATCH($A173,$A$15:OFFSET($A173,-1,0),0)),MAX($M$15:OFFSET(M173,-1,0))+1,
                      INDEX($M$15:OFFSET(M173,-1,0),MATCH($A173,$A$15:OFFSET($A173,-1,0),0)))))</f>
        <v>8</v>
      </c>
      <c r="N173" s="167" t="str">
        <f ca="1">IF($D173&lt;&gt;"Serviço","",
         IF(AUTOEVENTO="Manual",
                IF($A173=0,"&lt;-- defina o número do agrupador",
                       OFFSET(EVENTOS!$D$15,$A173-$A$15,0)),
                OFFSET($F$15,$A173,0)))</f>
        <v>INSTALAÇÕES HIDROSSANITARIAS</v>
      </c>
      <c r="O173" s="168"/>
      <c r="Q173" s="168"/>
      <c r="R173" s="169"/>
      <c r="S173" s="169"/>
      <c r="T173" s="169"/>
      <c r="U173" s="169"/>
      <c r="V173" s="169"/>
      <c r="W173" s="169"/>
      <c r="X173" s="169"/>
      <c r="Y173" s="169"/>
      <c r="Z173" s="170"/>
      <c r="AB173" s="453">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3">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3">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3">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3">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3">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3">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3">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1">
        <f ca="1">IF(OR($D173&lt;&gt;"Serviço",AND(AUTOEVENTO="Manual",$M173=$A$15)),0,
         IF(OFFSET(CRONOPLE!$F$15,$M173-$A$15,AM$13)=0,10^12,OFFSET(CRONOPLE!$F$15,$M173-$A$15,AM$13)))</f>
        <v>1000000000000</v>
      </c>
      <c r="AN173" s="171">
        <f ca="1">IF(OR($D173&lt;&gt;"Serviço",AND(AUTOEVENTO="Manual",$M173=$A$15)),0,
         IF(OFFSET(CRONOPLE!$F$15,$M173-$A$15,AN$13)=0,10^12,OFFSET(CRONOPLE!$F$15,$M173-$A$15,AN$13)))</f>
        <v>1000000000000</v>
      </c>
      <c r="AO173" s="171">
        <f ca="1">IF(OR($D173&lt;&gt;"Serviço",AND(AUTOEVENTO="Manual",$M173=$A$15)),0,
         IF(OFFSET(CRONOPLE!$F$15,$M173-$A$15,AO$13)=0,10^12,OFFSET(CRONOPLE!$F$15,$M173-$A$15,AO$13)))</f>
        <v>1000000000000</v>
      </c>
      <c r="AP173" s="171">
        <f ca="1">IF(OR($D173&lt;&gt;"Serviço",AND(AUTOEVENTO="Manual",$M173=$A$15)),0,
         IF(OFFSET(CRONOPLE!$F$15,$M173-$A$15,AP$13)=0,10^12,OFFSET(CRONOPLE!$F$15,$M173-$A$15,AP$13)))</f>
        <v>1000000000000</v>
      </c>
      <c r="AQ173" s="171">
        <f ca="1">IF(OR($D173&lt;&gt;"Serviço",AND(AUTOEVENTO="Manual",$M173=$A$15)),0,
         IF(OFFSET(CRONOPLE!$F$15,$M173-$A$15,AQ$13)=0,10^12,OFFSET(CRONOPLE!$F$15,$M173-$A$15,AQ$13)))</f>
        <v>1000000000000</v>
      </c>
      <c r="AR173" s="171">
        <f ca="1">IF(OR($D173&lt;&gt;"Serviço",AND(AUTOEVENTO="Manual",$M173=$A$15)),0,
         IF(OFFSET(CRONOPLE!$F$15,$M173-$A$15,AR$13)=0,10^12,OFFSET(CRONOPLE!$F$15,$M173-$A$15,AR$13)))</f>
        <v>1000000000000</v>
      </c>
      <c r="AS173" s="171">
        <f ca="1">IF(OR($D173&lt;&gt;"Serviço",AND(AUTOEVENTO="Manual",$M173=$A$15)),0,
         IF(OFFSET(CRONOPLE!$F$15,$M173-$A$15,AS$13)=0,10^12,OFFSET(CRONOPLE!$F$15,$M173-$A$15,AS$13)))</f>
        <v>1000000000000</v>
      </c>
      <c r="AT173" s="171">
        <f ca="1">IF(OR($D173&lt;&gt;"Serviço",AND(AUTOEVENTO="Manual",$M173=$A$15)),0,
         IF(OFFSET(CRONOPLE!$F$15,$M173-$A$15,AT$13)=0,10^12,OFFSET(CRONOPLE!$F$15,$M173-$A$15,AT$13)))</f>
        <v>1000000000000</v>
      </c>
      <c r="AU173" s="171">
        <f ca="1">IF(OR($D173&lt;&gt;"Serviço",AND(AUTOEVENTO="Manual",$M173=$A$15)),0,
         IF(OFFSET(CRONOPLE!$F$15,$M173-$A$15,AU$13)=0,10^12,OFFSET(CRONOPLE!$F$15,$M173-$A$15,AU$13)))</f>
        <v>1000000000000</v>
      </c>
      <c r="AV173" s="171">
        <f ca="1">IF(OR($D173&lt;&gt;"Serviço",AND(AUTOEVENTO="Manual",$M173=$A$15)),0,
         IF(OFFSET(CRONOPLE!$F$15,$M173-$A$15,AV$13)=0,10^12,OFFSET(CRONOPLE!$F$15,$M173-$A$15,AV$13)))</f>
        <v>1000000000000</v>
      </c>
      <c r="AX173" s="172" cm="1">
        <f t="array" aca="1" ref="AX173" ca="1">IF(OR($D173&lt;&gt;"Serviço",AND(AUTOEVENTO="Manual",$M173=$A$15),$M173&gt;(ROW(PLE.lastrow)-ROW(PLE.firstrow))),0,
           IF(OFFSET(PLE!$G$15,$M173-$A$15,AX$13)="",10^12,OFFSET(PLE!$G$15,$M173-$A$15,AX$13)))</f>
        <v>1000000000000</v>
      </c>
      <c r="AY173" s="172" cm="1">
        <f t="array" aca="1" ref="AY173" ca="1">IF(OR($D173&lt;&gt;"Serviço",AND(AUTOEVENTO="Manual",$M173=$A$15),$M173&gt;(ROW(PLE.lastrow)-ROW(PLE.firstrow))),0,
           IF(OFFSET(PLE!$G$15,$M173-$A$15,AY$13)="",10^12,OFFSET(PLE!$G$15,$M173-$A$15,AY$13)))</f>
        <v>1000000000000</v>
      </c>
      <c r="AZ173" s="172" cm="1">
        <f t="array" aca="1" ref="AZ173" ca="1">IF(OR($D173&lt;&gt;"Serviço",AND(AUTOEVENTO="Manual",$M173=$A$15),$M173&gt;(ROW(PLE.lastrow)-ROW(PLE.firstrow))),0,
           IF(OFFSET(PLE!$G$15,$M173-$A$15,AZ$13)="",10^12,OFFSET(PLE!$G$15,$M173-$A$15,AZ$13)))</f>
        <v>1000000000000</v>
      </c>
      <c r="BA173" s="172" cm="1">
        <f t="array" aca="1" ref="BA173" ca="1">IF(OR($D173&lt;&gt;"Serviço",AND(AUTOEVENTO="Manual",$M173=$A$15),$M173&gt;(ROW(PLE.lastrow)-ROW(PLE.firstrow))),0,
           IF(OFFSET(PLE!$G$15,$M173-$A$15,BA$13)="",10^12,OFFSET(PLE!$G$15,$M173-$A$15,BA$13)))</f>
        <v>1000000000000</v>
      </c>
      <c r="BB173" s="172" cm="1">
        <f t="array" aca="1" ref="BB173" ca="1">IF(OR($D173&lt;&gt;"Serviço",AND(AUTOEVENTO="Manual",$M173=$A$15),$M173&gt;(ROW(PLE.lastrow)-ROW(PLE.firstrow))),0,
           IF(OFFSET(PLE!$G$15,$M173-$A$15,BB$13)="",10^12,OFFSET(PLE!$G$15,$M173-$A$15,BB$13)))</f>
        <v>1000000000000</v>
      </c>
      <c r="BC173" s="172" cm="1">
        <f t="array" aca="1" ref="BC173" ca="1">IF(OR($D173&lt;&gt;"Serviço",AND(AUTOEVENTO="Manual",$M173=$A$15),$M173&gt;(ROW(PLE.lastrow)-ROW(PLE.firstrow))),0,
           IF(OFFSET(PLE!$G$15,$M173-$A$15,BC$13)="",10^12,OFFSET(PLE!$G$15,$M173-$A$15,BC$13)))</f>
        <v>1000000000000</v>
      </c>
      <c r="BD173" s="172" cm="1">
        <f t="array" aca="1" ref="BD173" ca="1">IF(OR($D173&lt;&gt;"Serviço",AND(AUTOEVENTO="Manual",$M173=$A$15),$M173&gt;(ROW(PLE.lastrow)-ROW(PLE.firstrow))),0,
           IF(OFFSET(PLE!$G$15,$M173-$A$15,BD$13)="",10^12,OFFSET(PLE!$G$15,$M173-$A$15,BD$13)))</f>
        <v>1000000000000</v>
      </c>
      <c r="BE173" s="172" cm="1">
        <f t="array" aca="1" ref="BE173" ca="1">IF(OR($D173&lt;&gt;"Serviço",AND(AUTOEVENTO="Manual",$M173=$A$15),$M173&gt;(ROW(PLE.lastrow)-ROW(PLE.firstrow))),0,
           IF(OFFSET(PLE!$G$15,$M173-$A$15,BE$13)="",10^12,OFFSET(PLE!$G$15,$M173-$A$15,BE$13)))</f>
        <v>1000000000000</v>
      </c>
      <c r="BF173" s="172" cm="1">
        <f t="array" aca="1" ref="BF173" ca="1">IF(OR($D173&lt;&gt;"Serviço",AND(AUTOEVENTO="Manual",$M173=$A$15),$M173&gt;(ROW(PLE.lastrow)-ROW(PLE.firstrow))),0,
           IF(OFFSET(PLE!$G$15,$M173-$A$15,BF$13)="",10^12,OFFSET(PLE!$G$15,$M173-$A$15,BF$13)))</f>
        <v>1000000000000</v>
      </c>
      <c r="BG173" s="172" cm="1">
        <f t="array" aca="1" ref="BG173" ca="1">IF(OR($D173&lt;&gt;"Serviço",AND(AUTOEVENTO="Manual",$M173=$A$15),$M173&gt;(ROW(PLE.lastrow)-ROW(PLE.firstrow))),0,
           IF(OFFSET(PLE!$G$15,$M173-$A$15,BG$13)="",10^12,OFFSET(PLE!$G$15,$M173-$A$15,BG$13)))</f>
        <v>1000000000000</v>
      </c>
    </row>
    <row r="174" spans="1:59" ht="25.5" x14ac:dyDescent="0.2">
      <c r="A174" s="7" t="str">
        <f t="shared" ca="1" si="8"/>
        <v>117</v>
      </c>
      <c r="B174" s="7" t="str">
        <f ca="1">OFFSET(ORÇAMENTO!C$15,$L174,0)</f>
        <v>S</v>
      </c>
      <c r="C174" s="7" t="str">
        <f ca="1">OFFSET(ORÇAMENTO!L$15,$L174,0)</f>
        <v>F</v>
      </c>
      <c r="D174" s="116" t="str">
        <f ca="1">OFFSET(ORÇAMENTO!N$15,$L174,0)</f>
        <v>Serviço</v>
      </c>
      <c r="E174" s="117" t="str">
        <f ca="1">OFFSET(ORÇAMENTO!O$15,$L174,0)</f>
        <v>1.8.8.0.2.</v>
      </c>
      <c r="F174" s="163" t="str">
        <f ca="1">OFFSET(ORÇAMENTO!R$15,$L174,0)</f>
        <v>TORNEIRA DE BOIA PARA CAIXA D'ÁGUA, ROSCÁVEL, 1" - FORNECIMENTO E INSTALAÇÃO. AF_08/2021</v>
      </c>
      <c r="G174" s="164" t="str">
        <f ca="1">IF($D174&lt;&gt;"Serviço","",OFFSET(ORÇAMENTO!S$15,$L174,0))</f>
        <v>UN</v>
      </c>
      <c r="H174" s="122" cm="1">
        <f t="array" aca="1" ref="H174" ca="1">IF($D174&lt;&gt;"Serviço",0,IF(ACOMPANHAMENTO="BM",ROUND(OFFSET(ORÇAMENTO!AJ$15,$L174,0),15-13*ORÇAMENTO!$AF$7),IF(IFERROR(CÁLCULO.FrentesPreenchidas,0)=0,0,SUM(ROUND(OFFSET($P174,0,1,1,CÁLCULO.FrentesPreenchidas),15-13*ORÇAMENTO!$AF$7)))))</f>
        <v>30</v>
      </c>
      <c r="I174" s="468"/>
      <c r="J174" s="651" t="str" cm="1">
        <f t="array" aca="1" ref="J174" ca="1">IF(OR(B174&lt;&gt;"S",CÁLCULO.FrentesPreenchidas=0),"",IF(AND(ACOMPANHAMENTO="PLE",AUTOEVENTO="Manual",OR(H174&gt;0,ORÇAMENTO!AC174="QUANT."),OR(K174="",M174=0,N174="")),"►E",IF(AND(ACOMPANHAMENTO="PLE",ORÇAMENTO!AC174="QUANT."),"►Q",IF(AND(ACOMPANHAMENTO="PLE",H174&lt;&gt;SUMPRODUCT(($Q$1:$AA$1=1)*ROUND(Q174:AA174,15))),"►S",IF(AND(COUNTIF($P$11:$AA$11,"▼")=0,H174&gt;0,I174=""),"◄M","")))))</f>
        <v/>
      </c>
      <c r="K174" s="652"/>
      <c r="L174" s="165">
        <f t="shared" ca="1" si="9"/>
        <v>159</v>
      </c>
      <c r="M174" s="166">
        <f ca="1">IF($D174&lt;&gt;"Serviço","",
          IF(AUTOEVENTO="manual",$A174,
                IF(ISERROR(MATCH($A174,$A$15:OFFSET($A174,-1,0),0)),MAX($M$15:OFFSET(M174,-1,0))+1,
                      INDEX($M$15:OFFSET(M174,-1,0),MATCH($A174,$A$15:OFFSET($A174,-1,0),0)))))</f>
        <v>8</v>
      </c>
      <c r="N174" s="167" t="str">
        <f ca="1">IF($D174&lt;&gt;"Serviço","",
         IF(AUTOEVENTO="Manual",
                IF($A174=0,"&lt;-- defina o número do agrupador",
                       OFFSET(EVENTOS!$D$15,$A174-$A$15,0)),
                OFFSET($F$15,$A174,0)))</f>
        <v>INSTALAÇÕES HIDROSSANITARIAS</v>
      </c>
      <c r="O174" s="168"/>
      <c r="Q174" s="168"/>
      <c r="R174" s="169"/>
      <c r="S174" s="169"/>
      <c r="T174" s="169"/>
      <c r="U174" s="169"/>
      <c r="V174" s="169"/>
      <c r="W174" s="169"/>
      <c r="X174" s="169"/>
      <c r="Y174" s="169"/>
      <c r="Z174" s="170"/>
      <c r="AB174" s="453">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3">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3">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3">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3">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3">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3">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3">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1">
        <f ca="1">IF(OR($D174&lt;&gt;"Serviço",AND(AUTOEVENTO="Manual",$M174=$A$15)),0,
         IF(OFFSET(CRONOPLE!$F$15,$M174-$A$15,AM$13)=0,10^12,OFFSET(CRONOPLE!$F$15,$M174-$A$15,AM$13)))</f>
        <v>1000000000000</v>
      </c>
      <c r="AN174" s="171">
        <f ca="1">IF(OR($D174&lt;&gt;"Serviço",AND(AUTOEVENTO="Manual",$M174=$A$15)),0,
         IF(OFFSET(CRONOPLE!$F$15,$M174-$A$15,AN$13)=0,10^12,OFFSET(CRONOPLE!$F$15,$M174-$A$15,AN$13)))</f>
        <v>1000000000000</v>
      </c>
      <c r="AO174" s="171">
        <f ca="1">IF(OR($D174&lt;&gt;"Serviço",AND(AUTOEVENTO="Manual",$M174=$A$15)),0,
         IF(OFFSET(CRONOPLE!$F$15,$M174-$A$15,AO$13)=0,10^12,OFFSET(CRONOPLE!$F$15,$M174-$A$15,AO$13)))</f>
        <v>1000000000000</v>
      </c>
      <c r="AP174" s="171">
        <f ca="1">IF(OR($D174&lt;&gt;"Serviço",AND(AUTOEVENTO="Manual",$M174=$A$15)),0,
         IF(OFFSET(CRONOPLE!$F$15,$M174-$A$15,AP$13)=0,10^12,OFFSET(CRONOPLE!$F$15,$M174-$A$15,AP$13)))</f>
        <v>1000000000000</v>
      </c>
      <c r="AQ174" s="171">
        <f ca="1">IF(OR($D174&lt;&gt;"Serviço",AND(AUTOEVENTO="Manual",$M174=$A$15)),0,
         IF(OFFSET(CRONOPLE!$F$15,$M174-$A$15,AQ$13)=0,10^12,OFFSET(CRONOPLE!$F$15,$M174-$A$15,AQ$13)))</f>
        <v>1000000000000</v>
      </c>
      <c r="AR174" s="171">
        <f ca="1">IF(OR($D174&lt;&gt;"Serviço",AND(AUTOEVENTO="Manual",$M174=$A$15)),0,
         IF(OFFSET(CRONOPLE!$F$15,$M174-$A$15,AR$13)=0,10^12,OFFSET(CRONOPLE!$F$15,$M174-$A$15,AR$13)))</f>
        <v>1000000000000</v>
      </c>
      <c r="AS174" s="171">
        <f ca="1">IF(OR($D174&lt;&gt;"Serviço",AND(AUTOEVENTO="Manual",$M174=$A$15)),0,
         IF(OFFSET(CRONOPLE!$F$15,$M174-$A$15,AS$13)=0,10^12,OFFSET(CRONOPLE!$F$15,$M174-$A$15,AS$13)))</f>
        <v>1000000000000</v>
      </c>
      <c r="AT174" s="171">
        <f ca="1">IF(OR($D174&lt;&gt;"Serviço",AND(AUTOEVENTO="Manual",$M174=$A$15)),0,
         IF(OFFSET(CRONOPLE!$F$15,$M174-$A$15,AT$13)=0,10^12,OFFSET(CRONOPLE!$F$15,$M174-$A$15,AT$13)))</f>
        <v>1000000000000</v>
      </c>
      <c r="AU174" s="171">
        <f ca="1">IF(OR($D174&lt;&gt;"Serviço",AND(AUTOEVENTO="Manual",$M174=$A$15)),0,
         IF(OFFSET(CRONOPLE!$F$15,$M174-$A$15,AU$13)=0,10^12,OFFSET(CRONOPLE!$F$15,$M174-$A$15,AU$13)))</f>
        <v>1000000000000</v>
      </c>
      <c r="AV174" s="171">
        <f ca="1">IF(OR($D174&lt;&gt;"Serviço",AND(AUTOEVENTO="Manual",$M174=$A$15)),0,
         IF(OFFSET(CRONOPLE!$F$15,$M174-$A$15,AV$13)=0,10^12,OFFSET(CRONOPLE!$F$15,$M174-$A$15,AV$13)))</f>
        <v>1000000000000</v>
      </c>
      <c r="AX174" s="172" cm="1">
        <f t="array" aca="1" ref="AX174" ca="1">IF(OR($D174&lt;&gt;"Serviço",AND(AUTOEVENTO="Manual",$M174=$A$15),$M174&gt;(ROW(PLE.lastrow)-ROW(PLE.firstrow))),0,
           IF(OFFSET(PLE!$G$15,$M174-$A$15,AX$13)="",10^12,OFFSET(PLE!$G$15,$M174-$A$15,AX$13)))</f>
        <v>1000000000000</v>
      </c>
      <c r="AY174" s="172" cm="1">
        <f t="array" aca="1" ref="AY174" ca="1">IF(OR($D174&lt;&gt;"Serviço",AND(AUTOEVENTO="Manual",$M174=$A$15),$M174&gt;(ROW(PLE.lastrow)-ROW(PLE.firstrow))),0,
           IF(OFFSET(PLE!$G$15,$M174-$A$15,AY$13)="",10^12,OFFSET(PLE!$G$15,$M174-$A$15,AY$13)))</f>
        <v>1000000000000</v>
      </c>
      <c r="AZ174" s="172" cm="1">
        <f t="array" aca="1" ref="AZ174" ca="1">IF(OR($D174&lt;&gt;"Serviço",AND(AUTOEVENTO="Manual",$M174=$A$15),$M174&gt;(ROW(PLE.lastrow)-ROW(PLE.firstrow))),0,
           IF(OFFSET(PLE!$G$15,$M174-$A$15,AZ$13)="",10^12,OFFSET(PLE!$G$15,$M174-$A$15,AZ$13)))</f>
        <v>1000000000000</v>
      </c>
      <c r="BA174" s="172" cm="1">
        <f t="array" aca="1" ref="BA174" ca="1">IF(OR($D174&lt;&gt;"Serviço",AND(AUTOEVENTO="Manual",$M174=$A$15),$M174&gt;(ROW(PLE.lastrow)-ROW(PLE.firstrow))),0,
           IF(OFFSET(PLE!$G$15,$M174-$A$15,BA$13)="",10^12,OFFSET(PLE!$G$15,$M174-$A$15,BA$13)))</f>
        <v>1000000000000</v>
      </c>
      <c r="BB174" s="172" cm="1">
        <f t="array" aca="1" ref="BB174" ca="1">IF(OR($D174&lt;&gt;"Serviço",AND(AUTOEVENTO="Manual",$M174=$A$15),$M174&gt;(ROW(PLE.lastrow)-ROW(PLE.firstrow))),0,
           IF(OFFSET(PLE!$G$15,$M174-$A$15,BB$13)="",10^12,OFFSET(PLE!$G$15,$M174-$A$15,BB$13)))</f>
        <v>1000000000000</v>
      </c>
      <c r="BC174" s="172" cm="1">
        <f t="array" aca="1" ref="BC174" ca="1">IF(OR($D174&lt;&gt;"Serviço",AND(AUTOEVENTO="Manual",$M174=$A$15),$M174&gt;(ROW(PLE.lastrow)-ROW(PLE.firstrow))),0,
           IF(OFFSET(PLE!$G$15,$M174-$A$15,BC$13)="",10^12,OFFSET(PLE!$G$15,$M174-$A$15,BC$13)))</f>
        <v>1000000000000</v>
      </c>
      <c r="BD174" s="172" cm="1">
        <f t="array" aca="1" ref="BD174" ca="1">IF(OR($D174&lt;&gt;"Serviço",AND(AUTOEVENTO="Manual",$M174=$A$15),$M174&gt;(ROW(PLE.lastrow)-ROW(PLE.firstrow))),0,
           IF(OFFSET(PLE!$G$15,$M174-$A$15,BD$13)="",10^12,OFFSET(PLE!$G$15,$M174-$A$15,BD$13)))</f>
        <v>1000000000000</v>
      </c>
      <c r="BE174" s="172" cm="1">
        <f t="array" aca="1" ref="BE174" ca="1">IF(OR($D174&lt;&gt;"Serviço",AND(AUTOEVENTO="Manual",$M174=$A$15),$M174&gt;(ROW(PLE.lastrow)-ROW(PLE.firstrow))),0,
           IF(OFFSET(PLE!$G$15,$M174-$A$15,BE$13)="",10^12,OFFSET(PLE!$G$15,$M174-$A$15,BE$13)))</f>
        <v>1000000000000</v>
      </c>
      <c r="BF174" s="172" cm="1">
        <f t="array" aca="1" ref="BF174" ca="1">IF(OR($D174&lt;&gt;"Serviço",AND(AUTOEVENTO="Manual",$M174=$A$15),$M174&gt;(ROW(PLE.lastrow)-ROW(PLE.firstrow))),0,
           IF(OFFSET(PLE!$G$15,$M174-$A$15,BF$13)="",10^12,OFFSET(PLE!$G$15,$M174-$A$15,BF$13)))</f>
        <v>1000000000000</v>
      </c>
      <c r="BG174" s="172" cm="1">
        <f t="array" aca="1" ref="BG174" ca="1">IF(OR($D174&lt;&gt;"Serviço",AND(AUTOEVENTO="Manual",$M174=$A$15),$M174&gt;(ROW(PLE.lastrow)-ROW(PLE.firstrow))),0,
           IF(OFFSET(PLE!$G$15,$M174-$A$15,BG$13)="",10^12,OFFSET(PLE!$G$15,$M174-$A$15,BG$13)))</f>
        <v>1000000000000</v>
      </c>
    </row>
    <row r="175" spans="1:59" ht="12.75" x14ac:dyDescent="0.2">
      <c r="A175" s="7" t="str">
        <f t="shared" ca="1" si="8"/>
        <v>160.</v>
      </c>
      <c r="B175" s="7">
        <f ca="1">OFFSET(ORÇAMENTO!C$15,$L175,0)</f>
        <v>2</v>
      </c>
      <c r="C175" s="7" t="str">
        <f ca="1">OFFSET(ORÇAMENTO!L$15,$L175,0)</f>
        <v>F</v>
      </c>
      <c r="D175" s="116" t="str">
        <f ca="1">OFFSET(ORÇAMENTO!N$15,$L175,0)</f>
        <v>Nível 2</v>
      </c>
      <c r="E175" s="117" t="str">
        <f ca="1">OFFSET(ORÇAMENTO!O$15,$L175,0)</f>
        <v>1.9.</v>
      </c>
      <c r="F175" s="163" t="str">
        <f ca="1">OFFSET(ORÇAMENTO!R$15,$L175,0)</f>
        <v>INSTALAÇÕES ELÉTRICAS</v>
      </c>
      <c r="G175" s="164" t="str">
        <f ca="1">IF($D175&lt;&gt;"Serviço","",OFFSET(ORÇAMENTO!S$15,$L175,0))</f>
        <v/>
      </c>
      <c r="H175" s="122" cm="1">
        <f t="array" aca="1" ref="H175" ca="1">IF($D175&lt;&gt;"Serviço",0,IF(ACOMPANHAMENTO="BM",ROUND(OFFSET(ORÇAMENTO!AJ$15,$L175,0),15-13*ORÇAMENTO!$AF$7),IF(IFERROR(CÁLCULO.FrentesPreenchidas,0)=0,0,SUM(ROUND(OFFSET($P175,0,1,1,CÁLCULO.FrentesPreenchidas),15-13*ORÇAMENTO!$AF$7)))))</f>
        <v>0</v>
      </c>
      <c r="I175" s="468"/>
      <c r="J175" s="651" t="str" cm="1">
        <f t="array" aca="1" ref="J175" ca="1">IF(OR(B175&lt;&gt;"S",CÁLCULO.FrentesPreenchidas=0),"",IF(AND(ACOMPANHAMENTO="PLE",AUTOEVENTO="Manual",OR(H175&gt;0,ORÇAMENTO!AC175="QUANT."),OR(K175="",M175=0,N175="")),"►E",IF(AND(ACOMPANHAMENTO="PLE",ORÇAMENTO!AC175="QUANT."),"►Q",IF(AND(ACOMPANHAMENTO="PLE",H175&lt;&gt;SUMPRODUCT(($Q$1:$AA$1=1)*ROUND(Q175:AA175,15))),"►S",IF(AND(COUNTIF($P$11:$AA$11,"▼")=0,H175&gt;0,I175=""),"◄M","")))))</f>
        <v/>
      </c>
      <c r="K175" s="652"/>
      <c r="L175" s="165">
        <f t="shared" ca="1" si="9"/>
        <v>160</v>
      </c>
      <c r="M175" s="166" t="str">
        <f ca="1">IF($D175&lt;&gt;"Serviço","",
          IF(AUTOEVENTO="manual",$A175,
                IF(ISERROR(MATCH($A175,$A$15:OFFSET($A175,-1,0),0)),MAX($M$15:OFFSET(M175,-1,0))+1,
                      INDEX($M$15:OFFSET(M175,-1,0),MATCH($A175,$A$15:OFFSET($A175,-1,0),0)))))</f>
        <v/>
      </c>
      <c r="N175" s="167" t="str">
        <f ca="1">IF($D175&lt;&gt;"Serviço","",
         IF(AUTOEVENTO="Manual",
                IF($A175=0,"&lt;-- defina o número do agrupador",
                       OFFSET(EVENTOS!$D$15,$A175-$A$15,0)),
                OFFSET($F$15,$A175,0)))</f>
        <v/>
      </c>
      <c r="O175" s="168"/>
      <c r="Q175" s="168"/>
      <c r="R175" s="169"/>
      <c r="S175" s="169"/>
      <c r="T175" s="169"/>
      <c r="U175" s="169"/>
      <c r="V175" s="169"/>
      <c r="W175" s="169"/>
      <c r="X175" s="169"/>
      <c r="Y175" s="169"/>
      <c r="Z175" s="170"/>
      <c r="AB175" s="453">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3">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3">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3">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3">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3">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3">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3">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1">
        <f ca="1">IF(OR($D175&lt;&gt;"Serviço",AND(AUTOEVENTO="Manual",$M175=$A$15)),0,
         IF(OFFSET(CRONOPLE!$F$15,$M175-$A$15,AM$13)=0,10^12,OFFSET(CRONOPLE!$F$15,$M175-$A$15,AM$13)))</f>
        <v>0</v>
      </c>
      <c r="AN175" s="171">
        <f ca="1">IF(OR($D175&lt;&gt;"Serviço",AND(AUTOEVENTO="Manual",$M175=$A$15)),0,
         IF(OFFSET(CRONOPLE!$F$15,$M175-$A$15,AN$13)=0,10^12,OFFSET(CRONOPLE!$F$15,$M175-$A$15,AN$13)))</f>
        <v>0</v>
      </c>
      <c r="AO175" s="171">
        <f ca="1">IF(OR($D175&lt;&gt;"Serviço",AND(AUTOEVENTO="Manual",$M175=$A$15)),0,
         IF(OFFSET(CRONOPLE!$F$15,$M175-$A$15,AO$13)=0,10^12,OFFSET(CRONOPLE!$F$15,$M175-$A$15,AO$13)))</f>
        <v>0</v>
      </c>
      <c r="AP175" s="171">
        <f ca="1">IF(OR($D175&lt;&gt;"Serviço",AND(AUTOEVENTO="Manual",$M175=$A$15)),0,
         IF(OFFSET(CRONOPLE!$F$15,$M175-$A$15,AP$13)=0,10^12,OFFSET(CRONOPLE!$F$15,$M175-$A$15,AP$13)))</f>
        <v>0</v>
      </c>
      <c r="AQ175" s="171">
        <f ca="1">IF(OR($D175&lt;&gt;"Serviço",AND(AUTOEVENTO="Manual",$M175=$A$15)),0,
         IF(OFFSET(CRONOPLE!$F$15,$M175-$A$15,AQ$13)=0,10^12,OFFSET(CRONOPLE!$F$15,$M175-$A$15,AQ$13)))</f>
        <v>0</v>
      </c>
      <c r="AR175" s="171">
        <f ca="1">IF(OR($D175&lt;&gt;"Serviço",AND(AUTOEVENTO="Manual",$M175=$A$15)),0,
         IF(OFFSET(CRONOPLE!$F$15,$M175-$A$15,AR$13)=0,10^12,OFFSET(CRONOPLE!$F$15,$M175-$A$15,AR$13)))</f>
        <v>0</v>
      </c>
      <c r="AS175" s="171">
        <f ca="1">IF(OR($D175&lt;&gt;"Serviço",AND(AUTOEVENTO="Manual",$M175=$A$15)),0,
         IF(OFFSET(CRONOPLE!$F$15,$M175-$A$15,AS$13)=0,10^12,OFFSET(CRONOPLE!$F$15,$M175-$A$15,AS$13)))</f>
        <v>0</v>
      </c>
      <c r="AT175" s="171">
        <f ca="1">IF(OR($D175&lt;&gt;"Serviço",AND(AUTOEVENTO="Manual",$M175=$A$15)),0,
         IF(OFFSET(CRONOPLE!$F$15,$M175-$A$15,AT$13)=0,10^12,OFFSET(CRONOPLE!$F$15,$M175-$A$15,AT$13)))</f>
        <v>0</v>
      </c>
      <c r="AU175" s="171">
        <f ca="1">IF(OR($D175&lt;&gt;"Serviço",AND(AUTOEVENTO="Manual",$M175=$A$15)),0,
         IF(OFFSET(CRONOPLE!$F$15,$M175-$A$15,AU$13)=0,10^12,OFFSET(CRONOPLE!$F$15,$M175-$A$15,AU$13)))</f>
        <v>0</v>
      </c>
      <c r="AV175" s="171">
        <f ca="1">IF(OR($D175&lt;&gt;"Serviço",AND(AUTOEVENTO="Manual",$M175=$A$15)),0,
         IF(OFFSET(CRONOPLE!$F$15,$M175-$A$15,AV$13)=0,10^12,OFFSET(CRONOPLE!$F$15,$M175-$A$15,AV$13)))</f>
        <v>0</v>
      </c>
      <c r="AX175" s="172" cm="1">
        <f t="array" aca="1" ref="AX175" ca="1">IF(OR($D175&lt;&gt;"Serviço",AND(AUTOEVENTO="Manual",$M175=$A$15),$M175&gt;(ROW(PLE.lastrow)-ROW(PLE.firstrow))),0,
           IF(OFFSET(PLE!$G$15,$M175-$A$15,AX$13)="",10^12,OFFSET(PLE!$G$15,$M175-$A$15,AX$13)))</f>
        <v>0</v>
      </c>
      <c r="AY175" s="172" cm="1">
        <f t="array" aca="1" ref="AY175" ca="1">IF(OR($D175&lt;&gt;"Serviço",AND(AUTOEVENTO="Manual",$M175=$A$15),$M175&gt;(ROW(PLE.lastrow)-ROW(PLE.firstrow))),0,
           IF(OFFSET(PLE!$G$15,$M175-$A$15,AY$13)="",10^12,OFFSET(PLE!$G$15,$M175-$A$15,AY$13)))</f>
        <v>0</v>
      </c>
      <c r="AZ175" s="172" cm="1">
        <f t="array" aca="1" ref="AZ175" ca="1">IF(OR($D175&lt;&gt;"Serviço",AND(AUTOEVENTO="Manual",$M175=$A$15),$M175&gt;(ROW(PLE.lastrow)-ROW(PLE.firstrow))),0,
           IF(OFFSET(PLE!$G$15,$M175-$A$15,AZ$13)="",10^12,OFFSET(PLE!$G$15,$M175-$A$15,AZ$13)))</f>
        <v>0</v>
      </c>
      <c r="BA175" s="172" cm="1">
        <f t="array" aca="1" ref="BA175" ca="1">IF(OR($D175&lt;&gt;"Serviço",AND(AUTOEVENTO="Manual",$M175=$A$15),$M175&gt;(ROW(PLE.lastrow)-ROW(PLE.firstrow))),0,
           IF(OFFSET(PLE!$G$15,$M175-$A$15,BA$13)="",10^12,OFFSET(PLE!$G$15,$M175-$A$15,BA$13)))</f>
        <v>0</v>
      </c>
      <c r="BB175" s="172" cm="1">
        <f t="array" aca="1" ref="BB175" ca="1">IF(OR($D175&lt;&gt;"Serviço",AND(AUTOEVENTO="Manual",$M175=$A$15),$M175&gt;(ROW(PLE.lastrow)-ROW(PLE.firstrow))),0,
           IF(OFFSET(PLE!$G$15,$M175-$A$15,BB$13)="",10^12,OFFSET(PLE!$G$15,$M175-$A$15,BB$13)))</f>
        <v>0</v>
      </c>
      <c r="BC175" s="172" cm="1">
        <f t="array" aca="1" ref="BC175" ca="1">IF(OR($D175&lt;&gt;"Serviço",AND(AUTOEVENTO="Manual",$M175=$A$15),$M175&gt;(ROW(PLE.lastrow)-ROW(PLE.firstrow))),0,
           IF(OFFSET(PLE!$G$15,$M175-$A$15,BC$13)="",10^12,OFFSET(PLE!$G$15,$M175-$A$15,BC$13)))</f>
        <v>0</v>
      </c>
      <c r="BD175" s="172" cm="1">
        <f t="array" aca="1" ref="BD175" ca="1">IF(OR($D175&lt;&gt;"Serviço",AND(AUTOEVENTO="Manual",$M175=$A$15),$M175&gt;(ROW(PLE.lastrow)-ROW(PLE.firstrow))),0,
           IF(OFFSET(PLE!$G$15,$M175-$A$15,BD$13)="",10^12,OFFSET(PLE!$G$15,$M175-$A$15,BD$13)))</f>
        <v>0</v>
      </c>
      <c r="BE175" s="172" cm="1">
        <f t="array" aca="1" ref="BE175" ca="1">IF(OR($D175&lt;&gt;"Serviço",AND(AUTOEVENTO="Manual",$M175=$A$15),$M175&gt;(ROW(PLE.lastrow)-ROW(PLE.firstrow))),0,
           IF(OFFSET(PLE!$G$15,$M175-$A$15,BE$13)="",10^12,OFFSET(PLE!$G$15,$M175-$A$15,BE$13)))</f>
        <v>0</v>
      </c>
      <c r="BF175" s="172" cm="1">
        <f t="array" aca="1" ref="BF175" ca="1">IF(OR($D175&lt;&gt;"Serviço",AND(AUTOEVENTO="Manual",$M175=$A$15),$M175&gt;(ROW(PLE.lastrow)-ROW(PLE.firstrow))),0,
           IF(OFFSET(PLE!$G$15,$M175-$A$15,BF$13)="",10^12,OFFSET(PLE!$G$15,$M175-$A$15,BF$13)))</f>
        <v>0</v>
      </c>
      <c r="BG175" s="172" cm="1">
        <f t="array" aca="1" ref="BG175" ca="1">IF(OR($D175&lt;&gt;"Serviço",AND(AUTOEVENTO="Manual",$M175=$A$15),$M175&gt;(ROW(PLE.lastrow)-ROW(PLE.firstrow))),0,
           IF(OFFSET(PLE!$G$15,$M175-$A$15,BG$13)="",10^12,OFFSET(PLE!$G$15,$M175-$A$15,BG$13)))</f>
        <v>0</v>
      </c>
    </row>
    <row r="176" spans="1:59" ht="12.75" x14ac:dyDescent="0.2">
      <c r="A176" s="7" t="str">
        <f t="shared" ca="1" si="8"/>
        <v>160.</v>
      </c>
      <c r="B176" s="7">
        <f ca="1">OFFSET(ORÇAMENTO!C$15,$L176,0)</f>
        <v>3</v>
      </c>
      <c r="C176" s="7" t="str">
        <f ca="1">OFFSET(ORÇAMENTO!L$15,$L176,0)</f>
        <v>F</v>
      </c>
      <c r="D176" s="116" t="str">
        <f ca="1">OFFSET(ORÇAMENTO!N$15,$L176,0)</f>
        <v>Nível 3</v>
      </c>
      <c r="E176" s="117" t="str">
        <f ca="1">OFFSET(ORÇAMENTO!O$15,$L176,0)</f>
        <v>1.9.1.</v>
      </c>
      <c r="F176" s="163" t="str">
        <f ca="1">OFFSET(ORÇAMENTO!R$15,$L176,0)</f>
        <v>ENTRADA DE ENERGIA</v>
      </c>
      <c r="G176" s="164" t="str">
        <f ca="1">IF($D176&lt;&gt;"Serviço","",OFFSET(ORÇAMENTO!S$15,$L176,0))</f>
        <v/>
      </c>
      <c r="H176" s="122" cm="1">
        <f t="array" aca="1" ref="H176" ca="1">IF($D176&lt;&gt;"Serviço",0,IF(ACOMPANHAMENTO="BM",ROUND(OFFSET(ORÇAMENTO!AJ$15,$L176,0),15-13*ORÇAMENTO!$AF$7),IF(IFERROR(CÁLCULO.FrentesPreenchidas,0)=0,0,SUM(ROUND(OFFSET($P176,0,1,1,CÁLCULO.FrentesPreenchidas),15-13*ORÇAMENTO!$AF$7)))))</f>
        <v>0</v>
      </c>
      <c r="I176" s="468"/>
      <c r="J176" s="651" t="str" cm="1">
        <f t="array" aca="1" ref="J176" ca="1">IF(OR(B176&lt;&gt;"S",CÁLCULO.FrentesPreenchidas=0),"",IF(AND(ACOMPANHAMENTO="PLE",AUTOEVENTO="Manual",OR(H176&gt;0,ORÇAMENTO!AC176="QUANT."),OR(K176="",M176=0,N176="")),"►E",IF(AND(ACOMPANHAMENTO="PLE",ORÇAMENTO!AC176="QUANT."),"►Q",IF(AND(ACOMPANHAMENTO="PLE",H176&lt;&gt;SUMPRODUCT(($Q$1:$AA$1=1)*ROUND(Q176:AA176,15))),"►S",IF(AND(COUNTIF($P$11:$AA$11,"▼")=0,H176&gt;0,I176=""),"◄M","")))))</f>
        <v/>
      </c>
      <c r="K176" s="652"/>
      <c r="L176" s="165">
        <f t="shared" ca="1" si="9"/>
        <v>161</v>
      </c>
      <c r="M176" s="166" t="str">
        <f ca="1">IF($D176&lt;&gt;"Serviço","",
          IF(AUTOEVENTO="manual",$A176,
                IF(ISERROR(MATCH($A176,$A$15:OFFSET($A176,-1,0),0)),MAX($M$15:OFFSET(M176,-1,0))+1,
                      INDEX($M$15:OFFSET(M176,-1,0),MATCH($A176,$A$15:OFFSET($A176,-1,0),0)))))</f>
        <v/>
      </c>
      <c r="N176" s="167" t="str">
        <f ca="1">IF($D176&lt;&gt;"Serviço","",
         IF(AUTOEVENTO="Manual",
                IF($A176=0,"&lt;-- defina o número do agrupador",
                       OFFSET(EVENTOS!$D$15,$A176-$A$15,0)),
                OFFSET($F$15,$A176,0)))</f>
        <v/>
      </c>
      <c r="O176" s="168"/>
      <c r="Q176" s="168"/>
      <c r="R176" s="169"/>
      <c r="S176" s="169"/>
      <c r="T176" s="169"/>
      <c r="U176" s="169"/>
      <c r="V176" s="169"/>
      <c r="W176" s="169"/>
      <c r="X176" s="169"/>
      <c r="Y176" s="169"/>
      <c r="Z176" s="170"/>
      <c r="AB176" s="453">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3">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3">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3">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3">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3">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3">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3">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1">
        <f ca="1">IF(OR($D176&lt;&gt;"Serviço",AND(AUTOEVENTO="Manual",$M176=$A$15)),0,
         IF(OFFSET(CRONOPLE!$F$15,$M176-$A$15,AM$13)=0,10^12,OFFSET(CRONOPLE!$F$15,$M176-$A$15,AM$13)))</f>
        <v>0</v>
      </c>
      <c r="AN176" s="171">
        <f ca="1">IF(OR($D176&lt;&gt;"Serviço",AND(AUTOEVENTO="Manual",$M176=$A$15)),0,
         IF(OFFSET(CRONOPLE!$F$15,$M176-$A$15,AN$13)=0,10^12,OFFSET(CRONOPLE!$F$15,$M176-$A$15,AN$13)))</f>
        <v>0</v>
      </c>
      <c r="AO176" s="171">
        <f ca="1">IF(OR($D176&lt;&gt;"Serviço",AND(AUTOEVENTO="Manual",$M176=$A$15)),0,
         IF(OFFSET(CRONOPLE!$F$15,$M176-$A$15,AO$13)=0,10^12,OFFSET(CRONOPLE!$F$15,$M176-$A$15,AO$13)))</f>
        <v>0</v>
      </c>
      <c r="AP176" s="171">
        <f ca="1">IF(OR($D176&lt;&gt;"Serviço",AND(AUTOEVENTO="Manual",$M176=$A$15)),0,
         IF(OFFSET(CRONOPLE!$F$15,$M176-$A$15,AP$13)=0,10^12,OFFSET(CRONOPLE!$F$15,$M176-$A$15,AP$13)))</f>
        <v>0</v>
      </c>
      <c r="AQ176" s="171">
        <f ca="1">IF(OR($D176&lt;&gt;"Serviço",AND(AUTOEVENTO="Manual",$M176=$A$15)),0,
         IF(OFFSET(CRONOPLE!$F$15,$M176-$A$15,AQ$13)=0,10^12,OFFSET(CRONOPLE!$F$15,$M176-$A$15,AQ$13)))</f>
        <v>0</v>
      </c>
      <c r="AR176" s="171">
        <f ca="1">IF(OR($D176&lt;&gt;"Serviço",AND(AUTOEVENTO="Manual",$M176=$A$15)),0,
         IF(OFFSET(CRONOPLE!$F$15,$M176-$A$15,AR$13)=0,10^12,OFFSET(CRONOPLE!$F$15,$M176-$A$15,AR$13)))</f>
        <v>0</v>
      </c>
      <c r="AS176" s="171">
        <f ca="1">IF(OR($D176&lt;&gt;"Serviço",AND(AUTOEVENTO="Manual",$M176=$A$15)),0,
         IF(OFFSET(CRONOPLE!$F$15,$M176-$A$15,AS$13)=0,10^12,OFFSET(CRONOPLE!$F$15,$M176-$A$15,AS$13)))</f>
        <v>0</v>
      </c>
      <c r="AT176" s="171">
        <f ca="1">IF(OR($D176&lt;&gt;"Serviço",AND(AUTOEVENTO="Manual",$M176=$A$15)),0,
         IF(OFFSET(CRONOPLE!$F$15,$M176-$A$15,AT$13)=0,10^12,OFFSET(CRONOPLE!$F$15,$M176-$A$15,AT$13)))</f>
        <v>0</v>
      </c>
      <c r="AU176" s="171">
        <f ca="1">IF(OR($D176&lt;&gt;"Serviço",AND(AUTOEVENTO="Manual",$M176=$A$15)),0,
         IF(OFFSET(CRONOPLE!$F$15,$M176-$A$15,AU$13)=0,10^12,OFFSET(CRONOPLE!$F$15,$M176-$A$15,AU$13)))</f>
        <v>0</v>
      </c>
      <c r="AV176" s="171">
        <f ca="1">IF(OR($D176&lt;&gt;"Serviço",AND(AUTOEVENTO="Manual",$M176=$A$15)),0,
         IF(OFFSET(CRONOPLE!$F$15,$M176-$A$15,AV$13)=0,10^12,OFFSET(CRONOPLE!$F$15,$M176-$A$15,AV$13)))</f>
        <v>0</v>
      </c>
      <c r="AX176" s="172" cm="1">
        <f t="array" aca="1" ref="AX176" ca="1">IF(OR($D176&lt;&gt;"Serviço",AND(AUTOEVENTO="Manual",$M176=$A$15),$M176&gt;(ROW(PLE.lastrow)-ROW(PLE.firstrow))),0,
           IF(OFFSET(PLE!$G$15,$M176-$A$15,AX$13)="",10^12,OFFSET(PLE!$G$15,$M176-$A$15,AX$13)))</f>
        <v>0</v>
      </c>
      <c r="AY176" s="172" cm="1">
        <f t="array" aca="1" ref="AY176" ca="1">IF(OR($D176&lt;&gt;"Serviço",AND(AUTOEVENTO="Manual",$M176=$A$15),$M176&gt;(ROW(PLE.lastrow)-ROW(PLE.firstrow))),0,
           IF(OFFSET(PLE!$G$15,$M176-$A$15,AY$13)="",10^12,OFFSET(PLE!$G$15,$M176-$A$15,AY$13)))</f>
        <v>0</v>
      </c>
      <c r="AZ176" s="172" cm="1">
        <f t="array" aca="1" ref="AZ176" ca="1">IF(OR($D176&lt;&gt;"Serviço",AND(AUTOEVENTO="Manual",$M176=$A$15),$M176&gt;(ROW(PLE.lastrow)-ROW(PLE.firstrow))),0,
           IF(OFFSET(PLE!$G$15,$M176-$A$15,AZ$13)="",10^12,OFFSET(PLE!$G$15,$M176-$A$15,AZ$13)))</f>
        <v>0</v>
      </c>
      <c r="BA176" s="172" cm="1">
        <f t="array" aca="1" ref="BA176" ca="1">IF(OR($D176&lt;&gt;"Serviço",AND(AUTOEVENTO="Manual",$M176=$A$15),$M176&gt;(ROW(PLE.lastrow)-ROW(PLE.firstrow))),0,
           IF(OFFSET(PLE!$G$15,$M176-$A$15,BA$13)="",10^12,OFFSET(PLE!$G$15,$M176-$A$15,BA$13)))</f>
        <v>0</v>
      </c>
      <c r="BB176" s="172" cm="1">
        <f t="array" aca="1" ref="BB176" ca="1">IF(OR($D176&lt;&gt;"Serviço",AND(AUTOEVENTO="Manual",$M176=$A$15),$M176&gt;(ROW(PLE.lastrow)-ROW(PLE.firstrow))),0,
           IF(OFFSET(PLE!$G$15,$M176-$A$15,BB$13)="",10^12,OFFSET(PLE!$G$15,$M176-$A$15,BB$13)))</f>
        <v>0</v>
      </c>
      <c r="BC176" s="172" cm="1">
        <f t="array" aca="1" ref="BC176" ca="1">IF(OR($D176&lt;&gt;"Serviço",AND(AUTOEVENTO="Manual",$M176=$A$15),$M176&gt;(ROW(PLE.lastrow)-ROW(PLE.firstrow))),0,
           IF(OFFSET(PLE!$G$15,$M176-$A$15,BC$13)="",10^12,OFFSET(PLE!$G$15,$M176-$A$15,BC$13)))</f>
        <v>0</v>
      </c>
      <c r="BD176" s="172" cm="1">
        <f t="array" aca="1" ref="BD176" ca="1">IF(OR($D176&lt;&gt;"Serviço",AND(AUTOEVENTO="Manual",$M176=$A$15),$M176&gt;(ROW(PLE.lastrow)-ROW(PLE.firstrow))),0,
           IF(OFFSET(PLE!$G$15,$M176-$A$15,BD$13)="",10^12,OFFSET(PLE!$G$15,$M176-$A$15,BD$13)))</f>
        <v>0</v>
      </c>
      <c r="BE176" s="172" cm="1">
        <f t="array" aca="1" ref="BE176" ca="1">IF(OR($D176&lt;&gt;"Serviço",AND(AUTOEVENTO="Manual",$M176=$A$15),$M176&gt;(ROW(PLE.lastrow)-ROW(PLE.firstrow))),0,
           IF(OFFSET(PLE!$G$15,$M176-$A$15,BE$13)="",10^12,OFFSET(PLE!$G$15,$M176-$A$15,BE$13)))</f>
        <v>0</v>
      </c>
      <c r="BF176" s="172" cm="1">
        <f t="array" aca="1" ref="BF176" ca="1">IF(OR($D176&lt;&gt;"Serviço",AND(AUTOEVENTO="Manual",$M176=$A$15),$M176&gt;(ROW(PLE.lastrow)-ROW(PLE.firstrow))),0,
           IF(OFFSET(PLE!$G$15,$M176-$A$15,BF$13)="",10^12,OFFSET(PLE!$G$15,$M176-$A$15,BF$13)))</f>
        <v>0</v>
      </c>
      <c r="BG176" s="172" cm="1">
        <f t="array" aca="1" ref="BG176" ca="1">IF(OR($D176&lt;&gt;"Serviço",AND(AUTOEVENTO="Manual",$M176=$A$15),$M176&gt;(ROW(PLE.lastrow)-ROW(PLE.firstrow))),0,
           IF(OFFSET(PLE!$G$15,$M176-$A$15,BG$13)="",10^12,OFFSET(PLE!$G$15,$M176-$A$15,BG$13)))</f>
        <v>0</v>
      </c>
    </row>
    <row r="177" spans="1:59" ht="38.25" x14ac:dyDescent="0.2">
      <c r="A177" s="7" t="str">
        <f t="shared" ca="1" si="8"/>
        <v>160</v>
      </c>
      <c r="B177" s="7" t="str">
        <f ca="1">OFFSET(ORÇAMENTO!C$15,$L177,0)</f>
        <v>S</v>
      </c>
      <c r="C177" s="7" t="str">
        <f ca="1">OFFSET(ORÇAMENTO!L$15,$L177,0)</f>
        <v>F</v>
      </c>
      <c r="D177" s="116" t="str">
        <f ca="1">OFFSET(ORÇAMENTO!N$15,$L177,0)</f>
        <v>Serviço</v>
      </c>
      <c r="E177" s="117" t="str">
        <f ca="1">OFFSET(ORÇAMENTO!O$15,$L177,0)</f>
        <v>1.9.1.0.1.</v>
      </c>
      <c r="F177" s="163" t="str">
        <f ca="1">OFFSET(ORÇAMENTO!R$15,$L177,0)</f>
        <v>ENTRADA DE ENERGIA ELÉTRICA, AÉREA, MONOFÁSICA, COM CAIXA DE SOBREPOR, CABO DE 10 MM2 E DISJUNTOR DIN 50A (NÃO INCLUSO O POSTE DE CONCRETO). AF_12/2025</v>
      </c>
      <c r="G177" s="164" t="str">
        <f ca="1">IF($D177&lt;&gt;"Serviço","",OFFSET(ORÇAMENTO!S$15,$L177,0))</f>
        <v>UN</v>
      </c>
      <c r="H177" s="122" cm="1">
        <f t="array" aca="1" ref="H177" ca="1">IF($D177&lt;&gt;"Serviço",0,IF(ACOMPANHAMENTO="BM",ROUND(OFFSET(ORÇAMENTO!AJ$15,$L177,0),15-13*ORÇAMENTO!$AF$7),IF(IFERROR(CÁLCULO.FrentesPreenchidas,0)=0,0,SUM(ROUND(OFFSET($P177,0,1,1,CÁLCULO.FrentesPreenchidas),15-13*ORÇAMENTO!$AF$7)))))</f>
        <v>30</v>
      </c>
      <c r="I177" s="468"/>
      <c r="J177" s="651" t="str" cm="1">
        <f t="array" aca="1" ref="J177" ca="1">IF(OR(B177&lt;&gt;"S",CÁLCULO.FrentesPreenchidas=0),"",IF(AND(ACOMPANHAMENTO="PLE",AUTOEVENTO="Manual",OR(H177&gt;0,ORÇAMENTO!AC177="QUANT."),OR(K177="",M177=0,N177="")),"►E",IF(AND(ACOMPANHAMENTO="PLE",ORÇAMENTO!AC177="QUANT."),"►Q",IF(AND(ACOMPANHAMENTO="PLE",H177&lt;&gt;SUMPRODUCT(($Q$1:$AA$1=1)*ROUND(Q177:AA177,15))),"►S",IF(AND(COUNTIF($P$11:$AA$11,"▼")=0,H177&gt;0,I177=""),"◄M","")))))</f>
        <v/>
      </c>
      <c r="K177" s="652"/>
      <c r="L177" s="165">
        <f t="shared" ca="1" si="9"/>
        <v>162</v>
      </c>
      <c r="M177" s="166">
        <f ca="1">IF($D177&lt;&gt;"Serviço","",
          IF(AUTOEVENTO="manual",$A177,
                IF(ISERROR(MATCH($A177,$A$15:OFFSET($A177,-1,0),0)),MAX($M$15:OFFSET(M177,-1,0))+1,
                      INDEX($M$15:OFFSET(M177,-1,0),MATCH($A177,$A$15:OFFSET($A177,-1,0),0)))))</f>
        <v>9</v>
      </c>
      <c r="N177" s="167" t="str">
        <f ca="1">IF($D177&lt;&gt;"Serviço","",
         IF(AUTOEVENTO="Manual",
                IF($A177=0,"&lt;-- defina o número do agrupador",
                       OFFSET(EVENTOS!$D$15,$A177-$A$15,0)),
                OFFSET($F$15,$A177,0)))</f>
        <v>INSTALAÇÕES ELÉTRICAS</v>
      </c>
      <c r="O177" s="168"/>
      <c r="Q177" s="168"/>
      <c r="R177" s="169"/>
      <c r="S177" s="169"/>
      <c r="T177" s="169"/>
      <c r="U177" s="169"/>
      <c r="V177" s="169"/>
      <c r="W177" s="169"/>
      <c r="X177" s="169"/>
      <c r="Y177" s="169"/>
      <c r="Z177" s="170"/>
      <c r="AB177" s="453">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3">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3">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3">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3">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3">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3">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3">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1">
        <f ca="1">IF(OR($D177&lt;&gt;"Serviço",AND(AUTOEVENTO="Manual",$M177=$A$15)),0,
         IF(OFFSET(CRONOPLE!$F$15,$M177-$A$15,AM$13)=0,10^12,OFFSET(CRONOPLE!$F$15,$M177-$A$15,AM$13)))</f>
        <v>1000000000000</v>
      </c>
      <c r="AN177" s="171">
        <f ca="1">IF(OR($D177&lt;&gt;"Serviço",AND(AUTOEVENTO="Manual",$M177=$A$15)),0,
         IF(OFFSET(CRONOPLE!$F$15,$M177-$A$15,AN$13)=0,10^12,OFFSET(CRONOPLE!$F$15,$M177-$A$15,AN$13)))</f>
        <v>1000000000000</v>
      </c>
      <c r="AO177" s="171">
        <f ca="1">IF(OR($D177&lt;&gt;"Serviço",AND(AUTOEVENTO="Manual",$M177=$A$15)),0,
         IF(OFFSET(CRONOPLE!$F$15,$M177-$A$15,AO$13)=0,10^12,OFFSET(CRONOPLE!$F$15,$M177-$A$15,AO$13)))</f>
        <v>1000000000000</v>
      </c>
      <c r="AP177" s="171">
        <f ca="1">IF(OR($D177&lt;&gt;"Serviço",AND(AUTOEVENTO="Manual",$M177=$A$15)),0,
         IF(OFFSET(CRONOPLE!$F$15,$M177-$A$15,AP$13)=0,10^12,OFFSET(CRONOPLE!$F$15,$M177-$A$15,AP$13)))</f>
        <v>1000000000000</v>
      </c>
      <c r="AQ177" s="171">
        <f ca="1">IF(OR($D177&lt;&gt;"Serviço",AND(AUTOEVENTO="Manual",$M177=$A$15)),0,
         IF(OFFSET(CRONOPLE!$F$15,$M177-$A$15,AQ$13)=0,10^12,OFFSET(CRONOPLE!$F$15,$M177-$A$15,AQ$13)))</f>
        <v>1000000000000</v>
      </c>
      <c r="AR177" s="171">
        <f ca="1">IF(OR($D177&lt;&gt;"Serviço",AND(AUTOEVENTO="Manual",$M177=$A$15)),0,
         IF(OFFSET(CRONOPLE!$F$15,$M177-$A$15,AR$13)=0,10^12,OFFSET(CRONOPLE!$F$15,$M177-$A$15,AR$13)))</f>
        <v>1000000000000</v>
      </c>
      <c r="AS177" s="171">
        <f ca="1">IF(OR($D177&lt;&gt;"Serviço",AND(AUTOEVENTO="Manual",$M177=$A$15)),0,
         IF(OFFSET(CRONOPLE!$F$15,$M177-$A$15,AS$13)=0,10^12,OFFSET(CRONOPLE!$F$15,$M177-$A$15,AS$13)))</f>
        <v>1000000000000</v>
      </c>
      <c r="AT177" s="171">
        <f ca="1">IF(OR($D177&lt;&gt;"Serviço",AND(AUTOEVENTO="Manual",$M177=$A$15)),0,
         IF(OFFSET(CRONOPLE!$F$15,$M177-$A$15,AT$13)=0,10^12,OFFSET(CRONOPLE!$F$15,$M177-$A$15,AT$13)))</f>
        <v>1000000000000</v>
      </c>
      <c r="AU177" s="171">
        <f ca="1">IF(OR($D177&lt;&gt;"Serviço",AND(AUTOEVENTO="Manual",$M177=$A$15)),0,
         IF(OFFSET(CRONOPLE!$F$15,$M177-$A$15,AU$13)=0,10^12,OFFSET(CRONOPLE!$F$15,$M177-$A$15,AU$13)))</f>
        <v>1000000000000</v>
      </c>
      <c r="AV177" s="171">
        <f ca="1">IF(OR($D177&lt;&gt;"Serviço",AND(AUTOEVENTO="Manual",$M177=$A$15)),0,
         IF(OFFSET(CRONOPLE!$F$15,$M177-$A$15,AV$13)=0,10^12,OFFSET(CRONOPLE!$F$15,$M177-$A$15,AV$13)))</f>
        <v>1000000000000</v>
      </c>
      <c r="AX177" s="172" cm="1">
        <f t="array" aca="1" ref="AX177" ca="1">IF(OR($D177&lt;&gt;"Serviço",AND(AUTOEVENTO="Manual",$M177=$A$15),$M177&gt;(ROW(PLE.lastrow)-ROW(PLE.firstrow))),0,
           IF(OFFSET(PLE!$G$15,$M177-$A$15,AX$13)="",10^12,OFFSET(PLE!$G$15,$M177-$A$15,AX$13)))</f>
        <v>1000000000000</v>
      </c>
      <c r="AY177" s="172" cm="1">
        <f t="array" aca="1" ref="AY177" ca="1">IF(OR($D177&lt;&gt;"Serviço",AND(AUTOEVENTO="Manual",$M177=$A$15),$M177&gt;(ROW(PLE.lastrow)-ROW(PLE.firstrow))),0,
           IF(OFFSET(PLE!$G$15,$M177-$A$15,AY$13)="",10^12,OFFSET(PLE!$G$15,$M177-$A$15,AY$13)))</f>
        <v>1000000000000</v>
      </c>
      <c r="AZ177" s="172" cm="1">
        <f t="array" aca="1" ref="AZ177" ca="1">IF(OR($D177&lt;&gt;"Serviço",AND(AUTOEVENTO="Manual",$M177=$A$15),$M177&gt;(ROW(PLE.lastrow)-ROW(PLE.firstrow))),0,
           IF(OFFSET(PLE!$G$15,$M177-$A$15,AZ$13)="",10^12,OFFSET(PLE!$G$15,$M177-$A$15,AZ$13)))</f>
        <v>1000000000000</v>
      </c>
      <c r="BA177" s="172" cm="1">
        <f t="array" aca="1" ref="BA177" ca="1">IF(OR($D177&lt;&gt;"Serviço",AND(AUTOEVENTO="Manual",$M177=$A$15),$M177&gt;(ROW(PLE.lastrow)-ROW(PLE.firstrow))),0,
           IF(OFFSET(PLE!$G$15,$M177-$A$15,BA$13)="",10^12,OFFSET(PLE!$G$15,$M177-$A$15,BA$13)))</f>
        <v>1000000000000</v>
      </c>
      <c r="BB177" s="172" cm="1">
        <f t="array" aca="1" ref="BB177" ca="1">IF(OR($D177&lt;&gt;"Serviço",AND(AUTOEVENTO="Manual",$M177=$A$15),$M177&gt;(ROW(PLE.lastrow)-ROW(PLE.firstrow))),0,
           IF(OFFSET(PLE!$G$15,$M177-$A$15,BB$13)="",10^12,OFFSET(PLE!$G$15,$M177-$A$15,BB$13)))</f>
        <v>1000000000000</v>
      </c>
      <c r="BC177" s="172" cm="1">
        <f t="array" aca="1" ref="BC177" ca="1">IF(OR($D177&lt;&gt;"Serviço",AND(AUTOEVENTO="Manual",$M177=$A$15),$M177&gt;(ROW(PLE.lastrow)-ROW(PLE.firstrow))),0,
           IF(OFFSET(PLE!$G$15,$M177-$A$15,BC$13)="",10^12,OFFSET(PLE!$G$15,$M177-$A$15,BC$13)))</f>
        <v>1000000000000</v>
      </c>
      <c r="BD177" s="172" cm="1">
        <f t="array" aca="1" ref="BD177" ca="1">IF(OR($D177&lt;&gt;"Serviço",AND(AUTOEVENTO="Manual",$M177=$A$15),$M177&gt;(ROW(PLE.lastrow)-ROW(PLE.firstrow))),0,
           IF(OFFSET(PLE!$G$15,$M177-$A$15,BD$13)="",10^12,OFFSET(PLE!$G$15,$M177-$A$15,BD$13)))</f>
        <v>1000000000000</v>
      </c>
      <c r="BE177" s="172" cm="1">
        <f t="array" aca="1" ref="BE177" ca="1">IF(OR($D177&lt;&gt;"Serviço",AND(AUTOEVENTO="Manual",$M177=$A$15),$M177&gt;(ROW(PLE.lastrow)-ROW(PLE.firstrow))),0,
           IF(OFFSET(PLE!$G$15,$M177-$A$15,BE$13)="",10^12,OFFSET(PLE!$G$15,$M177-$A$15,BE$13)))</f>
        <v>1000000000000</v>
      </c>
      <c r="BF177" s="172" cm="1">
        <f t="array" aca="1" ref="BF177" ca="1">IF(OR($D177&lt;&gt;"Serviço",AND(AUTOEVENTO="Manual",$M177=$A$15),$M177&gt;(ROW(PLE.lastrow)-ROW(PLE.firstrow))),0,
           IF(OFFSET(PLE!$G$15,$M177-$A$15,BF$13)="",10^12,OFFSET(PLE!$G$15,$M177-$A$15,BF$13)))</f>
        <v>1000000000000</v>
      </c>
      <c r="BG177" s="172" cm="1">
        <f t="array" aca="1" ref="BG177" ca="1">IF(OR($D177&lt;&gt;"Serviço",AND(AUTOEVENTO="Manual",$M177=$A$15),$M177&gt;(ROW(PLE.lastrow)-ROW(PLE.firstrow))),0,
           IF(OFFSET(PLE!$G$15,$M177-$A$15,BG$13)="",10^12,OFFSET(PLE!$G$15,$M177-$A$15,BG$13)))</f>
        <v>1000000000000</v>
      </c>
    </row>
    <row r="178" spans="1:59" ht="25.5" x14ac:dyDescent="0.2">
      <c r="A178" s="7" t="str">
        <f t="shared" ca="1" si="8"/>
        <v>160</v>
      </c>
      <c r="B178" s="7" t="str">
        <f ca="1">OFFSET(ORÇAMENTO!C$15,$L178,0)</f>
        <v>S</v>
      </c>
      <c r="C178" s="7" t="str">
        <f ca="1">OFFSET(ORÇAMENTO!L$15,$L178,0)</f>
        <v>F</v>
      </c>
      <c r="D178" s="116" t="str">
        <f ca="1">OFFSET(ORÇAMENTO!N$15,$L178,0)</f>
        <v>Serviço</v>
      </c>
      <c r="E178" s="117" t="str">
        <f ca="1">OFFSET(ORÇAMENTO!O$15,$L178,0)</f>
        <v>1.9.1.0.2.</v>
      </c>
      <c r="F178" s="163" t="str">
        <f ca="1">OFFSET(ORÇAMENTO!R$15,$L178,0)</f>
        <v>POSTE DE CONCRETO ARMADO DE SECAO DUPLO T, EXTENSAO DE 8,00 M, RESISTENCIA DE 150 DAN, TIPO D</v>
      </c>
      <c r="G178" s="164" t="str">
        <f ca="1">IF($D178&lt;&gt;"Serviço","",OFFSET(ORÇAMENTO!S$15,$L178,0))</f>
        <v>UN</v>
      </c>
      <c r="H178" s="122" cm="1">
        <f t="array" aca="1" ref="H178" ca="1">IF($D178&lt;&gt;"Serviço",0,IF(ACOMPANHAMENTO="BM",ROUND(OFFSET(ORÇAMENTO!AJ$15,$L178,0),15-13*ORÇAMENTO!$AF$7),IF(IFERROR(CÁLCULO.FrentesPreenchidas,0)=0,0,SUM(ROUND(OFFSET($P178,0,1,1,CÁLCULO.FrentesPreenchidas),15-13*ORÇAMENTO!$AF$7)))))</f>
        <v>30</v>
      </c>
      <c r="I178" s="468"/>
      <c r="J178" s="651" t="str" cm="1">
        <f t="array" aca="1" ref="J178" ca="1">IF(OR(B178&lt;&gt;"S",CÁLCULO.FrentesPreenchidas=0),"",IF(AND(ACOMPANHAMENTO="PLE",AUTOEVENTO="Manual",OR(H178&gt;0,ORÇAMENTO!AC178="QUANT."),OR(K178="",M178=0,N178="")),"►E",IF(AND(ACOMPANHAMENTO="PLE",ORÇAMENTO!AC178="QUANT."),"►Q",IF(AND(ACOMPANHAMENTO="PLE",H178&lt;&gt;SUMPRODUCT(($Q$1:$AA$1=1)*ROUND(Q178:AA178,15))),"►S",IF(AND(COUNTIF($P$11:$AA$11,"▼")=0,H178&gt;0,I178=""),"◄M","")))))</f>
        <v/>
      </c>
      <c r="K178" s="652"/>
      <c r="L178" s="165">
        <f t="shared" ca="1" si="9"/>
        <v>163</v>
      </c>
      <c r="M178" s="166">
        <f ca="1">IF($D178&lt;&gt;"Serviço","",
          IF(AUTOEVENTO="manual",$A178,
                IF(ISERROR(MATCH($A178,$A$15:OFFSET($A178,-1,0),0)),MAX($M$15:OFFSET(M178,-1,0))+1,
                      INDEX($M$15:OFFSET(M178,-1,0),MATCH($A178,$A$15:OFFSET($A178,-1,0),0)))))</f>
        <v>9</v>
      </c>
      <c r="N178" s="167" t="str">
        <f ca="1">IF($D178&lt;&gt;"Serviço","",
         IF(AUTOEVENTO="Manual",
                IF($A178=0,"&lt;-- defina o número do agrupador",
                       OFFSET(EVENTOS!$D$15,$A178-$A$15,0)),
                OFFSET($F$15,$A178,0)))</f>
        <v>INSTALAÇÕES ELÉTRICAS</v>
      </c>
      <c r="O178" s="168"/>
      <c r="Q178" s="168"/>
      <c r="R178" s="169"/>
      <c r="S178" s="169"/>
      <c r="T178" s="169"/>
      <c r="U178" s="169"/>
      <c r="V178" s="169"/>
      <c r="W178" s="169"/>
      <c r="X178" s="169"/>
      <c r="Y178" s="169"/>
      <c r="Z178" s="170"/>
      <c r="AB178" s="453">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3">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3">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3">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3">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3">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3">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3">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1">
        <f ca="1">IF(OR($D178&lt;&gt;"Serviço",AND(AUTOEVENTO="Manual",$M178=$A$15)),0,
         IF(OFFSET(CRONOPLE!$F$15,$M178-$A$15,AM$13)=0,10^12,OFFSET(CRONOPLE!$F$15,$M178-$A$15,AM$13)))</f>
        <v>1000000000000</v>
      </c>
      <c r="AN178" s="171">
        <f ca="1">IF(OR($D178&lt;&gt;"Serviço",AND(AUTOEVENTO="Manual",$M178=$A$15)),0,
         IF(OFFSET(CRONOPLE!$F$15,$M178-$A$15,AN$13)=0,10^12,OFFSET(CRONOPLE!$F$15,$M178-$A$15,AN$13)))</f>
        <v>1000000000000</v>
      </c>
      <c r="AO178" s="171">
        <f ca="1">IF(OR($D178&lt;&gt;"Serviço",AND(AUTOEVENTO="Manual",$M178=$A$15)),0,
         IF(OFFSET(CRONOPLE!$F$15,$M178-$A$15,AO$13)=0,10^12,OFFSET(CRONOPLE!$F$15,$M178-$A$15,AO$13)))</f>
        <v>1000000000000</v>
      </c>
      <c r="AP178" s="171">
        <f ca="1">IF(OR($D178&lt;&gt;"Serviço",AND(AUTOEVENTO="Manual",$M178=$A$15)),0,
         IF(OFFSET(CRONOPLE!$F$15,$M178-$A$15,AP$13)=0,10^12,OFFSET(CRONOPLE!$F$15,$M178-$A$15,AP$13)))</f>
        <v>1000000000000</v>
      </c>
      <c r="AQ178" s="171">
        <f ca="1">IF(OR($D178&lt;&gt;"Serviço",AND(AUTOEVENTO="Manual",$M178=$A$15)),0,
         IF(OFFSET(CRONOPLE!$F$15,$M178-$A$15,AQ$13)=0,10^12,OFFSET(CRONOPLE!$F$15,$M178-$A$15,AQ$13)))</f>
        <v>1000000000000</v>
      </c>
      <c r="AR178" s="171">
        <f ca="1">IF(OR($D178&lt;&gt;"Serviço",AND(AUTOEVENTO="Manual",$M178=$A$15)),0,
         IF(OFFSET(CRONOPLE!$F$15,$M178-$A$15,AR$13)=0,10^12,OFFSET(CRONOPLE!$F$15,$M178-$A$15,AR$13)))</f>
        <v>1000000000000</v>
      </c>
      <c r="AS178" s="171">
        <f ca="1">IF(OR($D178&lt;&gt;"Serviço",AND(AUTOEVENTO="Manual",$M178=$A$15)),0,
         IF(OFFSET(CRONOPLE!$F$15,$M178-$A$15,AS$13)=0,10^12,OFFSET(CRONOPLE!$F$15,$M178-$A$15,AS$13)))</f>
        <v>1000000000000</v>
      </c>
      <c r="AT178" s="171">
        <f ca="1">IF(OR($D178&lt;&gt;"Serviço",AND(AUTOEVENTO="Manual",$M178=$A$15)),0,
         IF(OFFSET(CRONOPLE!$F$15,$M178-$A$15,AT$13)=0,10^12,OFFSET(CRONOPLE!$F$15,$M178-$A$15,AT$13)))</f>
        <v>1000000000000</v>
      </c>
      <c r="AU178" s="171">
        <f ca="1">IF(OR($D178&lt;&gt;"Serviço",AND(AUTOEVENTO="Manual",$M178=$A$15)),0,
         IF(OFFSET(CRONOPLE!$F$15,$M178-$A$15,AU$13)=0,10^12,OFFSET(CRONOPLE!$F$15,$M178-$A$15,AU$13)))</f>
        <v>1000000000000</v>
      </c>
      <c r="AV178" s="171">
        <f ca="1">IF(OR($D178&lt;&gt;"Serviço",AND(AUTOEVENTO="Manual",$M178=$A$15)),0,
         IF(OFFSET(CRONOPLE!$F$15,$M178-$A$15,AV$13)=0,10^12,OFFSET(CRONOPLE!$F$15,$M178-$A$15,AV$13)))</f>
        <v>1000000000000</v>
      </c>
      <c r="AX178" s="172" cm="1">
        <f t="array" aca="1" ref="AX178" ca="1">IF(OR($D178&lt;&gt;"Serviço",AND(AUTOEVENTO="Manual",$M178=$A$15),$M178&gt;(ROW(PLE.lastrow)-ROW(PLE.firstrow))),0,
           IF(OFFSET(PLE!$G$15,$M178-$A$15,AX$13)="",10^12,OFFSET(PLE!$G$15,$M178-$A$15,AX$13)))</f>
        <v>1000000000000</v>
      </c>
      <c r="AY178" s="172" cm="1">
        <f t="array" aca="1" ref="AY178" ca="1">IF(OR($D178&lt;&gt;"Serviço",AND(AUTOEVENTO="Manual",$M178=$A$15),$M178&gt;(ROW(PLE.lastrow)-ROW(PLE.firstrow))),0,
           IF(OFFSET(PLE!$G$15,$M178-$A$15,AY$13)="",10^12,OFFSET(PLE!$G$15,$M178-$A$15,AY$13)))</f>
        <v>1000000000000</v>
      </c>
      <c r="AZ178" s="172" cm="1">
        <f t="array" aca="1" ref="AZ178" ca="1">IF(OR($D178&lt;&gt;"Serviço",AND(AUTOEVENTO="Manual",$M178=$A$15),$M178&gt;(ROW(PLE.lastrow)-ROW(PLE.firstrow))),0,
           IF(OFFSET(PLE!$G$15,$M178-$A$15,AZ$13)="",10^12,OFFSET(PLE!$G$15,$M178-$A$15,AZ$13)))</f>
        <v>1000000000000</v>
      </c>
      <c r="BA178" s="172" cm="1">
        <f t="array" aca="1" ref="BA178" ca="1">IF(OR($D178&lt;&gt;"Serviço",AND(AUTOEVENTO="Manual",$M178=$A$15),$M178&gt;(ROW(PLE.lastrow)-ROW(PLE.firstrow))),0,
           IF(OFFSET(PLE!$G$15,$M178-$A$15,BA$13)="",10^12,OFFSET(PLE!$G$15,$M178-$A$15,BA$13)))</f>
        <v>1000000000000</v>
      </c>
      <c r="BB178" s="172" cm="1">
        <f t="array" aca="1" ref="BB178" ca="1">IF(OR($D178&lt;&gt;"Serviço",AND(AUTOEVENTO="Manual",$M178=$A$15),$M178&gt;(ROW(PLE.lastrow)-ROW(PLE.firstrow))),0,
           IF(OFFSET(PLE!$G$15,$M178-$A$15,BB$13)="",10^12,OFFSET(PLE!$G$15,$M178-$A$15,BB$13)))</f>
        <v>1000000000000</v>
      </c>
      <c r="BC178" s="172" cm="1">
        <f t="array" aca="1" ref="BC178" ca="1">IF(OR($D178&lt;&gt;"Serviço",AND(AUTOEVENTO="Manual",$M178=$A$15),$M178&gt;(ROW(PLE.lastrow)-ROW(PLE.firstrow))),0,
           IF(OFFSET(PLE!$G$15,$M178-$A$15,BC$13)="",10^12,OFFSET(PLE!$G$15,$M178-$A$15,BC$13)))</f>
        <v>1000000000000</v>
      </c>
      <c r="BD178" s="172" cm="1">
        <f t="array" aca="1" ref="BD178" ca="1">IF(OR($D178&lt;&gt;"Serviço",AND(AUTOEVENTO="Manual",$M178=$A$15),$M178&gt;(ROW(PLE.lastrow)-ROW(PLE.firstrow))),0,
           IF(OFFSET(PLE!$G$15,$M178-$A$15,BD$13)="",10^12,OFFSET(PLE!$G$15,$M178-$A$15,BD$13)))</f>
        <v>1000000000000</v>
      </c>
      <c r="BE178" s="172" cm="1">
        <f t="array" aca="1" ref="BE178" ca="1">IF(OR($D178&lt;&gt;"Serviço",AND(AUTOEVENTO="Manual",$M178=$A$15),$M178&gt;(ROW(PLE.lastrow)-ROW(PLE.firstrow))),0,
           IF(OFFSET(PLE!$G$15,$M178-$A$15,BE$13)="",10^12,OFFSET(PLE!$G$15,$M178-$A$15,BE$13)))</f>
        <v>1000000000000</v>
      </c>
      <c r="BF178" s="172" cm="1">
        <f t="array" aca="1" ref="BF178" ca="1">IF(OR($D178&lt;&gt;"Serviço",AND(AUTOEVENTO="Manual",$M178=$A$15),$M178&gt;(ROW(PLE.lastrow)-ROW(PLE.firstrow))),0,
           IF(OFFSET(PLE!$G$15,$M178-$A$15,BF$13)="",10^12,OFFSET(PLE!$G$15,$M178-$A$15,BF$13)))</f>
        <v>1000000000000</v>
      </c>
      <c r="BG178" s="172" cm="1">
        <f t="array" aca="1" ref="BG178" ca="1">IF(OR($D178&lt;&gt;"Serviço",AND(AUTOEVENTO="Manual",$M178=$A$15),$M178&gt;(ROW(PLE.lastrow)-ROW(PLE.firstrow))),0,
           IF(OFFSET(PLE!$G$15,$M178-$A$15,BG$13)="",10^12,OFFSET(PLE!$G$15,$M178-$A$15,BG$13)))</f>
        <v>1000000000000</v>
      </c>
    </row>
    <row r="179" spans="1:59" ht="51" x14ac:dyDescent="0.2">
      <c r="A179" s="7" t="str">
        <f t="shared" ca="1" si="8"/>
        <v>160</v>
      </c>
      <c r="B179" s="7" t="str">
        <f ca="1">OFFSET(ORÇAMENTO!C$15,$L179,0)</f>
        <v>S</v>
      </c>
      <c r="C179" s="7" t="str">
        <f ca="1">OFFSET(ORÇAMENTO!L$15,$L179,0)</f>
        <v>F</v>
      </c>
      <c r="D179" s="116" t="str">
        <f ca="1">OFFSET(ORÇAMENTO!N$15,$L179,0)</f>
        <v>Serviço</v>
      </c>
      <c r="E179" s="117" t="str">
        <f ca="1">OFFSET(ORÇAMENTO!O$15,$L179,0)</f>
        <v>1.9.1.0.3.</v>
      </c>
      <c r="F179" s="163" t="str">
        <f ca="1">OFFSET(ORÇAMENTO!R$15,$L179,0)</f>
        <v>ASSENTAMENTO DE POSTE DE CONCRETO COM COMPRIMENTO NOMINAL DE 9 M, CARGA NOMINAL MENOR OU IGUAL A 1000 DAN, ENGASTAMENTO SIMPLES COM 1,5 M DE SOLO (NÃO INCLUI FORNECIMENTO). AF_04/2025</v>
      </c>
      <c r="G179" s="164" t="str">
        <f ca="1">IF($D179&lt;&gt;"Serviço","",OFFSET(ORÇAMENTO!S$15,$L179,0))</f>
        <v>UN</v>
      </c>
      <c r="H179" s="122" cm="1">
        <f t="array" aca="1" ref="H179" ca="1">IF($D179&lt;&gt;"Serviço",0,IF(ACOMPANHAMENTO="BM",ROUND(OFFSET(ORÇAMENTO!AJ$15,$L179,0),15-13*ORÇAMENTO!$AF$7),IF(IFERROR(CÁLCULO.FrentesPreenchidas,0)=0,0,SUM(ROUND(OFFSET($P179,0,1,1,CÁLCULO.FrentesPreenchidas),15-13*ORÇAMENTO!$AF$7)))))</f>
        <v>30</v>
      </c>
      <c r="I179" s="468"/>
      <c r="J179" s="651" t="str" cm="1">
        <f t="array" aca="1" ref="J179" ca="1">IF(OR(B179&lt;&gt;"S",CÁLCULO.FrentesPreenchidas=0),"",IF(AND(ACOMPANHAMENTO="PLE",AUTOEVENTO="Manual",OR(H179&gt;0,ORÇAMENTO!AC179="QUANT."),OR(K179="",M179=0,N179="")),"►E",IF(AND(ACOMPANHAMENTO="PLE",ORÇAMENTO!AC179="QUANT."),"►Q",IF(AND(ACOMPANHAMENTO="PLE",H179&lt;&gt;SUMPRODUCT(($Q$1:$AA$1=1)*ROUND(Q179:AA179,15))),"►S",IF(AND(COUNTIF($P$11:$AA$11,"▼")=0,H179&gt;0,I179=""),"◄M","")))))</f>
        <v/>
      </c>
      <c r="K179" s="652"/>
      <c r="L179" s="165">
        <f t="shared" ca="1" si="9"/>
        <v>164</v>
      </c>
      <c r="M179" s="166">
        <f ca="1">IF($D179&lt;&gt;"Serviço","",
          IF(AUTOEVENTO="manual",$A179,
                IF(ISERROR(MATCH($A179,$A$15:OFFSET($A179,-1,0),0)),MAX($M$15:OFFSET(M179,-1,0))+1,
                      INDEX($M$15:OFFSET(M179,-1,0),MATCH($A179,$A$15:OFFSET($A179,-1,0),0)))))</f>
        <v>9</v>
      </c>
      <c r="N179" s="167" t="str">
        <f ca="1">IF($D179&lt;&gt;"Serviço","",
         IF(AUTOEVENTO="Manual",
                IF($A179=0,"&lt;-- defina o número do agrupador",
                       OFFSET(EVENTOS!$D$15,$A179-$A$15,0)),
                OFFSET($F$15,$A179,0)))</f>
        <v>INSTALAÇÕES ELÉTRICAS</v>
      </c>
      <c r="O179" s="168"/>
      <c r="Q179" s="168"/>
      <c r="R179" s="169"/>
      <c r="S179" s="169"/>
      <c r="T179" s="169"/>
      <c r="U179" s="169"/>
      <c r="V179" s="169"/>
      <c r="W179" s="169"/>
      <c r="X179" s="169"/>
      <c r="Y179" s="169"/>
      <c r="Z179" s="170"/>
      <c r="AB179" s="453">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3">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3">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3">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3">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3">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3">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3">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1">
        <f ca="1">IF(OR($D179&lt;&gt;"Serviço",AND(AUTOEVENTO="Manual",$M179=$A$15)),0,
         IF(OFFSET(CRONOPLE!$F$15,$M179-$A$15,AM$13)=0,10^12,OFFSET(CRONOPLE!$F$15,$M179-$A$15,AM$13)))</f>
        <v>1000000000000</v>
      </c>
      <c r="AN179" s="171">
        <f ca="1">IF(OR($D179&lt;&gt;"Serviço",AND(AUTOEVENTO="Manual",$M179=$A$15)),0,
         IF(OFFSET(CRONOPLE!$F$15,$M179-$A$15,AN$13)=0,10^12,OFFSET(CRONOPLE!$F$15,$M179-$A$15,AN$13)))</f>
        <v>1000000000000</v>
      </c>
      <c r="AO179" s="171">
        <f ca="1">IF(OR($D179&lt;&gt;"Serviço",AND(AUTOEVENTO="Manual",$M179=$A$15)),0,
         IF(OFFSET(CRONOPLE!$F$15,$M179-$A$15,AO$13)=0,10^12,OFFSET(CRONOPLE!$F$15,$M179-$A$15,AO$13)))</f>
        <v>1000000000000</v>
      </c>
      <c r="AP179" s="171">
        <f ca="1">IF(OR($D179&lt;&gt;"Serviço",AND(AUTOEVENTO="Manual",$M179=$A$15)),0,
         IF(OFFSET(CRONOPLE!$F$15,$M179-$A$15,AP$13)=0,10^12,OFFSET(CRONOPLE!$F$15,$M179-$A$15,AP$13)))</f>
        <v>1000000000000</v>
      </c>
      <c r="AQ179" s="171">
        <f ca="1">IF(OR($D179&lt;&gt;"Serviço",AND(AUTOEVENTO="Manual",$M179=$A$15)),0,
         IF(OFFSET(CRONOPLE!$F$15,$M179-$A$15,AQ$13)=0,10^12,OFFSET(CRONOPLE!$F$15,$M179-$A$15,AQ$13)))</f>
        <v>1000000000000</v>
      </c>
      <c r="AR179" s="171">
        <f ca="1">IF(OR($D179&lt;&gt;"Serviço",AND(AUTOEVENTO="Manual",$M179=$A$15)),0,
         IF(OFFSET(CRONOPLE!$F$15,$M179-$A$15,AR$13)=0,10^12,OFFSET(CRONOPLE!$F$15,$M179-$A$15,AR$13)))</f>
        <v>1000000000000</v>
      </c>
      <c r="AS179" s="171">
        <f ca="1">IF(OR($D179&lt;&gt;"Serviço",AND(AUTOEVENTO="Manual",$M179=$A$15)),0,
         IF(OFFSET(CRONOPLE!$F$15,$M179-$A$15,AS$13)=0,10^12,OFFSET(CRONOPLE!$F$15,$M179-$A$15,AS$13)))</f>
        <v>1000000000000</v>
      </c>
      <c r="AT179" s="171">
        <f ca="1">IF(OR($D179&lt;&gt;"Serviço",AND(AUTOEVENTO="Manual",$M179=$A$15)),0,
         IF(OFFSET(CRONOPLE!$F$15,$M179-$A$15,AT$13)=0,10^12,OFFSET(CRONOPLE!$F$15,$M179-$A$15,AT$13)))</f>
        <v>1000000000000</v>
      </c>
      <c r="AU179" s="171">
        <f ca="1">IF(OR($D179&lt;&gt;"Serviço",AND(AUTOEVENTO="Manual",$M179=$A$15)),0,
         IF(OFFSET(CRONOPLE!$F$15,$M179-$A$15,AU$13)=0,10^12,OFFSET(CRONOPLE!$F$15,$M179-$A$15,AU$13)))</f>
        <v>1000000000000</v>
      </c>
      <c r="AV179" s="171">
        <f ca="1">IF(OR($D179&lt;&gt;"Serviço",AND(AUTOEVENTO="Manual",$M179=$A$15)),0,
         IF(OFFSET(CRONOPLE!$F$15,$M179-$A$15,AV$13)=0,10^12,OFFSET(CRONOPLE!$F$15,$M179-$A$15,AV$13)))</f>
        <v>1000000000000</v>
      </c>
      <c r="AX179" s="172" cm="1">
        <f t="array" aca="1" ref="AX179" ca="1">IF(OR($D179&lt;&gt;"Serviço",AND(AUTOEVENTO="Manual",$M179=$A$15),$M179&gt;(ROW(PLE.lastrow)-ROW(PLE.firstrow))),0,
           IF(OFFSET(PLE!$G$15,$M179-$A$15,AX$13)="",10^12,OFFSET(PLE!$G$15,$M179-$A$15,AX$13)))</f>
        <v>1000000000000</v>
      </c>
      <c r="AY179" s="172" cm="1">
        <f t="array" aca="1" ref="AY179" ca="1">IF(OR($D179&lt;&gt;"Serviço",AND(AUTOEVENTO="Manual",$M179=$A$15),$M179&gt;(ROW(PLE.lastrow)-ROW(PLE.firstrow))),0,
           IF(OFFSET(PLE!$G$15,$M179-$A$15,AY$13)="",10^12,OFFSET(PLE!$G$15,$M179-$A$15,AY$13)))</f>
        <v>1000000000000</v>
      </c>
      <c r="AZ179" s="172" cm="1">
        <f t="array" aca="1" ref="AZ179" ca="1">IF(OR($D179&lt;&gt;"Serviço",AND(AUTOEVENTO="Manual",$M179=$A$15),$M179&gt;(ROW(PLE.lastrow)-ROW(PLE.firstrow))),0,
           IF(OFFSET(PLE!$G$15,$M179-$A$15,AZ$13)="",10^12,OFFSET(PLE!$G$15,$M179-$A$15,AZ$13)))</f>
        <v>1000000000000</v>
      </c>
      <c r="BA179" s="172" cm="1">
        <f t="array" aca="1" ref="BA179" ca="1">IF(OR($D179&lt;&gt;"Serviço",AND(AUTOEVENTO="Manual",$M179=$A$15),$M179&gt;(ROW(PLE.lastrow)-ROW(PLE.firstrow))),0,
           IF(OFFSET(PLE!$G$15,$M179-$A$15,BA$13)="",10^12,OFFSET(PLE!$G$15,$M179-$A$15,BA$13)))</f>
        <v>1000000000000</v>
      </c>
      <c r="BB179" s="172" cm="1">
        <f t="array" aca="1" ref="BB179" ca="1">IF(OR($D179&lt;&gt;"Serviço",AND(AUTOEVENTO="Manual",$M179=$A$15),$M179&gt;(ROW(PLE.lastrow)-ROW(PLE.firstrow))),0,
           IF(OFFSET(PLE!$G$15,$M179-$A$15,BB$13)="",10^12,OFFSET(PLE!$G$15,$M179-$A$15,BB$13)))</f>
        <v>1000000000000</v>
      </c>
      <c r="BC179" s="172" cm="1">
        <f t="array" aca="1" ref="BC179" ca="1">IF(OR($D179&lt;&gt;"Serviço",AND(AUTOEVENTO="Manual",$M179=$A$15),$M179&gt;(ROW(PLE.lastrow)-ROW(PLE.firstrow))),0,
           IF(OFFSET(PLE!$G$15,$M179-$A$15,BC$13)="",10^12,OFFSET(PLE!$G$15,$M179-$A$15,BC$13)))</f>
        <v>1000000000000</v>
      </c>
      <c r="BD179" s="172" cm="1">
        <f t="array" aca="1" ref="BD179" ca="1">IF(OR($D179&lt;&gt;"Serviço",AND(AUTOEVENTO="Manual",$M179=$A$15),$M179&gt;(ROW(PLE.lastrow)-ROW(PLE.firstrow))),0,
           IF(OFFSET(PLE!$G$15,$M179-$A$15,BD$13)="",10^12,OFFSET(PLE!$G$15,$M179-$A$15,BD$13)))</f>
        <v>1000000000000</v>
      </c>
      <c r="BE179" s="172" cm="1">
        <f t="array" aca="1" ref="BE179" ca="1">IF(OR($D179&lt;&gt;"Serviço",AND(AUTOEVENTO="Manual",$M179=$A$15),$M179&gt;(ROW(PLE.lastrow)-ROW(PLE.firstrow))),0,
           IF(OFFSET(PLE!$G$15,$M179-$A$15,BE$13)="",10^12,OFFSET(PLE!$G$15,$M179-$A$15,BE$13)))</f>
        <v>1000000000000</v>
      </c>
      <c r="BF179" s="172" cm="1">
        <f t="array" aca="1" ref="BF179" ca="1">IF(OR($D179&lt;&gt;"Serviço",AND(AUTOEVENTO="Manual",$M179=$A$15),$M179&gt;(ROW(PLE.lastrow)-ROW(PLE.firstrow))),0,
           IF(OFFSET(PLE!$G$15,$M179-$A$15,BF$13)="",10^12,OFFSET(PLE!$G$15,$M179-$A$15,BF$13)))</f>
        <v>1000000000000</v>
      </c>
      <c r="BG179" s="172" cm="1">
        <f t="array" aca="1" ref="BG179" ca="1">IF(OR($D179&lt;&gt;"Serviço",AND(AUTOEVENTO="Manual",$M179=$A$15),$M179&gt;(ROW(PLE.lastrow)-ROW(PLE.firstrow))),0,
           IF(OFFSET(PLE!$G$15,$M179-$A$15,BG$13)="",10^12,OFFSET(PLE!$G$15,$M179-$A$15,BG$13)))</f>
        <v>1000000000000</v>
      </c>
    </row>
    <row r="180" spans="1:59" ht="12.75" x14ac:dyDescent="0.2">
      <c r="A180" s="7" t="str">
        <f t="shared" ca="1" si="8"/>
        <v>160</v>
      </c>
      <c r="B180" s="7">
        <f ca="1">OFFSET(ORÇAMENTO!C$15,$L180,0)</f>
        <v>3</v>
      </c>
      <c r="C180" s="7" t="str">
        <f ca="1">OFFSET(ORÇAMENTO!L$15,$L180,0)</f>
        <v>F</v>
      </c>
      <c r="D180" s="116" t="str">
        <f ca="1">OFFSET(ORÇAMENTO!N$15,$L180,0)</f>
        <v>Nível 3</v>
      </c>
      <c r="E180" s="117" t="str">
        <f ca="1">OFFSET(ORÇAMENTO!O$15,$L180,0)</f>
        <v>1.9.2.</v>
      </c>
      <c r="F180" s="163" t="str">
        <f ca="1">OFFSET(ORÇAMENTO!R$15,$L180,0)</f>
        <v>PONTOS ELÉTRICOS</v>
      </c>
      <c r="G180" s="164" t="str">
        <f ca="1">IF($D180&lt;&gt;"Serviço","",OFFSET(ORÇAMENTO!S$15,$L180,0))</f>
        <v/>
      </c>
      <c r="H180" s="122" cm="1">
        <f t="array" aca="1" ref="H180" ca="1">IF($D180&lt;&gt;"Serviço",0,IF(ACOMPANHAMENTO="BM",ROUND(OFFSET(ORÇAMENTO!AJ$15,$L180,0),15-13*ORÇAMENTO!$AF$7),IF(IFERROR(CÁLCULO.FrentesPreenchidas,0)=0,0,SUM(ROUND(OFFSET($P180,0,1,1,CÁLCULO.FrentesPreenchidas),15-13*ORÇAMENTO!$AF$7)))))</f>
        <v>0</v>
      </c>
      <c r="I180" s="468"/>
      <c r="J180" s="651" t="str" cm="1">
        <f t="array" aca="1" ref="J180" ca="1">IF(OR(B180&lt;&gt;"S",CÁLCULO.FrentesPreenchidas=0),"",IF(AND(ACOMPANHAMENTO="PLE",AUTOEVENTO="Manual",OR(H180&gt;0,ORÇAMENTO!AC180="QUANT."),OR(K180="",M180=0,N180="")),"►E",IF(AND(ACOMPANHAMENTO="PLE",ORÇAMENTO!AC180="QUANT."),"►Q",IF(AND(ACOMPANHAMENTO="PLE",H180&lt;&gt;SUMPRODUCT(($Q$1:$AA$1=1)*ROUND(Q180:AA180,15))),"►S",IF(AND(COUNTIF($P$11:$AA$11,"▼")=0,H180&gt;0,I180=""),"◄M","")))))</f>
        <v/>
      </c>
      <c r="K180" s="652"/>
      <c r="L180" s="165">
        <f t="shared" ca="1" si="9"/>
        <v>165</v>
      </c>
      <c r="M180" s="166" t="str">
        <f ca="1">IF($D180&lt;&gt;"Serviço","",
          IF(AUTOEVENTO="manual",$A180,
                IF(ISERROR(MATCH($A180,$A$15:OFFSET($A180,-1,0),0)),MAX($M$15:OFFSET(M180,-1,0))+1,
                      INDEX($M$15:OFFSET(M180,-1,0),MATCH($A180,$A$15:OFFSET($A180,-1,0),0)))))</f>
        <v/>
      </c>
      <c r="N180" s="167" t="str">
        <f ca="1">IF($D180&lt;&gt;"Serviço","",
         IF(AUTOEVENTO="Manual",
                IF($A180=0,"&lt;-- defina o número do agrupador",
                       OFFSET(EVENTOS!$D$15,$A180-$A$15,0)),
                OFFSET($F$15,$A180,0)))</f>
        <v/>
      </c>
      <c r="O180" s="168"/>
      <c r="Q180" s="168"/>
      <c r="R180" s="169"/>
      <c r="S180" s="169"/>
      <c r="T180" s="169"/>
      <c r="U180" s="169"/>
      <c r="V180" s="169"/>
      <c r="W180" s="169"/>
      <c r="X180" s="169"/>
      <c r="Y180" s="169"/>
      <c r="Z180" s="170"/>
      <c r="AB180" s="453">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3">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3">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3">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3">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3">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3">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3">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1">
        <f ca="1">IF(OR($D180&lt;&gt;"Serviço",AND(AUTOEVENTO="Manual",$M180=$A$15)),0,
         IF(OFFSET(CRONOPLE!$F$15,$M180-$A$15,AM$13)=0,10^12,OFFSET(CRONOPLE!$F$15,$M180-$A$15,AM$13)))</f>
        <v>0</v>
      </c>
      <c r="AN180" s="171">
        <f ca="1">IF(OR($D180&lt;&gt;"Serviço",AND(AUTOEVENTO="Manual",$M180=$A$15)),0,
         IF(OFFSET(CRONOPLE!$F$15,$M180-$A$15,AN$13)=0,10^12,OFFSET(CRONOPLE!$F$15,$M180-$A$15,AN$13)))</f>
        <v>0</v>
      </c>
      <c r="AO180" s="171">
        <f ca="1">IF(OR($D180&lt;&gt;"Serviço",AND(AUTOEVENTO="Manual",$M180=$A$15)),0,
         IF(OFFSET(CRONOPLE!$F$15,$M180-$A$15,AO$13)=0,10^12,OFFSET(CRONOPLE!$F$15,$M180-$A$15,AO$13)))</f>
        <v>0</v>
      </c>
      <c r="AP180" s="171">
        <f ca="1">IF(OR($D180&lt;&gt;"Serviço",AND(AUTOEVENTO="Manual",$M180=$A$15)),0,
         IF(OFFSET(CRONOPLE!$F$15,$M180-$A$15,AP$13)=0,10^12,OFFSET(CRONOPLE!$F$15,$M180-$A$15,AP$13)))</f>
        <v>0</v>
      </c>
      <c r="AQ180" s="171">
        <f ca="1">IF(OR($D180&lt;&gt;"Serviço",AND(AUTOEVENTO="Manual",$M180=$A$15)),0,
         IF(OFFSET(CRONOPLE!$F$15,$M180-$A$15,AQ$13)=0,10^12,OFFSET(CRONOPLE!$F$15,$M180-$A$15,AQ$13)))</f>
        <v>0</v>
      </c>
      <c r="AR180" s="171">
        <f ca="1">IF(OR($D180&lt;&gt;"Serviço",AND(AUTOEVENTO="Manual",$M180=$A$15)),0,
         IF(OFFSET(CRONOPLE!$F$15,$M180-$A$15,AR$13)=0,10^12,OFFSET(CRONOPLE!$F$15,$M180-$A$15,AR$13)))</f>
        <v>0</v>
      </c>
      <c r="AS180" s="171">
        <f ca="1">IF(OR($D180&lt;&gt;"Serviço",AND(AUTOEVENTO="Manual",$M180=$A$15)),0,
         IF(OFFSET(CRONOPLE!$F$15,$M180-$A$15,AS$13)=0,10^12,OFFSET(CRONOPLE!$F$15,$M180-$A$15,AS$13)))</f>
        <v>0</v>
      </c>
      <c r="AT180" s="171">
        <f ca="1">IF(OR($D180&lt;&gt;"Serviço",AND(AUTOEVENTO="Manual",$M180=$A$15)),0,
         IF(OFFSET(CRONOPLE!$F$15,$M180-$A$15,AT$13)=0,10^12,OFFSET(CRONOPLE!$F$15,$M180-$A$15,AT$13)))</f>
        <v>0</v>
      </c>
      <c r="AU180" s="171">
        <f ca="1">IF(OR($D180&lt;&gt;"Serviço",AND(AUTOEVENTO="Manual",$M180=$A$15)),0,
         IF(OFFSET(CRONOPLE!$F$15,$M180-$A$15,AU$13)=0,10^12,OFFSET(CRONOPLE!$F$15,$M180-$A$15,AU$13)))</f>
        <v>0</v>
      </c>
      <c r="AV180" s="171">
        <f ca="1">IF(OR($D180&lt;&gt;"Serviço",AND(AUTOEVENTO="Manual",$M180=$A$15)),0,
         IF(OFFSET(CRONOPLE!$F$15,$M180-$A$15,AV$13)=0,10^12,OFFSET(CRONOPLE!$F$15,$M180-$A$15,AV$13)))</f>
        <v>0</v>
      </c>
      <c r="AX180" s="172" cm="1">
        <f t="array" aca="1" ref="AX180" ca="1">IF(OR($D180&lt;&gt;"Serviço",AND(AUTOEVENTO="Manual",$M180=$A$15),$M180&gt;(ROW(PLE.lastrow)-ROW(PLE.firstrow))),0,
           IF(OFFSET(PLE!$G$15,$M180-$A$15,AX$13)="",10^12,OFFSET(PLE!$G$15,$M180-$A$15,AX$13)))</f>
        <v>0</v>
      </c>
      <c r="AY180" s="172" cm="1">
        <f t="array" aca="1" ref="AY180" ca="1">IF(OR($D180&lt;&gt;"Serviço",AND(AUTOEVENTO="Manual",$M180=$A$15),$M180&gt;(ROW(PLE.lastrow)-ROW(PLE.firstrow))),0,
           IF(OFFSET(PLE!$G$15,$M180-$A$15,AY$13)="",10^12,OFFSET(PLE!$G$15,$M180-$A$15,AY$13)))</f>
        <v>0</v>
      </c>
      <c r="AZ180" s="172" cm="1">
        <f t="array" aca="1" ref="AZ180" ca="1">IF(OR($D180&lt;&gt;"Serviço",AND(AUTOEVENTO="Manual",$M180=$A$15),$M180&gt;(ROW(PLE.lastrow)-ROW(PLE.firstrow))),0,
           IF(OFFSET(PLE!$G$15,$M180-$A$15,AZ$13)="",10^12,OFFSET(PLE!$G$15,$M180-$A$15,AZ$13)))</f>
        <v>0</v>
      </c>
      <c r="BA180" s="172" cm="1">
        <f t="array" aca="1" ref="BA180" ca="1">IF(OR($D180&lt;&gt;"Serviço",AND(AUTOEVENTO="Manual",$M180=$A$15),$M180&gt;(ROW(PLE.lastrow)-ROW(PLE.firstrow))),0,
           IF(OFFSET(PLE!$G$15,$M180-$A$15,BA$13)="",10^12,OFFSET(PLE!$G$15,$M180-$A$15,BA$13)))</f>
        <v>0</v>
      </c>
      <c r="BB180" s="172" cm="1">
        <f t="array" aca="1" ref="BB180" ca="1">IF(OR($D180&lt;&gt;"Serviço",AND(AUTOEVENTO="Manual",$M180=$A$15),$M180&gt;(ROW(PLE.lastrow)-ROW(PLE.firstrow))),0,
           IF(OFFSET(PLE!$G$15,$M180-$A$15,BB$13)="",10^12,OFFSET(PLE!$G$15,$M180-$A$15,BB$13)))</f>
        <v>0</v>
      </c>
      <c r="BC180" s="172" cm="1">
        <f t="array" aca="1" ref="BC180" ca="1">IF(OR($D180&lt;&gt;"Serviço",AND(AUTOEVENTO="Manual",$M180=$A$15),$M180&gt;(ROW(PLE.lastrow)-ROW(PLE.firstrow))),0,
           IF(OFFSET(PLE!$G$15,$M180-$A$15,BC$13)="",10^12,OFFSET(PLE!$G$15,$M180-$A$15,BC$13)))</f>
        <v>0</v>
      </c>
      <c r="BD180" s="172" cm="1">
        <f t="array" aca="1" ref="BD180" ca="1">IF(OR($D180&lt;&gt;"Serviço",AND(AUTOEVENTO="Manual",$M180=$A$15),$M180&gt;(ROW(PLE.lastrow)-ROW(PLE.firstrow))),0,
           IF(OFFSET(PLE!$G$15,$M180-$A$15,BD$13)="",10^12,OFFSET(PLE!$G$15,$M180-$A$15,BD$13)))</f>
        <v>0</v>
      </c>
      <c r="BE180" s="172" cm="1">
        <f t="array" aca="1" ref="BE180" ca="1">IF(OR($D180&lt;&gt;"Serviço",AND(AUTOEVENTO="Manual",$M180=$A$15),$M180&gt;(ROW(PLE.lastrow)-ROW(PLE.firstrow))),0,
           IF(OFFSET(PLE!$G$15,$M180-$A$15,BE$13)="",10^12,OFFSET(PLE!$G$15,$M180-$A$15,BE$13)))</f>
        <v>0</v>
      </c>
      <c r="BF180" s="172" cm="1">
        <f t="array" aca="1" ref="BF180" ca="1">IF(OR($D180&lt;&gt;"Serviço",AND(AUTOEVENTO="Manual",$M180=$A$15),$M180&gt;(ROW(PLE.lastrow)-ROW(PLE.firstrow))),0,
           IF(OFFSET(PLE!$G$15,$M180-$A$15,BF$13)="",10^12,OFFSET(PLE!$G$15,$M180-$A$15,BF$13)))</f>
        <v>0</v>
      </c>
      <c r="BG180" s="172" cm="1">
        <f t="array" aca="1" ref="BG180" ca="1">IF(OR($D180&lt;&gt;"Serviço",AND(AUTOEVENTO="Manual",$M180=$A$15),$M180&gt;(ROW(PLE.lastrow)-ROW(PLE.firstrow))),0,
           IF(OFFSET(PLE!$G$15,$M180-$A$15,BG$13)="",10^12,OFFSET(PLE!$G$15,$M180-$A$15,BG$13)))</f>
        <v>0</v>
      </c>
    </row>
    <row r="181" spans="1:59" ht="51" x14ac:dyDescent="0.2">
      <c r="A181" s="7" t="str">
        <f t="shared" ca="1" si="8"/>
        <v>160</v>
      </c>
      <c r="B181" s="7" t="str">
        <f ca="1">OFFSET(ORÇAMENTO!C$15,$L181,0)</f>
        <v>S</v>
      </c>
      <c r="C181" s="7" t="str">
        <f ca="1">OFFSET(ORÇAMENTO!L$15,$L181,0)</f>
        <v>F</v>
      </c>
      <c r="D181" s="116" t="str">
        <f ca="1">OFFSET(ORÇAMENTO!N$15,$L181,0)</f>
        <v>Serviço</v>
      </c>
      <c r="E181" s="117" t="str">
        <f ca="1">OFFSET(ORÇAMENTO!O$15,$L181,0)</f>
        <v>1.9.2.0.1.</v>
      </c>
      <c r="F181" s="163" t="str">
        <f ca="1">OFFSET(ORÇAMENTO!R$15,$L181,0)</f>
        <v>PONTO ELÉTRICO DE ILUMINAÇÃO, COM INTERRUPTOR SIMPLES, EM EDIFÍCIO RESIDENCIAL COM ELETRODUTO EMBUTIDO EM RASGOS NAS PAREDES, INCLUSO TOMADA, ELETRODUTO, CABO, RASGO E CHUMBAMENTO (SEM LUMINÁRIA E LÂMPADA)</v>
      </c>
      <c r="G181" s="164" t="str">
        <f ca="1">IF($D181&lt;&gt;"Serviço","",OFFSET(ORÇAMENTO!S$15,$L181,0))</f>
        <v>UN</v>
      </c>
      <c r="H181" s="122" cm="1">
        <f t="array" aca="1" ref="H181" ca="1">IF($D181&lt;&gt;"Serviço",0,IF(ACOMPANHAMENTO="BM",ROUND(OFFSET(ORÇAMENTO!AJ$15,$L181,0),15-13*ORÇAMENTO!$AF$7),IF(IFERROR(CÁLCULO.FrentesPreenchidas,0)=0,0,SUM(ROUND(OFFSET($P181,0,1,1,CÁLCULO.FrentesPreenchidas),15-13*ORÇAMENTO!$AF$7)))))</f>
        <v>240</v>
      </c>
      <c r="I181" s="468"/>
      <c r="J181" s="651" t="str" cm="1">
        <f t="array" aca="1" ref="J181" ca="1">IF(OR(B181&lt;&gt;"S",CÁLCULO.FrentesPreenchidas=0),"",IF(AND(ACOMPANHAMENTO="PLE",AUTOEVENTO="Manual",OR(H181&gt;0,ORÇAMENTO!AC181="QUANT."),OR(K181="",M181=0,N181="")),"►E",IF(AND(ACOMPANHAMENTO="PLE",ORÇAMENTO!AC181="QUANT."),"►Q",IF(AND(ACOMPANHAMENTO="PLE",H181&lt;&gt;SUMPRODUCT(($Q$1:$AA$1=1)*ROUND(Q181:AA181,15))),"►S",IF(AND(COUNTIF($P$11:$AA$11,"▼")=0,H181&gt;0,I181=""),"◄M","")))))</f>
        <v/>
      </c>
      <c r="K181" s="652"/>
      <c r="L181" s="165">
        <f t="shared" ca="1" si="9"/>
        <v>166</v>
      </c>
      <c r="M181" s="166">
        <f ca="1">IF($D181&lt;&gt;"Serviço","",
          IF(AUTOEVENTO="manual",$A181,
                IF(ISERROR(MATCH($A181,$A$15:OFFSET($A181,-1,0),0)),MAX($M$15:OFFSET(M181,-1,0))+1,
                      INDEX($M$15:OFFSET(M181,-1,0),MATCH($A181,$A$15:OFFSET($A181,-1,0),0)))))</f>
        <v>9</v>
      </c>
      <c r="N181" s="167" t="str">
        <f ca="1">IF($D181&lt;&gt;"Serviço","",
         IF(AUTOEVENTO="Manual",
                IF($A181=0,"&lt;-- defina o número do agrupador",
                       OFFSET(EVENTOS!$D$15,$A181-$A$15,0)),
                OFFSET($F$15,$A181,0)))</f>
        <v>INSTALAÇÕES ELÉTRICAS</v>
      </c>
      <c r="O181" s="168"/>
      <c r="Q181" s="168"/>
      <c r="R181" s="169"/>
      <c r="S181" s="169"/>
      <c r="T181" s="169"/>
      <c r="U181" s="169"/>
      <c r="V181" s="169"/>
      <c r="W181" s="169"/>
      <c r="X181" s="169"/>
      <c r="Y181" s="169"/>
      <c r="Z181" s="170"/>
      <c r="AB181" s="453">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3">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3">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3">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3">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3">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3">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3">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1">
        <f ca="1">IF(OR($D181&lt;&gt;"Serviço",AND(AUTOEVENTO="Manual",$M181=$A$15)),0,
         IF(OFFSET(CRONOPLE!$F$15,$M181-$A$15,AM$13)=0,10^12,OFFSET(CRONOPLE!$F$15,$M181-$A$15,AM$13)))</f>
        <v>1000000000000</v>
      </c>
      <c r="AN181" s="171">
        <f ca="1">IF(OR($D181&lt;&gt;"Serviço",AND(AUTOEVENTO="Manual",$M181=$A$15)),0,
         IF(OFFSET(CRONOPLE!$F$15,$M181-$A$15,AN$13)=0,10^12,OFFSET(CRONOPLE!$F$15,$M181-$A$15,AN$13)))</f>
        <v>1000000000000</v>
      </c>
      <c r="AO181" s="171">
        <f ca="1">IF(OR($D181&lt;&gt;"Serviço",AND(AUTOEVENTO="Manual",$M181=$A$15)),0,
         IF(OFFSET(CRONOPLE!$F$15,$M181-$A$15,AO$13)=0,10^12,OFFSET(CRONOPLE!$F$15,$M181-$A$15,AO$13)))</f>
        <v>1000000000000</v>
      </c>
      <c r="AP181" s="171">
        <f ca="1">IF(OR($D181&lt;&gt;"Serviço",AND(AUTOEVENTO="Manual",$M181=$A$15)),0,
         IF(OFFSET(CRONOPLE!$F$15,$M181-$A$15,AP$13)=0,10^12,OFFSET(CRONOPLE!$F$15,$M181-$A$15,AP$13)))</f>
        <v>1000000000000</v>
      </c>
      <c r="AQ181" s="171">
        <f ca="1">IF(OR($D181&lt;&gt;"Serviço",AND(AUTOEVENTO="Manual",$M181=$A$15)),0,
         IF(OFFSET(CRONOPLE!$F$15,$M181-$A$15,AQ$13)=0,10^12,OFFSET(CRONOPLE!$F$15,$M181-$A$15,AQ$13)))</f>
        <v>1000000000000</v>
      </c>
      <c r="AR181" s="171">
        <f ca="1">IF(OR($D181&lt;&gt;"Serviço",AND(AUTOEVENTO="Manual",$M181=$A$15)),0,
         IF(OFFSET(CRONOPLE!$F$15,$M181-$A$15,AR$13)=0,10^12,OFFSET(CRONOPLE!$F$15,$M181-$A$15,AR$13)))</f>
        <v>1000000000000</v>
      </c>
      <c r="AS181" s="171">
        <f ca="1">IF(OR($D181&lt;&gt;"Serviço",AND(AUTOEVENTO="Manual",$M181=$A$15)),0,
         IF(OFFSET(CRONOPLE!$F$15,$M181-$A$15,AS$13)=0,10^12,OFFSET(CRONOPLE!$F$15,$M181-$A$15,AS$13)))</f>
        <v>1000000000000</v>
      </c>
      <c r="AT181" s="171">
        <f ca="1">IF(OR($D181&lt;&gt;"Serviço",AND(AUTOEVENTO="Manual",$M181=$A$15)),0,
         IF(OFFSET(CRONOPLE!$F$15,$M181-$A$15,AT$13)=0,10^12,OFFSET(CRONOPLE!$F$15,$M181-$A$15,AT$13)))</f>
        <v>1000000000000</v>
      </c>
      <c r="AU181" s="171">
        <f ca="1">IF(OR($D181&lt;&gt;"Serviço",AND(AUTOEVENTO="Manual",$M181=$A$15)),0,
         IF(OFFSET(CRONOPLE!$F$15,$M181-$A$15,AU$13)=0,10^12,OFFSET(CRONOPLE!$F$15,$M181-$A$15,AU$13)))</f>
        <v>1000000000000</v>
      </c>
      <c r="AV181" s="171">
        <f ca="1">IF(OR($D181&lt;&gt;"Serviço",AND(AUTOEVENTO="Manual",$M181=$A$15)),0,
         IF(OFFSET(CRONOPLE!$F$15,$M181-$A$15,AV$13)=0,10^12,OFFSET(CRONOPLE!$F$15,$M181-$A$15,AV$13)))</f>
        <v>1000000000000</v>
      </c>
      <c r="AX181" s="172" cm="1">
        <f t="array" aca="1" ref="AX181" ca="1">IF(OR($D181&lt;&gt;"Serviço",AND(AUTOEVENTO="Manual",$M181=$A$15),$M181&gt;(ROW(PLE.lastrow)-ROW(PLE.firstrow))),0,
           IF(OFFSET(PLE!$G$15,$M181-$A$15,AX$13)="",10^12,OFFSET(PLE!$G$15,$M181-$A$15,AX$13)))</f>
        <v>1000000000000</v>
      </c>
      <c r="AY181" s="172" cm="1">
        <f t="array" aca="1" ref="AY181" ca="1">IF(OR($D181&lt;&gt;"Serviço",AND(AUTOEVENTO="Manual",$M181=$A$15),$M181&gt;(ROW(PLE.lastrow)-ROW(PLE.firstrow))),0,
           IF(OFFSET(PLE!$G$15,$M181-$A$15,AY$13)="",10^12,OFFSET(PLE!$G$15,$M181-$A$15,AY$13)))</f>
        <v>1000000000000</v>
      </c>
      <c r="AZ181" s="172" cm="1">
        <f t="array" aca="1" ref="AZ181" ca="1">IF(OR($D181&lt;&gt;"Serviço",AND(AUTOEVENTO="Manual",$M181=$A$15),$M181&gt;(ROW(PLE.lastrow)-ROW(PLE.firstrow))),0,
           IF(OFFSET(PLE!$G$15,$M181-$A$15,AZ$13)="",10^12,OFFSET(PLE!$G$15,$M181-$A$15,AZ$13)))</f>
        <v>1000000000000</v>
      </c>
      <c r="BA181" s="172" cm="1">
        <f t="array" aca="1" ref="BA181" ca="1">IF(OR($D181&lt;&gt;"Serviço",AND(AUTOEVENTO="Manual",$M181=$A$15),$M181&gt;(ROW(PLE.lastrow)-ROW(PLE.firstrow))),0,
           IF(OFFSET(PLE!$G$15,$M181-$A$15,BA$13)="",10^12,OFFSET(PLE!$G$15,$M181-$A$15,BA$13)))</f>
        <v>1000000000000</v>
      </c>
      <c r="BB181" s="172" cm="1">
        <f t="array" aca="1" ref="BB181" ca="1">IF(OR($D181&lt;&gt;"Serviço",AND(AUTOEVENTO="Manual",$M181=$A$15),$M181&gt;(ROW(PLE.lastrow)-ROW(PLE.firstrow))),0,
           IF(OFFSET(PLE!$G$15,$M181-$A$15,BB$13)="",10^12,OFFSET(PLE!$G$15,$M181-$A$15,BB$13)))</f>
        <v>1000000000000</v>
      </c>
      <c r="BC181" s="172" cm="1">
        <f t="array" aca="1" ref="BC181" ca="1">IF(OR($D181&lt;&gt;"Serviço",AND(AUTOEVENTO="Manual",$M181=$A$15),$M181&gt;(ROW(PLE.lastrow)-ROW(PLE.firstrow))),0,
           IF(OFFSET(PLE!$G$15,$M181-$A$15,BC$13)="",10^12,OFFSET(PLE!$G$15,$M181-$A$15,BC$13)))</f>
        <v>1000000000000</v>
      </c>
      <c r="BD181" s="172" cm="1">
        <f t="array" aca="1" ref="BD181" ca="1">IF(OR($D181&lt;&gt;"Serviço",AND(AUTOEVENTO="Manual",$M181=$A$15),$M181&gt;(ROW(PLE.lastrow)-ROW(PLE.firstrow))),0,
           IF(OFFSET(PLE!$G$15,$M181-$A$15,BD$13)="",10^12,OFFSET(PLE!$G$15,$M181-$A$15,BD$13)))</f>
        <v>1000000000000</v>
      </c>
      <c r="BE181" s="172" cm="1">
        <f t="array" aca="1" ref="BE181" ca="1">IF(OR($D181&lt;&gt;"Serviço",AND(AUTOEVENTO="Manual",$M181=$A$15),$M181&gt;(ROW(PLE.lastrow)-ROW(PLE.firstrow))),0,
           IF(OFFSET(PLE!$G$15,$M181-$A$15,BE$13)="",10^12,OFFSET(PLE!$G$15,$M181-$A$15,BE$13)))</f>
        <v>1000000000000</v>
      </c>
      <c r="BF181" s="172" cm="1">
        <f t="array" aca="1" ref="BF181" ca="1">IF(OR($D181&lt;&gt;"Serviço",AND(AUTOEVENTO="Manual",$M181=$A$15),$M181&gt;(ROW(PLE.lastrow)-ROW(PLE.firstrow))),0,
           IF(OFFSET(PLE!$G$15,$M181-$A$15,BF$13)="",10^12,OFFSET(PLE!$G$15,$M181-$A$15,BF$13)))</f>
        <v>1000000000000</v>
      </c>
      <c r="BG181" s="172" cm="1">
        <f t="array" aca="1" ref="BG181" ca="1">IF(OR($D181&lt;&gt;"Serviço",AND(AUTOEVENTO="Manual",$M181=$A$15),$M181&gt;(ROW(PLE.lastrow)-ROW(PLE.firstrow))),0,
           IF(OFFSET(PLE!$G$15,$M181-$A$15,BG$13)="",10^12,OFFSET(PLE!$G$15,$M181-$A$15,BG$13)))</f>
        <v>1000000000000</v>
      </c>
    </row>
    <row r="182" spans="1:59" ht="63.75" x14ac:dyDescent="0.2">
      <c r="A182" s="7" t="str">
        <f t="shared" ca="1" si="8"/>
        <v>160</v>
      </c>
      <c r="B182" s="7" t="str">
        <f ca="1">OFFSET(ORÇAMENTO!C$15,$L182,0)</f>
        <v>S</v>
      </c>
      <c r="C182" s="7" t="str">
        <f ca="1">OFFSET(ORÇAMENTO!L$15,$L182,0)</f>
        <v>F</v>
      </c>
      <c r="D182" s="116" t="str">
        <f ca="1">OFFSET(ORÇAMENTO!N$15,$L182,0)</f>
        <v>Serviço</v>
      </c>
      <c r="E182" s="117" t="str">
        <f ca="1">OFFSET(ORÇAMENTO!O$15,$L182,0)</f>
        <v>1.9.2.0.2.</v>
      </c>
      <c r="F182" s="163" t="str">
        <f ca="1">OFFSET(ORÇAMENTO!R$15,$L182,0)</f>
        <v>PONTO ELÉTRICO DE ILUMINAÇÃO, COM INTERRUPTOR PARALELO, EM EDIFÍCIO RESIDENCIAL COM ELETRODUTO EMBUTIDO EM RASGOS NAS PAREDES, INCLUSO CAIXA ELÉTRICA, MÓDULO DE TOMADA, ELETRODUTO, CABO, RASGO, QUEBRA E CHUMBAMENTO (SEM LUMINÁRIA E LÂMPADA)</v>
      </c>
      <c r="G182" s="164" t="str">
        <f ca="1">IF($D182&lt;&gt;"Serviço","",OFFSET(ORÇAMENTO!S$15,$L182,0))</f>
        <v>UN</v>
      </c>
      <c r="H182" s="122" cm="1">
        <f t="array" aca="1" ref="H182" ca="1">IF($D182&lt;&gt;"Serviço",0,IF(ACOMPANHAMENTO="BM",ROUND(OFFSET(ORÇAMENTO!AJ$15,$L182,0),15-13*ORÇAMENTO!$AF$7),IF(IFERROR(CÁLCULO.FrentesPreenchidas,0)=0,0,SUM(ROUND(OFFSET($P182,0,1,1,CÁLCULO.FrentesPreenchidas),15-13*ORÇAMENTO!$AF$7)))))</f>
        <v>330</v>
      </c>
      <c r="I182" s="468"/>
      <c r="J182" s="651" t="str" cm="1">
        <f t="array" aca="1" ref="J182" ca="1">IF(OR(B182&lt;&gt;"S",CÁLCULO.FrentesPreenchidas=0),"",IF(AND(ACOMPANHAMENTO="PLE",AUTOEVENTO="Manual",OR(H182&gt;0,ORÇAMENTO!AC182="QUANT."),OR(K182="",M182=0,N182="")),"►E",IF(AND(ACOMPANHAMENTO="PLE",ORÇAMENTO!AC182="QUANT."),"►Q",IF(AND(ACOMPANHAMENTO="PLE",H182&lt;&gt;SUMPRODUCT(($Q$1:$AA$1=1)*ROUND(Q182:AA182,15))),"►S",IF(AND(COUNTIF($P$11:$AA$11,"▼")=0,H182&gt;0,I182=""),"◄M","")))))</f>
        <v/>
      </c>
      <c r="K182" s="652"/>
      <c r="L182" s="165">
        <f t="shared" ca="1" si="9"/>
        <v>167</v>
      </c>
      <c r="M182" s="166">
        <f ca="1">IF($D182&lt;&gt;"Serviço","",
          IF(AUTOEVENTO="manual",$A182,
                IF(ISERROR(MATCH($A182,$A$15:OFFSET($A182,-1,0),0)),MAX($M$15:OFFSET(M182,-1,0))+1,
                      INDEX($M$15:OFFSET(M182,-1,0),MATCH($A182,$A$15:OFFSET($A182,-1,0),0)))))</f>
        <v>9</v>
      </c>
      <c r="N182" s="167" t="str">
        <f ca="1">IF($D182&lt;&gt;"Serviço","",
         IF(AUTOEVENTO="Manual",
                IF($A182=0,"&lt;-- defina o número do agrupador",
                       OFFSET(EVENTOS!$D$15,$A182-$A$15,0)),
                OFFSET($F$15,$A182,0)))</f>
        <v>INSTALAÇÕES ELÉTRICAS</v>
      </c>
      <c r="O182" s="168"/>
      <c r="Q182" s="168"/>
      <c r="R182" s="169"/>
      <c r="S182" s="169"/>
      <c r="T182" s="169"/>
      <c r="U182" s="169"/>
      <c r="V182" s="169"/>
      <c r="W182" s="169"/>
      <c r="X182" s="169"/>
      <c r="Y182" s="169"/>
      <c r="Z182" s="170"/>
      <c r="AB182" s="453">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3">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3">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3">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3">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3">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3">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3">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1">
        <f ca="1">IF(OR($D182&lt;&gt;"Serviço",AND(AUTOEVENTO="Manual",$M182=$A$15)),0,
         IF(OFFSET(CRONOPLE!$F$15,$M182-$A$15,AM$13)=0,10^12,OFFSET(CRONOPLE!$F$15,$M182-$A$15,AM$13)))</f>
        <v>1000000000000</v>
      </c>
      <c r="AN182" s="171">
        <f ca="1">IF(OR($D182&lt;&gt;"Serviço",AND(AUTOEVENTO="Manual",$M182=$A$15)),0,
         IF(OFFSET(CRONOPLE!$F$15,$M182-$A$15,AN$13)=0,10^12,OFFSET(CRONOPLE!$F$15,$M182-$A$15,AN$13)))</f>
        <v>1000000000000</v>
      </c>
      <c r="AO182" s="171">
        <f ca="1">IF(OR($D182&lt;&gt;"Serviço",AND(AUTOEVENTO="Manual",$M182=$A$15)),0,
         IF(OFFSET(CRONOPLE!$F$15,$M182-$A$15,AO$13)=0,10^12,OFFSET(CRONOPLE!$F$15,$M182-$A$15,AO$13)))</f>
        <v>1000000000000</v>
      </c>
      <c r="AP182" s="171">
        <f ca="1">IF(OR($D182&lt;&gt;"Serviço",AND(AUTOEVENTO="Manual",$M182=$A$15)),0,
         IF(OFFSET(CRONOPLE!$F$15,$M182-$A$15,AP$13)=0,10^12,OFFSET(CRONOPLE!$F$15,$M182-$A$15,AP$13)))</f>
        <v>1000000000000</v>
      </c>
      <c r="AQ182" s="171">
        <f ca="1">IF(OR($D182&lt;&gt;"Serviço",AND(AUTOEVENTO="Manual",$M182=$A$15)),0,
         IF(OFFSET(CRONOPLE!$F$15,$M182-$A$15,AQ$13)=0,10^12,OFFSET(CRONOPLE!$F$15,$M182-$A$15,AQ$13)))</f>
        <v>1000000000000</v>
      </c>
      <c r="AR182" s="171">
        <f ca="1">IF(OR($D182&lt;&gt;"Serviço",AND(AUTOEVENTO="Manual",$M182=$A$15)),0,
         IF(OFFSET(CRONOPLE!$F$15,$M182-$A$15,AR$13)=0,10^12,OFFSET(CRONOPLE!$F$15,$M182-$A$15,AR$13)))</f>
        <v>1000000000000</v>
      </c>
      <c r="AS182" s="171">
        <f ca="1">IF(OR($D182&lt;&gt;"Serviço",AND(AUTOEVENTO="Manual",$M182=$A$15)),0,
         IF(OFFSET(CRONOPLE!$F$15,$M182-$A$15,AS$13)=0,10^12,OFFSET(CRONOPLE!$F$15,$M182-$A$15,AS$13)))</f>
        <v>1000000000000</v>
      </c>
      <c r="AT182" s="171">
        <f ca="1">IF(OR($D182&lt;&gt;"Serviço",AND(AUTOEVENTO="Manual",$M182=$A$15)),0,
         IF(OFFSET(CRONOPLE!$F$15,$M182-$A$15,AT$13)=0,10^12,OFFSET(CRONOPLE!$F$15,$M182-$A$15,AT$13)))</f>
        <v>1000000000000</v>
      </c>
      <c r="AU182" s="171">
        <f ca="1">IF(OR($D182&lt;&gt;"Serviço",AND(AUTOEVENTO="Manual",$M182=$A$15)),0,
         IF(OFFSET(CRONOPLE!$F$15,$M182-$A$15,AU$13)=0,10^12,OFFSET(CRONOPLE!$F$15,$M182-$A$15,AU$13)))</f>
        <v>1000000000000</v>
      </c>
      <c r="AV182" s="171">
        <f ca="1">IF(OR($D182&lt;&gt;"Serviço",AND(AUTOEVENTO="Manual",$M182=$A$15)),0,
         IF(OFFSET(CRONOPLE!$F$15,$M182-$A$15,AV$13)=0,10^12,OFFSET(CRONOPLE!$F$15,$M182-$A$15,AV$13)))</f>
        <v>1000000000000</v>
      </c>
      <c r="AX182" s="172" cm="1">
        <f t="array" aca="1" ref="AX182" ca="1">IF(OR($D182&lt;&gt;"Serviço",AND(AUTOEVENTO="Manual",$M182=$A$15),$M182&gt;(ROW(PLE.lastrow)-ROW(PLE.firstrow))),0,
           IF(OFFSET(PLE!$G$15,$M182-$A$15,AX$13)="",10^12,OFFSET(PLE!$G$15,$M182-$A$15,AX$13)))</f>
        <v>1000000000000</v>
      </c>
      <c r="AY182" s="172" cm="1">
        <f t="array" aca="1" ref="AY182" ca="1">IF(OR($D182&lt;&gt;"Serviço",AND(AUTOEVENTO="Manual",$M182=$A$15),$M182&gt;(ROW(PLE.lastrow)-ROW(PLE.firstrow))),0,
           IF(OFFSET(PLE!$G$15,$M182-$A$15,AY$13)="",10^12,OFFSET(PLE!$G$15,$M182-$A$15,AY$13)))</f>
        <v>1000000000000</v>
      </c>
      <c r="AZ182" s="172" cm="1">
        <f t="array" aca="1" ref="AZ182" ca="1">IF(OR($D182&lt;&gt;"Serviço",AND(AUTOEVENTO="Manual",$M182=$A$15),$M182&gt;(ROW(PLE.lastrow)-ROW(PLE.firstrow))),0,
           IF(OFFSET(PLE!$G$15,$M182-$A$15,AZ$13)="",10^12,OFFSET(PLE!$G$15,$M182-$A$15,AZ$13)))</f>
        <v>1000000000000</v>
      </c>
      <c r="BA182" s="172" cm="1">
        <f t="array" aca="1" ref="BA182" ca="1">IF(OR($D182&lt;&gt;"Serviço",AND(AUTOEVENTO="Manual",$M182=$A$15),$M182&gt;(ROW(PLE.lastrow)-ROW(PLE.firstrow))),0,
           IF(OFFSET(PLE!$G$15,$M182-$A$15,BA$13)="",10^12,OFFSET(PLE!$G$15,$M182-$A$15,BA$13)))</f>
        <v>1000000000000</v>
      </c>
      <c r="BB182" s="172" cm="1">
        <f t="array" aca="1" ref="BB182" ca="1">IF(OR($D182&lt;&gt;"Serviço",AND(AUTOEVENTO="Manual",$M182=$A$15),$M182&gt;(ROW(PLE.lastrow)-ROW(PLE.firstrow))),0,
           IF(OFFSET(PLE!$G$15,$M182-$A$15,BB$13)="",10^12,OFFSET(PLE!$G$15,$M182-$A$15,BB$13)))</f>
        <v>1000000000000</v>
      </c>
      <c r="BC182" s="172" cm="1">
        <f t="array" aca="1" ref="BC182" ca="1">IF(OR($D182&lt;&gt;"Serviço",AND(AUTOEVENTO="Manual",$M182=$A$15),$M182&gt;(ROW(PLE.lastrow)-ROW(PLE.firstrow))),0,
           IF(OFFSET(PLE!$G$15,$M182-$A$15,BC$13)="",10^12,OFFSET(PLE!$G$15,$M182-$A$15,BC$13)))</f>
        <v>1000000000000</v>
      </c>
      <c r="BD182" s="172" cm="1">
        <f t="array" aca="1" ref="BD182" ca="1">IF(OR($D182&lt;&gt;"Serviço",AND(AUTOEVENTO="Manual",$M182=$A$15),$M182&gt;(ROW(PLE.lastrow)-ROW(PLE.firstrow))),0,
           IF(OFFSET(PLE!$G$15,$M182-$A$15,BD$13)="",10^12,OFFSET(PLE!$G$15,$M182-$A$15,BD$13)))</f>
        <v>1000000000000</v>
      </c>
      <c r="BE182" s="172" cm="1">
        <f t="array" aca="1" ref="BE182" ca="1">IF(OR($D182&lt;&gt;"Serviço",AND(AUTOEVENTO="Manual",$M182=$A$15),$M182&gt;(ROW(PLE.lastrow)-ROW(PLE.firstrow))),0,
           IF(OFFSET(PLE!$G$15,$M182-$A$15,BE$13)="",10^12,OFFSET(PLE!$G$15,$M182-$A$15,BE$13)))</f>
        <v>1000000000000</v>
      </c>
      <c r="BF182" s="172" cm="1">
        <f t="array" aca="1" ref="BF182" ca="1">IF(OR($D182&lt;&gt;"Serviço",AND(AUTOEVENTO="Manual",$M182=$A$15),$M182&gt;(ROW(PLE.lastrow)-ROW(PLE.firstrow))),0,
           IF(OFFSET(PLE!$G$15,$M182-$A$15,BF$13)="",10^12,OFFSET(PLE!$G$15,$M182-$A$15,BF$13)))</f>
        <v>1000000000000</v>
      </c>
      <c r="BG182" s="172" cm="1">
        <f t="array" aca="1" ref="BG182" ca="1">IF(OR($D182&lt;&gt;"Serviço",AND(AUTOEVENTO="Manual",$M182=$A$15),$M182&gt;(ROW(PLE.lastrow)-ROW(PLE.firstrow))),0,
           IF(OFFSET(PLE!$G$15,$M182-$A$15,BG$13)="",10^12,OFFSET(PLE!$G$15,$M182-$A$15,BG$13)))</f>
        <v>1000000000000</v>
      </c>
    </row>
    <row r="183" spans="1:59" ht="51" x14ac:dyDescent="0.2">
      <c r="A183" s="7" t="str">
        <f t="shared" ca="1" si="8"/>
        <v>160</v>
      </c>
      <c r="B183" s="7" t="str">
        <f ca="1">OFFSET(ORÇAMENTO!C$15,$L183,0)</f>
        <v>S</v>
      </c>
      <c r="C183" s="7" t="str">
        <f ca="1">OFFSET(ORÇAMENTO!L$15,$L183,0)</f>
        <v>F</v>
      </c>
      <c r="D183" s="116" t="str">
        <f ca="1">OFFSET(ORÇAMENTO!N$15,$L183,0)</f>
        <v>Serviço</v>
      </c>
      <c r="E183" s="117" t="str">
        <f ca="1">OFFSET(ORÇAMENTO!O$15,$L183,0)</f>
        <v>1.9.2.0.3.</v>
      </c>
      <c r="F183" s="163" t="str">
        <f ca="1">OFFSET(ORÇAMENTO!R$15,$L183,0)</f>
        <v>PONTO ELÉTRICO DE TOMADA DE USO GERAL 2P+T (10A/250V) EM EDIFÍCIO RESIDENCIAL COM ELETRODUTO EMBUTIDO EM RASGOS NAS PAREDES, INCLUSO TOMADA, ELETRODUTO, CABO, RASGO, QUEBRA E CHUMBAMENTO.</v>
      </c>
      <c r="G183" s="164" t="str">
        <f ca="1">IF($D183&lt;&gt;"Serviço","",OFFSET(ORÇAMENTO!S$15,$L183,0))</f>
        <v>UN</v>
      </c>
      <c r="H183" s="122" cm="1">
        <f t="array" aca="1" ref="H183" ca="1">IF($D183&lt;&gt;"Serviço",0,IF(ACOMPANHAMENTO="BM",ROUND(OFFSET(ORÇAMENTO!AJ$15,$L183,0),15-13*ORÇAMENTO!$AF$7),IF(IFERROR(CÁLCULO.FrentesPreenchidas,0)=0,0,SUM(ROUND(OFFSET($P183,0,1,1,CÁLCULO.FrentesPreenchidas),15-13*ORÇAMENTO!$AF$7)))))</f>
        <v>90</v>
      </c>
      <c r="I183" s="468"/>
      <c r="J183" s="651" t="str" cm="1">
        <f t="array" aca="1" ref="J183" ca="1">IF(OR(B183&lt;&gt;"S",CÁLCULO.FrentesPreenchidas=0),"",IF(AND(ACOMPANHAMENTO="PLE",AUTOEVENTO="Manual",OR(H183&gt;0,ORÇAMENTO!AC183="QUANT."),OR(K183="",M183=0,N183="")),"►E",IF(AND(ACOMPANHAMENTO="PLE",ORÇAMENTO!AC183="QUANT."),"►Q",IF(AND(ACOMPANHAMENTO="PLE",H183&lt;&gt;SUMPRODUCT(($Q$1:$AA$1=1)*ROUND(Q183:AA183,15))),"►S",IF(AND(COUNTIF($P$11:$AA$11,"▼")=0,H183&gt;0,I183=""),"◄M","")))))</f>
        <v/>
      </c>
      <c r="K183" s="652"/>
      <c r="L183" s="165">
        <f t="shared" ca="1" si="9"/>
        <v>168</v>
      </c>
      <c r="M183" s="166">
        <f ca="1">IF($D183&lt;&gt;"Serviço","",
          IF(AUTOEVENTO="manual",$A183,
                IF(ISERROR(MATCH($A183,$A$15:OFFSET($A183,-1,0),0)),MAX($M$15:OFFSET(M183,-1,0))+1,
                      INDEX($M$15:OFFSET(M183,-1,0),MATCH($A183,$A$15:OFFSET($A183,-1,0),0)))))</f>
        <v>9</v>
      </c>
      <c r="N183" s="167" t="str">
        <f ca="1">IF($D183&lt;&gt;"Serviço","",
         IF(AUTOEVENTO="Manual",
                IF($A183=0,"&lt;-- defina o número do agrupador",
                       OFFSET(EVENTOS!$D$15,$A183-$A$15,0)),
                OFFSET($F$15,$A183,0)))</f>
        <v>INSTALAÇÕES ELÉTRICAS</v>
      </c>
      <c r="O183" s="168"/>
      <c r="Q183" s="168"/>
      <c r="R183" s="169"/>
      <c r="S183" s="169"/>
      <c r="T183" s="169"/>
      <c r="U183" s="169"/>
      <c r="V183" s="169"/>
      <c r="W183" s="169"/>
      <c r="X183" s="169"/>
      <c r="Y183" s="169"/>
      <c r="Z183" s="170"/>
      <c r="AB183" s="453">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3">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3">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3">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3">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3">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3">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3">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1">
        <f ca="1">IF(OR($D183&lt;&gt;"Serviço",AND(AUTOEVENTO="Manual",$M183=$A$15)),0,
         IF(OFFSET(CRONOPLE!$F$15,$M183-$A$15,AM$13)=0,10^12,OFFSET(CRONOPLE!$F$15,$M183-$A$15,AM$13)))</f>
        <v>1000000000000</v>
      </c>
      <c r="AN183" s="171">
        <f ca="1">IF(OR($D183&lt;&gt;"Serviço",AND(AUTOEVENTO="Manual",$M183=$A$15)),0,
         IF(OFFSET(CRONOPLE!$F$15,$M183-$A$15,AN$13)=0,10^12,OFFSET(CRONOPLE!$F$15,$M183-$A$15,AN$13)))</f>
        <v>1000000000000</v>
      </c>
      <c r="AO183" s="171">
        <f ca="1">IF(OR($D183&lt;&gt;"Serviço",AND(AUTOEVENTO="Manual",$M183=$A$15)),0,
         IF(OFFSET(CRONOPLE!$F$15,$M183-$A$15,AO$13)=0,10^12,OFFSET(CRONOPLE!$F$15,$M183-$A$15,AO$13)))</f>
        <v>1000000000000</v>
      </c>
      <c r="AP183" s="171">
        <f ca="1">IF(OR($D183&lt;&gt;"Serviço",AND(AUTOEVENTO="Manual",$M183=$A$15)),0,
         IF(OFFSET(CRONOPLE!$F$15,$M183-$A$15,AP$13)=0,10^12,OFFSET(CRONOPLE!$F$15,$M183-$A$15,AP$13)))</f>
        <v>1000000000000</v>
      </c>
      <c r="AQ183" s="171">
        <f ca="1">IF(OR($D183&lt;&gt;"Serviço",AND(AUTOEVENTO="Manual",$M183=$A$15)),0,
         IF(OFFSET(CRONOPLE!$F$15,$M183-$A$15,AQ$13)=0,10^12,OFFSET(CRONOPLE!$F$15,$M183-$A$15,AQ$13)))</f>
        <v>1000000000000</v>
      </c>
      <c r="AR183" s="171">
        <f ca="1">IF(OR($D183&lt;&gt;"Serviço",AND(AUTOEVENTO="Manual",$M183=$A$15)),0,
         IF(OFFSET(CRONOPLE!$F$15,$M183-$A$15,AR$13)=0,10^12,OFFSET(CRONOPLE!$F$15,$M183-$A$15,AR$13)))</f>
        <v>1000000000000</v>
      </c>
      <c r="AS183" s="171">
        <f ca="1">IF(OR($D183&lt;&gt;"Serviço",AND(AUTOEVENTO="Manual",$M183=$A$15)),0,
         IF(OFFSET(CRONOPLE!$F$15,$M183-$A$15,AS$13)=0,10^12,OFFSET(CRONOPLE!$F$15,$M183-$A$15,AS$13)))</f>
        <v>1000000000000</v>
      </c>
      <c r="AT183" s="171">
        <f ca="1">IF(OR($D183&lt;&gt;"Serviço",AND(AUTOEVENTO="Manual",$M183=$A$15)),0,
         IF(OFFSET(CRONOPLE!$F$15,$M183-$A$15,AT$13)=0,10^12,OFFSET(CRONOPLE!$F$15,$M183-$A$15,AT$13)))</f>
        <v>1000000000000</v>
      </c>
      <c r="AU183" s="171">
        <f ca="1">IF(OR($D183&lt;&gt;"Serviço",AND(AUTOEVENTO="Manual",$M183=$A$15)),0,
         IF(OFFSET(CRONOPLE!$F$15,$M183-$A$15,AU$13)=0,10^12,OFFSET(CRONOPLE!$F$15,$M183-$A$15,AU$13)))</f>
        <v>1000000000000</v>
      </c>
      <c r="AV183" s="171">
        <f ca="1">IF(OR($D183&lt;&gt;"Serviço",AND(AUTOEVENTO="Manual",$M183=$A$15)),0,
         IF(OFFSET(CRONOPLE!$F$15,$M183-$A$15,AV$13)=0,10^12,OFFSET(CRONOPLE!$F$15,$M183-$A$15,AV$13)))</f>
        <v>1000000000000</v>
      </c>
      <c r="AX183" s="172" cm="1">
        <f t="array" aca="1" ref="AX183" ca="1">IF(OR($D183&lt;&gt;"Serviço",AND(AUTOEVENTO="Manual",$M183=$A$15),$M183&gt;(ROW(PLE.lastrow)-ROW(PLE.firstrow))),0,
           IF(OFFSET(PLE!$G$15,$M183-$A$15,AX$13)="",10^12,OFFSET(PLE!$G$15,$M183-$A$15,AX$13)))</f>
        <v>1000000000000</v>
      </c>
      <c r="AY183" s="172" cm="1">
        <f t="array" aca="1" ref="AY183" ca="1">IF(OR($D183&lt;&gt;"Serviço",AND(AUTOEVENTO="Manual",$M183=$A$15),$M183&gt;(ROW(PLE.lastrow)-ROW(PLE.firstrow))),0,
           IF(OFFSET(PLE!$G$15,$M183-$A$15,AY$13)="",10^12,OFFSET(PLE!$G$15,$M183-$A$15,AY$13)))</f>
        <v>1000000000000</v>
      </c>
      <c r="AZ183" s="172" cm="1">
        <f t="array" aca="1" ref="AZ183" ca="1">IF(OR($D183&lt;&gt;"Serviço",AND(AUTOEVENTO="Manual",$M183=$A$15),$M183&gt;(ROW(PLE.lastrow)-ROW(PLE.firstrow))),0,
           IF(OFFSET(PLE!$G$15,$M183-$A$15,AZ$13)="",10^12,OFFSET(PLE!$G$15,$M183-$A$15,AZ$13)))</f>
        <v>1000000000000</v>
      </c>
      <c r="BA183" s="172" cm="1">
        <f t="array" aca="1" ref="BA183" ca="1">IF(OR($D183&lt;&gt;"Serviço",AND(AUTOEVENTO="Manual",$M183=$A$15),$M183&gt;(ROW(PLE.lastrow)-ROW(PLE.firstrow))),0,
           IF(OFFSET(PLE!$G$15,$M183-$A$15,BA$13)="",10^12,OFFSET(PLE!$G$15,$M183-$A$15,BA$13)))</f>
        <v>1000000000000</v>
      </c>
      <c r="BB183" s="172" cm="1">
        <f t="array" aca="1" ref="BB183" ca="1">IF(OR($D183&lt;&gt;"Serviço",AND(AUTOEVENTO="Manual",$M183=$A$15),$M183&gt;(ROW(PLE.lastrow)-ROW(PLE.firstrow))),0,
           IF(OFFSET(PLE!$G$15,$M183-$A$15,BB$13)="",10^12,OFFSET(PLE!$G$15,$M183-$A$15,BB$13)))</f>
        <v>1000000000000</v>
      </c>
      <c r="BC183" s="172" cm="1">
        <f t="array" aca="1" ref="BC183" ca="1">IF(OR($D183&lt;&gt;"Serviço",AND(AUTOEVENTO="Manual",$M183=$A$15),$M183&gt;(ROW(PLE.lastrow)-ROW(PLE.firstrow))),0,
           IF(OFFSET(PLE!$G$15,$M183-$A$15,BC$13)="",10^12,OFFSET(PLE!$G$15,$M183-$A$15,BC$13)))</f>
        <v>1000000000000</v>
      </c>
      <c r="BD183" s="172" cm="1">
        <f t="array" aca="1" ref="BD183" ca="1">IF(OR($D183&lt;&gt;"Serviço",AND(AUTOEVENTO="Manual",$M183=$A$15),$M183&gt;(ROW(PLE.lastrow)-ROW(PLE.firstrow))),0,
           IF(OFFSET(PLE!$G$15,$M183-$A$15,BD$13)="",10^12,OFFSET(PLE!$G$15,$M183-$A$15,BD$13)))</f>
        <v>1000000000000</v>
      </c>
      <c r="BE183" s="172" cm="1">
        <f t="array" aca="1" ref="BE183" ca="1">IF(OR($D183&lt;&gt;"Serviço",AND(AUTOEVENTO="Manual",$M183=$A$15),$M183&gt;(ROW(PLE.lastrow)-ROW(PLE.firstrow))),0,
           IF(OFFSET(PLE!$G$15,$M183-$A$15,BE$13)="",10^12,OFFSET(PLE!$G$15,$M183-$A$15,BE$13)))</f>
        <v>1000000000000</v>
      </c>
      <c r="BF183" s="172" cm="1">
        <f t="array" aca="1" ref="BF183" ca="1">IF(OR($D183&lt;&gt;"Serviço",AND(AUTOEVENTO="Manual",$M183=$A$15),$M183&gt;(ROW(PLE.lastrow)-ROW(PLE.firstrow))),0,
           IF(OFFSET(PLE!$G$15,$M183-$A$15,BF$13)="",10^12,OFFSET(PLE!$G$15,$M183-$A$15,BF$13)))</f>
        <v>1000000000000</v>
      </c>
      <c r="BG183" s="172" cm="1">
        <f t="array" aca="1" ref="BG183" ca="1">IF(OR($D183&lt;&gt;"Serviço",AND(AUTOEVENTO="Manual",$M183=$A$15),$M183&gt;(ROW(PLE.lastrow)-ROW(PLE.firstrow))),0,
           IF(OFFSET(PLE!$G$15,$M183-$A$15,BG$13)="",10^12,OFFSET(PLE!$G$15,$M183-$A$15,BG$13)))</f>
        <v>1000000000000</v>
      </c>
    </row>
    <row r="184" spans="1:59" ht="51" x14ac:dyDescent="0.2">
      <c r="A184" s="7" t="str">
        <f t="shared" ca="1" si="8"/>
        <v>160</v>
      </c>
      <c r="B184" s="7" t="str">
        <f ca="1">OFFSET(ORÇAMENTO!C$15,$L184,0)</f>
        <v>S</v>
      </c>
      <c r="C184" s="7" t="str">
        <f ca="1">OFFSET(ORÇAMENTO!L$15,$L184,0)</f>
        <v>F</v>
      </c>
      <c r="D184" s="116" t="str">
        <f ca="1">OFFSET(ORÇAMENTO!N$15,$L184,0)</f>
        <v>Serviço</v>
      </c>
      <c r="E184" s="117" t="str">
        <f ca="1">OFFSET(ORÇAMENTO!O$15,$L184,0)</f>
        <v>1.9.2.0.4.</v>
      </c>
      <c r="F184" s="163" t="str">
        <f ca="1">OFFSET(ORÇAMENTO!R$15,$L184,0)</f>
        <v>PONTO ELÉTRICO DE TOMADA DE USO ESPECÍFICO 2P+T (20A/250V) EM EDIFÍCIO RESIDENCIAL COM ELETRODUTO EMBUTIDO SEM NECESSIDADE DE RASGOS, INCLUSO TOMADA, ELETRODUTO, CABO E QUEBRA (EXCETO CHUVEIRO).</v>
      </c>
      <c r="G184" s="164" t="str">
        <f ca="1">IF($D184&lt;&gt;"Serviço","",OFFSET(ORÇAMENTO!S$15,$L184,0))</f>
        <v>UN</v>
      </c>
      <c r="H184" s="122" cm="1">
        <f t="array" aca="1" ref="H184" ca="1">IF($D184&lt;&gt;"Serviço",0,IF(ACOMPANHAMENTO="BM",ROUND(OFFSET(ORÇAMENTO!AJ$15,$L184,0),15-13*ORÇAMENTO!$AF$7),IF(IFERROR(CÁLCULO.FrentesPreenchidas,0)=0,0,SUM(ROUND(OFFSET($P184,0,1,1,CÁLCULO.FrentesPreenchidas),15-13*ORÇAMENTO!$AF$7)))))</f>
        <v>30</v>
      </c>
      <c r="I184" s="468"/>
      <c r="J184" s="651" t="str" cm="1">
        <f t="array" aca="1" ref="J184" ca="1">IF(OR(B184&lt;&gt;"S",CÁLCULO.FrentesPreenchidas=0),"",IF(AND(ACOMPANHAMENTO="PLE",AUTOEVENTO="Manual",OR(H184&gt;0,ORÇAMENTO!AC184="QUANT."),OR(K184="",M184=0,N184="")),"►E",IF(AND(ACOMPANHAMENTO="PLE",ORÇAMENTO!AC184="QUANT."),"►Q",IF(AND(ACOMPANHAMENTO="PLE",H184&lt;&gt;SUMPRODUCT(($Q$1:$AA$1=1)*ROUND(Q184:AA184,15))),"►S",IF(AND(COUNTIF($P$11:$AA$11,"▼")=0,H184&gt;0,I184=""),"◄M","")))))</f>
        <v/>
      </c>
      <c r="K184" s="652"/>
      <c r="L184" s="165">
        <f t="shared" ca="1" si="9"/>
        <v>169</v>
      </c>
      <c r="M184" s="166">
        <f ca="1">IF($D184&lt;&gt;"Serviço","",
          IF(AUTOEVENTO="manual",$A184,
                IF(ISERROR(MATCH($A184,$A$15:OFFSET($A184,-1,0),0)),MAX($M$15:OFFSET(M184,-1,0))+1,
                      INDEX($M$15:OFFSET(M184,-1,0),MATCH($A184,$A$15:OFFSET($A184,-1,0),0)))))</f>
        <v>9</v>
      </c>
      <c r="N184" s="167" t="str">
        <f ca="1">IF($D184&lt;&gt;"Serviço","",
         IF(AUTOEVENTO="Manual",
                IF($A184=0,"&lt;-- defina o número do agrupador",
                       OFFSET(EVENTOS!$D$15,$A184-$A$15,0)),
                OFFSET($F$15,$A184,0)))</f>
        <v>INSTALAÇÕES ELÉTRICAS</v>
      </c>
      <c r="O184" s="168"/>
      <c r="Q184" s="168"/>
      <c r="R184" s="169"/>
      <c r="S184" s="169"/>
      <c r="T184" s="169"/>
      <c r="U184" s="169"/>
      <c r="V184" s="169"/>
      <c r="W184" s="169"/>
      <c r="X184" s="169"/>
      <c r="Y184" s="169"/>
      <c r="Z184" s="170"/>
      <c r="AB184" s="453">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3">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3">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3">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3">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3">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3">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3">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1">
        <f ca="1">IF(OR($D184&lt;&gt;"Serviço",AND(AUTOEVENTO="Manual",$M184=$A$15)),0,
         IF(OFFSET(CRONOPLE!$F$15,$M184-$A$15,AM$13)=0,10^12,OFFSET(CRONOPLE!$F$15,$M184-$A$15,AM$13)))</f>
        <v>1000000000000</v>
      </c>
      <c r="AN184" s="171">
        <f ca="1">IF(OR($D184&lt;&gt;"Serviço",AND(AUTOEVENTO="Manual",$M184=$A$15)),0,
         IF(OFFSET(CRONOPLE!$F$15,$M184-$A$15,AN$13)=0,10^12,OFFSET(CRONOPLE!$F$15,$M184-$A$15,AN$13)))</f>
        <v>1000000000000</v>
      </c>
      <c r="AO184" s="171">
        <f ca="1">IF(OR($D184&lt;&gt;"Serviço",AND(AUTOEVENTO="Manual",$M184=$A$15)),0,
         IF(OFFSET(CRONOPLE!$F$15,$M184-$A$15,AO$13)=0,10^12,OFFSET(CRONOPLE!$F$15,$M184-$A$15,AO$13)))</f>
        <v>1000000000000</v>
      </c>
      <c r="AP184" s="171">
        <f ca="1">IF(OR($D184&lt;&gt;"Serviço",AND(AUTOEVENTO="Manual",$M184=$A$15)),0,
         IF(OFFSET(CRONOPLE!$F$15,$M184-$A$15,AP$13)=0,10^12,OFFSET(CRONOPLE!$F$15,$M184-$A$15,AP$13)))</f>
        <v>1000000000000</v>
      </c>
      <c r="AQ184" s="171">
        <f ca="1">IF(OR($D184&lt;&gt;"Serviço",AND(AUTOEVENTO="Manual",$M184=$A$15)),0,
         IF(OFFSET(CRONOPLE!$F$15,$M184-$A$15,AQ$13)=0,10^12,OFFSET(CRONOPLE!$F$15,$M184-$A$15,AQ$13)))</f>
        <v>1000000000000</v>
      </c>
      <c r="AR184" s="171">
        <f ca="1">IF(OR($D184&lt;&gt;"Serviço",AND(AUTOEVENTO="Manual",$M184=$A$15)),0,
         IF(OFFSET(CRONOPLE!$F$15,$M184-$A$15,AR$13)=0,10^12,OFFSET(CRONOPLE!$F$15,$M184-$A$15,AR$13)))</f>
        <v>1000000000000</v>
      </c>
      <c r="AS184" s="171">
        <f ca="1">IF(OR($D184&lt;&gt;"Serviço",AND(AUTOEVENTO="Manual",$M184=$A$15)),0,
         IF(OFFSET(CRONOPLE!$F$15,$M184-$A$15,AS$13)=0,10^12,OFFSET(CRONOPLE!$F$15,$M184-$A$15,AS$13)))</f>
        <v>1000000000000</v>
      </c>
      <c r="AT184" s="171">
        <f ca="1">IF(OR($D184&lt;&gt;"Serviço",AND(AUTOEVENTO="Manual",$M184=$A$15)),0,
         IF(OFFSET(CRONOPLE!$F$15,$M184-$A$15,AT$13)=0,10^12,OFFSET(CRONOPLE!$F$15,$M184-$A$15,AT$13)))</f>
        <v>1000000000000</v>
      </c>
      <c r="AU184" s="171">
        <f ca="1">IF(OR($D184&lt;&gt;"Serviço",AND(AUTOEVENTO="Manual",$M184=$A$15)),0,
         IF(OFFSET(CRONOPLE!$F$15,$M184-$A$15,AU$13)=0,10^12,OFFSET(CRONOPLE!$F$15,$M184-$A$15,AU$13)))</f>
        <v>1000000000000</v>
      </c>
      <c r="AV184" s="171">
        <f ca="1">IF(OR($D184&lt;&gt;"Serviço",AND(AUTOEVENTO="Manual",$M184=$A$15)),0,
         IF(OFFSET(CRONOPLE!$F$15,$M184-$A$15,AV$13)=0,10^12,OFFSET(CRONOPLE!$F$15,$M184-$A$15,AV$13)))</f>
        <v>1000000000000</v>
      </c>
      <c r="AX184" s="172" cm="1">
        <f t="array" aca="1" ref="AX184" ca="1">IF(OR($D184&lt;&gt;"Serviço",AND(AUTOEVENTO="Manual",$M184=$A$15),$M184&gt;(ROW(PLE.lastrow)-ROW(PLE.firstrow))),0,
           IF(OFFSET(PLE!$G$15,$M184-$A$15,AX$13)="",10^12,OFFSET(PLE!$G$15,$M184-$A$15,AX$13)))</f>
        <v>1000000000000</v>
      </c>
      <c r="AY184" s="172" cm="1">
        <f t="array" aca="1" ref="AY184" ca="1">IF(OR($D184&lt;&gt;"Serviço",AND(AUTOEVENTO="Manual",$M184=$A$15),$M184&gt;(ROW(PLE.lastrow)-ROW(PLE.firstrow))),0,
           IF(OFFSET(PLE!$G$15,$M184-$A$15,AY$13)="",10^12,OFFSET(PLE!$G$15,$M184-$A$15,AY$13)))</f>
        <v>1000000000000</v>
      </c>
      <c r="AZ184" s="172" cm="1">
        <f t="array" aca="1" ref="AZ184" ca="1">IF(OR($D184&lt;&gt;"Serviço",AND(AUTOEVENTO="Manual",$M184=$A$15),$M184&gt;(ROW(PLE.lastrow)-ROW(PLE.firstrow))),0,
           IF(OFFSET(PLE!$G$15,$M184-$A$15,AZ$13)="",10^12,OFFSET(PLE!$G$15,$M184-$A$15,AZ$13)))</f>
        <v>1000000000000</v>
      </c>
      <c r="BA184" s="172" cm="1">
        <f t="array" aca="1" ref="BA184" ca="1">IF(OR($D184&lt;&gt;"Serviço",AND(AUTOEVENTO="Manual",$M184=$A$15),$M184&gt;(ROW(PLE.lastrow)-ROW(PLE.firstrow))),0,
           IF(OFFSET(PLE!$G$15,$M184-$A$15,BA$13)="",10^12,OFFSET(PLE!$G$15,$M184-$A$15,BA$13)))</f>
        <v>1000000000000</v>
      </c>
      <c r="BB184" s="172" cm="1">
        <f t="array" aca="1" ref="BB184" ca="1">IF(OR($D184&lt;&gt;"Serviço",AND(AUTOEVENTO="Manual",$M184=$A$15),$M184&gt;(ROW(PLE.lastrow)-ROW(PLE.firstrow))),0,
           IF(OFFSET(PLE!$G$15,$M184-$A$15,BB$13)="",10^12,OFFSET(PLE!$G$15,$M184-$A$15,BB$13)))</f>
        <v>1000000000000</v>
      </c>
      <c r="BC184" s="172" cm="1">
        <f t="array" aca="1" ref="BC184" ca="1">IF(OR($D184&lt;&gt;"Serviço",AND(AUTOEVENTO="Manual",$M184=$A$15),$M184&gt;(ROW(PLE.lastrow)-ROW(PLE.firstrow))),0,
           IF(OFFSET(PLE!$G$15,$M184-$A$15,BC$13)="",10^12,OFFSET(PLE!$G$15,$M184-$A$15,BC$13)))</f>
        <v>1000000000000</v>
      </c>
      <c r="BD184" s="172" cm="1">
        <f t="array" aca="1" ref="BD184" ca="1">IF(OR($D184&lt;&gt;"Serviço",AND(AUTOEVENTO="Manual",$M184=$A$15),$M184&gt;(ROW(PLE.lastrow)-ROW(PLE.firstrow))),0,
           IF(OFFSET(PLE!$G$15,$M184-$A$15,BD$13)="",10^12,OFFSET(PLE!$G$15,$M184-$A$15,BD$13)))</f>
        <v>1000000000000</v>
      </c>
      <c r="BE184" s="172" cm="1">
        <f t="array" aca="1" ref="BE184" ca="1">IF(OR($D184&lt;&gt;"Serviço",AND(AUTOEVENTO="Manual",$M184=$A$15),$M184&gt;(ROW(PLE.lastrow)-ROW(PLE.firstrow))),0,
           IF(OFFSET(PLE!$G$15,$M184-$A$15,BE$13)="",10^12,OFFSET(PLE!$G$15,$M184-$A$15,BE$13)))</f>
        <v>1000000000000</v>
      </c>
      <c r="BF184" s="172" cm="1">
        <f t="array" aca="1" ref="BF184" ca="1">IF(OR($D184&lt;&gt;"Serviço",AND(AUTOEVENTO="Manual",$M184=$A$15),$M184&gt;(ROW(PLE.lastrow)-ROW(PLE.firstrow))),0,
           IF(OFFSET(PLE!$G$15,$M184-$A$15,BF$13)="",10^12,OFFSET(PLE!$G$15,$M184-$A$15,BF$13)))</f>
        <v>1000000000000</v>
      </c>
      <c r="BG184" s="172" cm="1">
        <f t="array" aca="1" ref="BG184" ca="1">IF(OR($D184&lt;&gt;"Serviço",AND(AUTOEVENTO="Manual",$M184=$A$15),$M184&gt;(ROW(PLE.lastrow)-ROW(PLE.firstrow))),0,
           IF(OFFSET(PLE!$G$15,$M184-$A$15,BG$13)="",10^12,OFFSET(PLE!$G$15,$M184-$A$15,BG$13)))</f>
        <v>1000000000000</v>
      </c>
    </row>
    <row r="185" spans="1:59" ht="12.75" x14ac:dyDescent="0.2">
      <c r="A185" s="7" t="str">
        <f t="shared" ca="1" si="8"/>
        <v>160</v>
      </c>
      <c r="B185" s="7">
        <f ca="1">OFFSET(ORÇAMENTO!C$15,$L185,0)</f>
        <v>3</v>
      </c>
      <c r="C185" s="7" t="str">
        <f ca="1">OFFSET(ORÇAMENTO!L$15,$L185,0)</f>
        <v>F</v>
      </c>
      <c r="D185" s="116" t="str">
        <f ca="1">OFFSET(ORÇAMENTO!N$15,$L185,0)</f>
        <v>Nível 3</v>
      </c>
      <c r="E185" s="117" t="str">
        <f ca="1">OFFSET(ORÇAMENTO!O$15,$L185,0)</f>
        <v>1.9.3.</v>
      </c>
      <c r="F185" s="163" t="str">
        <f ca="1">OFFSET(ORÇAMENTO!R$15,$L185,0)</f>
        <v>QUADROS E DISJUNTORES</v>
      </c>
      <c r="G185" s="164" t="str">
        <f ca="1">IF($D185&lt;&gt;"Serviço","",OFFSET(ORÇAMENTO!S$15,$L185,0))</f>
        <v/>
      </c>
      <c r="H185" s="122" cm="1">
        <f t="array" aca="1" ref="H185" ca="1">IF($D185&lt;&gt;"Serviço",0,IF(ACOMPANHAMENTO="BM",ROUND(OFFSET(ORÇAMENTO!AJ$15,$L185,0),15-13*ORÇAMENTO!$AF$7),IF(IFERROR(CÁLCULO.FrentesPreenchidas,0)=0,0,SUM(ROUND(OFFSET($P185,0,1,1,CÁLCULO.FrentesPreenchidas),15-13*ORÇAMENTO!$AF$7)))))</f>
        <v>0</v>
      </c>
      <c r="I185" s="468"/>
      <c r="J185" s="651" t="str" cm="1">
        <f t="array" aca="1" ref="J185" ca="1">IF(OR(B185&lt;&gt;"S",CÁLCULO.FrentesPreenchidas=0),"",IF(AND(ACOMPANHAMENTO="PLE",AUTOEVENTO="Manual",OR(H185&gt;0,ORÇAMENTO!AC185="QUANT."),OR(K185="",M185=0,N185="")),"►E",IF(AND(ACOMPANHAMENTO="PLE",ORÇAMENTO!AC185="QUANT."),"►Q",IF(AND(ACOMPANHAMENTO="PLE",H185&lt;&gt;SUMPRODUCT(($Q$1:$AA$1=1)*ROUND(Q185:AA185,15))),"►S",IF(AND(COUNTIF($P$11:$AA$11,"▼")=0,H185&gt;0,I185=""),"◄M","")))))</f>
        <v/>
      </c>
      <c r="K185" s="652"/>
      <c r="L185" s="165">
        <f t="shared" ca="1" si="9"/>
        <v>170</v>
      </c>
      <c r="M185" s="166" t="str">
        <f ca="1">IF($D185&lt;&gt;"Serviço","",
          IF(AUTOEVENTO="manual",$A185,
                IF(ISERROR(MATCH($A185,$A$15:OFFSET($A185,-1,0),0)),MAX($M$15:OFFSET(M185,-1,0))+1,
                      INDEX($M$15:OFFSET(M185,-1,0),MATCH($A185,$A$15:OFFSET($A185,-1,0),0)))))</f>
        <v/>
      </c>
      <c r="N185" s="167" t="str">
        <f ca="1">IF($D185&lt;&gt;"Serviço","",
         IF(AUTOEVENTO="Manual",
                IF($A185=0,"&lt;-- defina o número do agrupador",
                       OFFSET(EVENTOS!$D$15,$A185-$A$15,0)),
                OFFSET($F$15,$A185,0)))</f>
        <v/>
      </c>
      <c r="O185" s="168"/>
      <c r="Q185" s="168"/>
      <c r="R185" s="169"/>
      <c r="S185" s="169"/>
      <c r="T185" s="169"/>
      <c r="U185" s="169"/>
      <c r="V185" s="169"/>
      <c r="W185" s="169"/>
      <c r="X185" s="169"/>
      <c r="Y185" s="169"/>
      <c r="Z185" s="170"/>
      <c r="AB185" s="453">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3">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3">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3">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3">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3">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3">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3">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1">
        <f ca="1">IF(OR($D185&lt;&gt;"Serviço",AND(AUTOEVENTO="Manual",$M185=$A$15)),0,
         IF(OFFSET(CRONOPLE!$F$15,$M185-$A$15,AM$13)=0,10^12,OFFSET(CRONOPLE!$F$15,$M185-$A$15,AM$13)))</f>
        <v>0</v>
      </c>
      <c r="AN185" s="171">
        <f ca="1">IF(OR($D185&lt;&gt;"Serviço",AND(AUTOEVENTO="Manual",$M185=$A$15)),0,
         IF(OFFSET(CRONOPLE!$F$15,$M185-$A$15,AN$13)=0,10^12,OFFSET(CRONOPLE!$F$15,$M185-$A$15,AN$13)))</f>
        <v>0</v>
      </c>
      <c r="AO185" s="171">
        <f ca="1">IF(OR($D185&lt;&gt;"Serviço",AND(AUTOEVENTO="Manual",$M185=$A$15)),0,
         IF(OFFSET(CRONOPLE!$F$15,$M185-$A$15,AO$13)=0,10^12,OFFSET(CRONOPLE!$F$15,$M185-$A$15,AO$13)))</f>
        <v>0</v>
      </c>
      <c r="AP185" s="171">
        <f ca="1">IF(OR($D185&lt;&gt;"Serviço",AND(AUTOEVENTO="Manual",$M185=$A$15)),0,
         IF(OFFSET(CRONOPLE!$F$15,$M185-$A$15,AP$13)=0,10^12,OFFSET(CRONOPLE!$F$15,$M185-$A$15,AP$13)))</f>
        <v>0</v>
      </c>
      <c r="AQ185" s="171">
        <f ca="1">IF(OR($D185&lt;&gt;"Serviço",AND(AUTOEVENTO="Manual",$M185=$A$15)),0,
         IF(OFFSET(CRONOPLE!$F$15,$M185-$A$15,AQ$13)=0,10^12,OFFSET(CRONOPLE!$F$15,$M185-$A$15,AQ$13)))</f>
        <v>0</v>
      </c>
      <c r="AR185" s="171">
        <f ca="1">IF(OR($D185&lt;&gt;"Serviço",AND(AUTOEVENTO="Manual",$M185=$A$15)),0,
         IF(OFFSET(CRONOPLE!$F$15,$M185-$A$15,AR$13)=0,10^12,OFFSET(CRONOPLE!$F$15,$M185-$A$15,AR$13)))</f>
        <v>0</v>
      </c>
      <c r="AS185" s="171">
        <f ca="1">IF(OR($D185&lt;&gt;"Serviço",AND(AUTOEVENTO="Manual",$M185=$A$15)),0,
         IF(OFFSET(CRONOPLE!$F$15,$M185-$A$15,AS$13)=0,10^12,OFFSET(CRONOPLE!$F$15,$M185-$A$15,AS$13)))</f>
        <v>0</v>
      </c>
      <c r="AT185" s="171">
        <f ca="1">IF(OR($D185&lt;&gt;"Serviço",AND(AUTOEVENTO="Manual",$M185=$A$15)),0,
         IF(OFFSET(CRONOPLE!$F$15,$M185-$A$15,AT$13)=0,10^12,OFFSET(CRONOPLE!$F$15,$M185-$A$15,AT$13)))</f>
        <v>0</v>
      </c>
      <c r="AU185" s="171">
        <f ca="1">IF(OR($D185&lt;&gt;"Serviço",AND(AUTOEVENTO="Manual",$M185=$A$15)),0,
         IF(OFFSET(CRONOPLE!$F$15,$M185-$A$15,AU$13)=0,10^12,OFFSET(CRONOPLE!$F$15,$M185-$A$15,AU$13)))</f>
        <v>0</v>
      </c>
      <c r="AV185" s="171">
        <f ca="1">IF(OR($D185&lt;&gt;"Serviço",AND(AUTOEVENTO="Manual",$M185=$A$15)),0,
         IF(OFFSET(CRONOPLE!$F$15,$M185-$A$15,AV$13)=0,10^12,OFFSET(CRONOPLE!$F$15,$M185-$A$15,AV$13)))</f>
        <v>0</v>
      </c>
      <c r="AX185" s="172" cm="1">
        <f t="array" aca="1" ref="AX185" ca="1">IF(OR($D185&lt;&gt;"Serviço",AND(AUTOEVENTO="Manual",$M185=$A$15),$M185&gt;(ROW(PLE.lastrow)-ROW(PLE.firstrow))),0,
           IF(OFFSET(PLE!$G$15,$M185-$A$15,AX$13)="",10^12,OFFSET(PLE!$G$15,$M185-$A$15,AX$13)))</f>
        <v>0</v>
      </c>
      <c r="AY185" s="172" cm="1">
        <f t="array" aca="1" ref="AY185" ca="1">IF(OR($D185&lt;&gt;"Serviço",AND(AUTOEVENTO="Manual",$M185=$A$15),$M185&gt;(ROW(PLE.lastrow)-ROW(PLE.firstrow))),0,
           IF(OFFSET(PLE!$G$15,$M185-$A$15,AY$13)="",10^12,OFFSET(PLE!$G$15,$M185-$A$15,AY$13)))</f>
        <v>0</v>
      </c>
      <c r="AZ185" s="172" cm="1">
        <f t="array" aca="1" ref="AZ185" ca="1">IF(OR($D185&lt;&gt;"Serviço",AND(AUTOEVENTO="Manual",$M185=$A$15),$M185&gt;(ROW(PLE.lastrow)-ROW(PLE.firstrow))),0,
           IF(OFFSET(PLE!$G$15,$M185-$A$15,AZ$13)="",10^12,OFFSET(PLE!$G$15,$M185-$A$15,AZ$13)))</f>
        <v>0</v>
      </c>
      <c r="BA185" s="172" cm="1">
        <f t="array" aca="1" ref="BA185" ca="1">IF(OR($D185&lt;&gt;"Serviço",AND(AUTOEVENTO="Manual",$M185=$A$15),$M185&gt;(ROW(PLE.lastrow)-ROW(PLE.firstrow))),0,
           IF(OFFSET(PLE!$G$15,$M185-$A$15,BA$13)="",10^12,OFFSET(PLE!$G$15,$M185-$A$15,BA$13)))</f>
        <v>0</v>
      </c>
      <c r="BB185" s="172" cm="1">
        <f t="array" aca="1" ref="BB185" ca="1">IF(OR($D185&lt;&gt;"Serviço",AND(AUTOEVENTO="Manual",$M185=$A$15),$M185&gt;(ROW(PLE.lastrow)-ROW(PLE.firstrow))),0,
           IF(OFFSET(PLE!$G$15,$M185-$A$15,BB$13)="",10^12,OFFSET(PLE!$G$15,$M185-$A$15,BB$13)))</f>
        <v>0</v>
      </c>
      <c r="BC185" s="172" cm="1">
        <f t="array" aca="1" ref="BC185" ca="1">IF(OR($D185&lt;&gt;"Serviço",AND(AUTOEVENTO="Manual",$M185=$A$15),$M185&gt;(ROW(PLE.lastrow)-ROW(PLE.firstrow))),0,
           IF(OFFSET(PLE!$G$15,$M185-$A$15,BC$13)="",10^12,OFFSET(PLE!$G$15,$M185-$A$15,BC$13)))</f>
        <v>0</v>
      </c>
      <c r="BD185" s="172" cm="1">
        <f t="array" aca="1" ref="BD185" ca="1">IF(OR($D185&lt;&gt;"Serviço",AND(AUTOEVENTO="Manual",$M185=$A$15),$M185&gt;(ROW(PLE.lastrow)-ROW(PLE.firstrow))),0,
           IF(OFFSET(PLE!$G$15,$M185-$A$15,BD$13)="",10^12,OFFSET(PLE!$G$15,$M185-$A$15,BD$13)))</f>
        <v>0</v>
      </c>
      <c r="BE185" s="172" cm="1">
        <f t="array" aca="1" ref="BE185" ca="1">IF(OR($D185&lt;&gt;"Serviço",AND(AUTOEVENTO="Manual",$M185=$A$15),$M185&gt;(ROW(PLE.lastrow)-ROW(PLE.firstrow))),0,
           IF(OFFSET(PLE!$G$15,$M185-$A$15,BE$13)="",10^12,OFFSET(PLE!$G$15,$M185-$A$15,BE$13)))</f>
        <v>0</v>
      </c>
      <c r="BF185" s="172" cm="1">
        <f t="array" aca="1" ref="BF185" ca="1">IF(OR($D185&lt;&gt;"Serviço",AND(AUTOEVENTO="Manual",$M185=$A$15),$M185&gt;(ROW(PLE.lastrow)-ROW(PLE.firstrow))),0,
           IF(OFFSET(PLE!$G$15,$M185-$A$15,BF$13)="",10^12,OFFSET(PLE!$G$15,$M185-$A$15,BF$13)))</f>
        <v>0</v>
      </c>
      <c r="BG185" s="172" cm="1">
        <f t="array" aca="1" ref="BG185" ca="1">IF(OR($D185&lt;&gt;"Serviço",AND(AUTOEVENTO="Manual",$M185=$A$15),$M185&gt;(ROW(PLE.lastrow)-ROW(PLE.firstrow))),0,
           IF(OFFSET(PLE!$G$15,$M185-$A$15,BG$13)="",10^12,OFFSET(PLE!$G$15,$M185-$A$15,BG$13)))</f>
        <v>0</v>
      </c>
    </row>
    <row r="186" spans="1:59" ht="38.25" x14ac:dyDescent="0.2">
      <c r="A186" s="7" t="str">
        <f t="shared" ca="1" si="8"/>
        <v>160</v>
      </c>
      <c r="B186" s="7" t="str">
        <f ca="1">OFFSET(ORÇAMENTO!C$15,$L186,0)</f>
        <v>S</v>
      </c>
      <c r="C186" s="7" t="str">
        <f ca="1">OFFSET(ORÇAMENTO!L$15,$L186,0)</f>
        <v>F</v>
      </c>
      <c r="D186" s="116" t="str">
        <f ca="1">OFFSET(ORÇAMENTO!N$15,$L186,0)</f>
        <v>Serviço</v>
      </c>
      <c r="E186" s="117" t="str">
        <f ca="1">OFFSET(ORÇAMENTO!O$15,$L186,0)</f>
        <v>1.9.3.0.1.</v>
      </c>
      <c r="F186" s="163" t="str">
        <f ca="1">OFFSET(ORÇAMENTO!R$15,$L186,0)</f>
        <v>QUADRO DE DISTRIBUIÇÃO DE ENERGIA EM PVC, DE EMBUTIR, SEM BARRAMENTO, PARA 6 DISJUNTORES - FORNECIMENTO E INSTALAÇÃO. AF_07/2025</v>
      </c>
      <c r="G186" s="164" t="str">
        <f ca="1">IF($D186&lt;&gt;"Serviço","",OFFSET(ORÇAMENTO!S$15,$L186,0))</f>
        <v>UN</v>
      </c>
      <c r="H186" s="122" cm="1">
        <f t="array" aca="1" ref="H186" ca="1">IF($D186&lt;&gt;"Serviço",0,IF(ACOMPANHAMENTO="BM",ROUND(OFFSET(ORÇAMENTO!AJ$15,$L186,0),15-13*ORÇAMENTO!$AF$7),IF(IFERROR(CÁLCULO.FrentesPreenchidas,0)=0,0,SUM(ROUND(OFFSET($P186,0,1,1,CÁLCULO.FrentesPreenchidas),15-13*ORÇAMENTO!$AF$7)))))</f>
        <v>30</v>
      </c>
      <c r="I186" s="468"/>
      <c r="J186" s="651" t="str" cm="1">
        <f t="array" aca="1" ref="J186" ca="1">IF(OR(B186&lt;&gt;"S",CÁLCULO.FrentesPreenchidas=0),"",IF(AND(ACOMPANHAMENTO="PLE",AUTOEVENTO="Manual",OR(H186&gt;0,ORÇAMENTO!AC186="QUANT."),OR(K186="",M186=0,N186="")),"►E",IF(AND(ACOMPANHAMENTO="PLE",ORÇAMENTO!AC186="QUANT."),"►Q",IF(AND(ACOMPANHAMENTO="PLE",H186&lt;&gt;SUMPRODUCT(($Q$1:$AA$1=1)*ROUND(Q186:AA186,15))),"►S",IF(AND(COUNTIF($P$11:$AA$11,"▼")=0,H186&gt;0,I186=""),"◄M","")))))</f>
        <v/>
      </c>
      <c r="K186" s="652"/>
      <c r="L186" s="165">
        <f t="shared" ca="1" si="9"/>
        <v>171</v>
      </c>
      <c r="M186" s="166">
        <f ca="1">IF($D186&lt;&gt;"Serviço","",
          IF(AUTOEVENTO="manual",$A186,
                IF(ISERROR(MATCH($A186,$A$15:OFFSET($A186,-1,0),0)),MAX($M$15:OFFSET(M186,-1,0))+1,
                      INDEX($M$15:OFFSET(M186,-1,0),MATCH($A186,$A$15:OFFSET($A186,-1,0),0)))))</f>
        <v>9</v>
      </c>
      <c r="N186" s="167" t="str">
        <f ca="1">IF($D186&lt;&gt;"Serviço","",
         IF(AUTOEVENTO="Manual",
                IF($A186=0,"&lt;-- defina o número do agrupador",
                       OFFSET(EVENTOS!$D$15,$A186-$A$15,0)),
                OFFSET($F$15,$A186,0)))</f>
        <v>INSTALAÇÕES ELÉTRICAS</v>
      </c>
      <c r="O186" s="168"/>
      <c r="Q186" s="168"/>
      <c r="R186" s="169"/>
      <c r="S186" s="169"/>
      <c r="T186" s="169"/>
      <c r="U186" s="169"/>
      <c r="V186" s="169"/>
      <c r="W186" s="169"/>
      <c r="X186" s="169"/>
      <c r="Y186" s="169"/>
      <c r="Z186" s="170"/>
      <c r="AB186" s="453">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3">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3">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3">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3">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3">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3">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3">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1">
        <f ca="1">IF(OR($D186&lt;&gt;"Serviço",AND(AUTOEVENTO="Manual",$M186=$A$15)),0,
         IF(OFFSET(CRONOPLE!$F$15,$M186-$A$15,AM$13)=0,10^12,OFFSET(CRONOPLE!$F$15,$M186-$A$15,AM$13)))</f>
        <v>1000000000000</v>
      </c>
      <c r="AN186" s="171">
        <f ca="1">IF(OR($D186&lt;&gt;"Serviço",AND(AUTOEVENTO="Manual",$M186=$A$15)),0,
         IF(OFFSET(CRONOPLE!$F$15,$M186-$A$15,AN$13)=0,10^12,OFFSET(CRONOPLE!$F$15,$M186-$A$15,AN$13)))</f>
        <v>1000000000000</v>
      </c>
      <c r="AO186" s="171">
        <f ca="1">IF(OR($D186&lt;&gt;"Serviço",AND(AUTOEVENTO="Manual",$M186=$A$15)),0,
         IF(OFFSET(CRONOPLE!$F$15,$M186-$A$15,AO$13)=0,10^12,OFFSET(CRONOPLE!$F$15,$M186-$A$15,AO$13)))</f>
        <v>1000000000000</v>
      </c>
      <c r="AP186" s="171">
        <f ca="1">IF(OR($D186&lt;&gt;"Serviço",AND(AUTOEVENTO="Manual",$M186=$A$15)),0,
         IF(OFFSET(CRONOPLE!$F$15,$M186-$A$15,AP$13)=0,10^12,OFFSET(CRONOPLE!$F$15,$M186-$A$15,AP$13)))</f>
        <v>1000000000000</v>
      </c>
      <c r="AQ186" s="171">
        <f ca="1">IF(OR($D186&lt;&gt;"Serviço",AND(AUTOEVENTO="Manual",$M186=$A$15)),0,
         IF(OFFSET(CRONOPLE!$F$15,$M186-$A$15,AQ$13)=0,10^12,OFFSET(CRONOPLE!$F$15,$M186-$A$15,AQ$13)))</f>
        <v>1000000000000</v>
      </c>
      <c r="AR186" s="171">
        <f ca="1">IF(OR($D186&lt;&gt;"Serviço",AND(AUTOEVENTO="Manual",$M186=$A$15)),0,
         IF(OFFSET(CRONOPLE!$F$15,$M186-$A$15,AR$13)=0,10^12,OFFSET(CRONOPLE!$F$15,$M186-$A$15,AR$13)))</f>
        <v>1000000000000</v>
      </c>
      <c r="AS186" s="171">
        <f ca="1">IF(OR($D186&lt;&gt;"Serviço",AND(AUTOEVENTO="Manual",$M186=$A$15)),0,
         IF(OFFSET(CRONOPLE!$F$15,$M186-$A$15,AS$13)=0,10^12,OFFSET(CRONOPLE!$F$15,$M186-$A$15,AS$13)))</f>
        <v>1000000000000</v>
      </c>
      <c r="AT186" s="171">
        <f ca="1">IF(OR($D186&lt;&gt;"Serviço",AND(AUTOEVENTO="Manual",$M186=$A$15)),0,
         IF(OFFSET(CRONOPLE!$F$15,$M186-$A$15,AT$13)=0,10^12,OFFSET(CRONOPLE!$F$15,$M186-$A$15,AT$13)))</f>
        <v>1000000000000</v>
      </c>
      <c r="AU186" s="171">
        <f ca="1">IF(OR($D186&lt;&gt;"Serviço",AND(AUTOEVENTO="Manual",$M186=$A$15)),0,
         IF(OFFSET(CRONOPLE!$F$15,$M186-$A$15,AU$13)=0,10^12,OFFSET(CRONOPLE!$F$15,$M186-$A$15,AU$13)))</f>
        <v>1000000000000</v>
      </c>
      <c r="AV186" s="171">
        <f ca="1">IF(OR($D186&lt;&gt;"Serviço",AND(AUTOEVENTO="Manual",$M186=$A$15)),0,
         IF(OFFSET(CRONOPLE!$F$15,$M186-$A$15,AV$13)=0,10^12,OFFSET(CRONOPLE!$F$15,$M186-$A$15,AV$13)))</f>
        <v>1000000000000</v>
      </c>
      <c r="AX186" s="172" cm="1">
        <f t="array" aca="1" ref="AX186" ca="1">IF(OR($D186&lt;&gt;"Serviço",AND(AUTOEVENTO="Manual",$M186=$A$15),$M186&gt;(ROW(PLE.lastrow)-ROW(PLE.firstrow))),0,
           IF(OFFSET(PLE!$G$15,$M186-$A$15,AX$13)="",10^12,OFFSET(PLE!$G$15,$M186-$A$15,AX$13)))</f>
        <v>1000000000000</v>
      </c>
      <c r="AY186" s="172" cm="1">
        <f t="array" aca="1" ref="AY186" ca="1">IF(OR($D186&lt;&gt;"Serviço",AND(AUTOEVENTO="Manual",$M186=$A$15),$M186&gt;(ROW(PLE.lastrow)-ROW(PLE.firstrow))),0,
           IF(OFFSET(PLE!$G$15,$M186-$A$15,AY$13)="",10^12,OFFSET(PLE!$G$15,$M186-$A$15,AY$13)))</f>
        <v>1000000000000</v>
      </c>
      <c r="AZ186" s="172" cm="1">
        <f t="array" aca="1" ref="AZ186" ca="1">IF(OR($D186&lt;&gt;"Serviço",AND(AUTOEVENTO="Manual",$M186=$A$15),$M186&gt;(ROW(PLE.lastrow)-ROW(PLE.firstrow))),0,
           IF(OFFSET(PLE!$G$15,$M186-$A$15,AZ$13)="",10^12,OFFSET(PLE!$G$15,$M186-$A$15,AZ$13)))</f>
        <v>1000000000000</v>
      </c>
      <c r="BA186" s="172" cm="1">
        <f t="array" aca="1" ref="BA186" ca="1">IF(OR($D186&lt;&gt;"Serviço",AND(AUTOEVENTO="Manual",$M186=$A$15),$M186&gt;(ROW(PLE.lastrow)-ROW(PLE.firstrow))),0,
           IF(OFFSET(PLE!$G$15,$M186-$A$15,BA$13)="",10^12,OFFSET(PLE!$G$15,$M186-$A$15,BA$13)))</f>
        <v>1000000000000</v>
      </c>
      <c r="BB186" s="172" cm="1">
        <f t="array" aca="1" ref="BB186" ca="1">IF(OR($D186&lt;&gt;"Serviço",AND(AUTOEVENTO="Manual",$M186=$A$15),$M186&gt;(ROW(PLE.lastrow)-ROW(PLE.firstrow))),0,
           IF(OFFSET(PLE!$G$15,$M186-$A$15,BB$13)="",10^12,OFFSET(PLE!$G$15,$M186-$A$15,BB$13)))</f>
        <v>1000000000000</v>
      </c>
      <c r="BC186" s="172" cm="1">
        <f t="array" aca="1" ref="BC186" ca="1">IF(OR($D186&lt;&gt;"Serviço",AND(AUTOEVENTO="Manual",$M186=$A$15),$M186&gt;(ROW(PLE.lastrow)-ROW(PLE.firstrow))),0,
           IF(OFFSET(PLE!$G$15,$M186-$A$15,BC$13)="",10^12,OFFSET(PLE!$G$15,$M186-$A$15,BC$13)))</f>
        <v>1000000000000</v>
      </c>
      <c r="BD186" s="172" cm="1">
        <f t="array" aca="1" ref="BD186" ca="1">IF(OR($D186&lt;&gt;"Serviço",AND(AUTOEVENTO="Manual",$M186=$A$15),$M186&gt;(ROW(PLE.lastrow)-ROW(PLE.firstrow))),0,
           IF(OFFSET(PLE!$G$15,$M186-$A$15,BD$13)="",10^12,OFFSET(PLE!$G$15,$M186-$A$15,BD$13)))</f>
        <v>1000000000000</v>
      </c>
      <c r="BE186" s="172" cm="1">
        <f t="array" aca="1" ref="BE186" ca="1">IF(OR($D186&lt;&gt;"Serviço",AND(AUTOEVENTO="Manual",$M186=$A$15),$M186&gt;(ROW(PLE.lastrow)-ROW(PLE.firstrow))),0,
           IF(OFFSET(PLE!$G$15,$M186-$A$15,BE$13)="",10^12,OFFSET(PLE!$G$15,$M186-$A$15,BE$13)))</f>
        <v>1000000000000</v>
      </c>
      <c r="BF186" s="172" cm="1">
        <f t="array" aca="1" ref="BF186" ca="1">IF(OR($D186&lt;&gt;"Serviço",AND(AUTOEVENTO="Manual",$M186=$A$15),$M186&gt;(ROW(PLE.lastrow)-ROW(PLE.firstrow))),0,
           IF(OFFSET(PLE!$G$15,$M186-$A$15,BF$13)="",10^12,OFFSET(PLE!$G$15,$M186-$A$15,BF$13)))</f>
        <v>1000000000000</v>
      </c>
      <c r="BG186" s="172" cm="1">
        <f t="array" aca="1" ref="BG186" ca="1">IF(OR($D186&lt;&gt;"Serviço",AND(AUTOEVENTO="Manual",$M186=$A$15),$M186&gt;(ROW(PLE.lastrow)-ROW(PLE.firstrow))),0,
           IF(OFFSET(PLE!$G$15,$M186-$A$15,BG$13)="",10^12,OFFSET(PLE!$G$15,$M186-$A$15,BG$13)))</f>
        <v>1000000000000</v>
      </c>
    </row>
    <row r="187" spans="1:59" ht="25.5" x14ac:dyDescent="0.2">
      <c r="A187" s="7" t="str">
        <f t="shared" ca="1" si="8"/>
        <v>160</v>
      </c>
      <c r="B187" s="7" t="str">
        <f ca="1">OFFSET(ORÇAMENTO!C$15,$L187,0)</f>
        <v>S</v>
      </c>
      <c r="C187" s="7" t="str">
        <f ca="1">OFFSET(ORÇAMENTO!L$15,$L187,0)</f>
        <v>F</v>
      </c>
      <c r="D187" s="116" t="str">
        <f ca="1">OFFSET(ORÇAMENTO!N$15,$L187,0)</f>
        <v>Serviço</v>
      </c>
      <c r="E187" s="117" t="str">
        <f ca="1">OFFSET(ORÇAMENTO!O$15,$L187,0)</f>
        <v>1.9.3.0.2.</v>
      </c>
      <c r="F187" s="163" t="str">
        <f ca="1">OFFSET(ORÇAMENTO!R$15,$L187,0)</f>
        <v>DISJUNTOR MONOPOLAR TIPO DIN, CORRENTE NOMINAL DE 16A - FORNECIMENTO E INSTALAÇÃO. AF_07/2025</v>
      </c>
      <c r="G187" s="164" t="str">
        <f ca="1">IF($D187&lt;&gt;"Serviço","",OFFSET(ORÇAMENTO!S$15,$L187,0))</f>
        <v>UN</v>
      </c>
      <c r="H187" s="122" cm="1">
        <f t="array" aca="1" ref="H187" ca="1">IF($D187&lt;&gt;"Serviço",0,IF(ACOMPANHAMENTO="BM",ROUND(OFFSET(ORÇAMENTO!AJ$15,$L187,0),15-13*ORÇAMENTO!$AF$7),IF(IFERROR(CÁLCULO.FrentesPreenchidas,0)=0,0,SUM(ROUND(OFFSET($P187,0,1,1,CÁLCULO.FrentesPreenchidas),15-13*ORÇAMENTO!$AF$7)))))</f>
        <v>90</v>
      </c>
      <c r="I187" s="468"/>
      <c r="J187" s="651" t="str" cm="1">
        <f t="array" aca="1" ref="J187" ca="1">IF(OR(B187&lt;&gt;"S",CÁLCULO.FrentesPreenchidas=0),"",IF(AND(ACOMPANHAMENTO="PLE",AUTOEVENTO="Manual",OR(H187&gt;0,ORÇAMENTO!AC187="QUANT."),OR(K187="",M187=0,N187="")),"►E",IF(AND(ACOMPANHAMENTO="PLE",ORÇAMENTO!AC187="QUANT."),"►Q",IF(AND(ACOMPANHAMENTO="PLE",H187&lt;&gt;SUMPRODUCT(($Q$1:$AA$1=1)*ROUND(Q187:AA187,15))),"►S",IF(AND(COUNTIF($P$11:$AA$11,"▼")=0,H187&gt;0,I187=""),"◄M","")))))</f>
        <v/>
      </c>
      <c r="K187" s="652"/>
      <c r="L187" s="165">
        <f t="shared" ca="1" si="9"/>
        <v>172</v>
      </c>
      <c r="M187" s="166">
        <f ca="1">IF($D187&lt;&gt;"Serviço","",
          IF(AUTOEVENTO="manual",$A187,
                IF(ISERROR(MATCH($A187,$A$15:OFFSET($A187,-1,0),0)),MAX($M$15:OFFSET(M187,-1,0))+1,
                      INDEX($M$15:OFFSET(M187,-1,0),MATCH($A187,$A$15:OFFSET($A187,-1,0),0)))))</f>
        <v>9</v>
      </c>
      <c r="N187" s="167" t="str">
        <f ca="1">IF($D187&lt;&gt;"Serviço","",
         IF(AUTOEVENTO="Manual",
                IF($A187=0,"&lt;-- defina o número do agrupador",
                       OFFSET(EVENTOS!$D$15,$A187-$A$15,0)),
                OFFSET($F$15,$A187,0)))</f>
        <v>INSTALAÇÕES ELÉTRICAS</v>
      </c>
      <c r="O187" s="168"/>
      <c r="Q187" s="168"/>
      <c r="R187" s="169"/>
      <c r="S187" s="169"/>
      <c r="T187" s="169"/>
      <c r="U187" s="169"/>
      <c r="V187" s="169"/>
      <c r="W187" s="169"/>
      <c r="X187" s="169"/>
      <c r="Y187" s="169"/>
      <c r="Z187" s="170"/>
      <c r="AB187" s="453">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3">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3">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3">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3">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3">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3">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3">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1">
        <f ca="1">IF(OR($D187&lt;&gt;"Serviço",AND(AUTOEVENTO="Manual",$M187=$A$15)),0,
         IF(OFFSET(CRONOPLE!$F$15,$M187-$A$15,AM$13)=0,10^12,OFFSET(CRONOPLE!$F$15,$M187-$A$15,AM$13)))</f>
        <v>1000000000000</v>
      </c>
      <c r="AN187" s="171">
        <f ca="1">IF(OR($D187&lt;&gt;"Serviço",AND(AUTOEVENTO="Manual",$M187=$A$15)),0,
         IF(OFFSET(CRONOPLE!$F$15,$M187-$A$15,AN$13)=0,10^12,OFFSET(CRONOPLE!$F$15,$M187-$A$15,AN$13)))</f>
        <v>1000000000000</v>
      </c>
      <c r="AO187" s="171">
        <f ca="1">IF(OR($D187&lt;&gt;"Serviço",AND(AUTOEVENTO="Manual",$M187=$A$15)),0,
         IF(OFFSET(CRONOPLE!$F$15,$M187-$A$15,AO$13)=0,10^12,OFFSET(CRONOPLE!$F$15,$M187-$A$15,AO$13)))</f>
        <v>1000000000000</v>
      </c>
      <c r="AP187" s="171">
        <f ca="1">IF(OR($D187&lt;&gt;"Serviço",AND(AUTOEVENTO="Manual",$M187=$A$15)),0,
         IF(OFFSET(CRONOPLE!$F$15,$M187-$A$15,AP$13)=0,10^12,OFFSET(CRONOPLE!$F$15,$M187-$A$15,AP$13)))</f>
        <v>1000000000000</v>
      </c>
      <c r="AQ187" s="171">
        <f ca="1">IF(OR($D187&lt;&gt;"Serviço",AND(AUTOEVENTO="Manual",$M187=$A$15)),0,
         IF(OFFSET(CRONOPLE!$F$15,$M187-$A$15,AQ$13)=0,10^12,OFFSET(CRONOPLE!$F$15,$M187-$A$15,AQ$13)))</f>
        <v>1000000000000</v>
      </c>
      <c r="AR187" s="171">
        <f ca="1">IF(OR($D187&lt;&gt;"Serviço",AND(AUTOEVENTO="Manual",$M187=$A$15)),0,
         IF(OFFSET(CRONOPLE!$F$15,$M187-$A$15,AR$13)=0,10^12,OFFSET(CRONOPLE!$F$15,$M187-$A$15,AR$13)))</f>
        <v>1000000000000</v>
      </c>
      <c r="AS187" s="171">
        <f ca="1">IF(OR($D187&lt;&gt;"Serviço",AND(AUTOEVENTO="Manual",$M187=$A$15)),0,
         IF(OFFSET(CRONOPLE!$F$15,$M187-$A$15,AS$13)=0,10^12,OFFSET(CRONOPLE!$F$15,$M187-$A$15,AS$13)))</f>
        <v>1000000000000</v>
      </c>
      <c r="AT187" s="171">
        <f ca="1">IF(OR($D187&lt;&gt;"Serviço",AND(AUTOEVENTO="Manual",$M187=$A$15)),0,
         IF(OFFSET(CRONOPLE!$F$15,$M187-$A$15,AT$13)=0,10^12,OFFSET(CRONOPLE!$F$15,$M187-$A$15,AT$13)))</f>
        <v>1000000000000</v>
      </c>
      <c r="AU187" s="171">
        <f ca="1">IF(OR($D187&lt;&gt;"Serviço",AND(AUTOEVENTO="Manual",$M187=$A$15)),0,
         IF(OFFSET(CRONOPLE!$F$15,$M187-$A$15,AU$13)=0,10^12,OFFSET(CRONOPLE!$F$15,$M187-$A$15,AU$13)))</f>
        <v>1000000000000</v>
      </c>
      <c r="AV187" s="171">
        <f ca="1">IF(OR($D187&lt;&gt;"Serviço",AND(AUTOEVENTO="Manual",$M187=$A$15)),0,
         IF(OFFSET(CRONOPLE!$F$15,$M187-$A$15,AV$13)=0,10^12,OFFSET(CRONOPLE!$F$15,$M187-$A$15,AV$13)))</f>
        <v>1000000000000</v>
      </c>
      <c r="AX187" s="172" cm="1">
        <f t="array" aca="1" ref="AX187" ca="1">IF(OR($D187&lt;&gt;"Serviço",AND(AUTOEVENTO="Manual",$M187=$A$15),$M187&gt;(ROW(PLE.lastrow)-ROW(PLE.firstrow))),0,
           IF(OFFSET(PLE!$G$15,$M187-$A$15,AX$13)="",10^12,OFFSET(PLE!$G$15,$M187-$A$15,AX$13)))</f>
        <v>1000000000000</v>
      </c>
      <c r="AY187" s="172" cm="1">
        <f t="array" aca="1" ref="AY187" ca="1">IF(OR($D187&lt;&gt;"Serviço",AND(AUTOEVENTO="Manual",$M187=$A$15),$M187&gt;(ROW(PLE.lastrow)-ROW(PLE.firstrow))),0,
           IF(OFFSET(PLE!$G$15,$M187-$A$15,AY$13)="",10^12,OFFSET(PLE!$G$15,$M187-$A$15,AY$13)))</f>
        <v>1000000000000</v>
      </c>
      <c r="AZ187" s="172" cm="1">
        <f t="array" aca="1" ref="AZ187" ca="1">IF(OR($D187&lt;&gt;"Serviço",AND(AUTOEVENTO="Manual",$M187=$A$15),$M187&gt;(ROW(PLE.lastrow)-ROW(PLE.firstrow))),0,
           IF(OFFSET(PLE!$G$15,$M187-$A$15,AZ$13)="",10^12,OFFSET(PLE!$G$15,$M187-$A$15,AZ$13)))</f>
        <v>1000000000000</v>
      </c>
      <c r="BA187" s="172" cm="1">
        <f t="array" aca="1" ref="BA187" ca="1">IF(OR($D187&lt;&gt;"Serviço",AND(AUTOEVENTO="Manual",$M187=$A$15),$M187&gt;(ROW(PLE.lastrow)-ROW(PLE.firstrow))),0,
           IF(OFFSET(PLE!$G$15,$M187-$A$15,BA$13)="",10^12,OFFSET(PLE!$G$15,$M187-$A$15,BA$13)))</f>
        <v>1000000000000</v>
      </c>
      <c r="BB187" s="172" cm="1">
        <f t="array" aca="1" ref="BB187" ca="1">IF(OR($D187&lt;&gt;"Serviço",AND(AUTOEVENTO="Manual",$M187=$A$15),$M187&gt;(ROW(PLE.lastrow)-ROW(PLE.firstrow))),0,
           IF(OFFSET(PLE!$G$15,$M187-$A$15,BB$13)="",10^12,OFFSET(PLE!$G$15,$M187-$A$15,BB$13)))</f>
        <v>1000000000000</v>
      </c>
      <c r="BC187" s="172" cm="1">
        <f t="array" aca="1" ref="BC187" ca="1">IF(OR($D187&lt;&gt;"Serviço",AND(AUTOEVENTO="Manual",$M187=$A$15),$M187&gt;(ROW(PLE.lastrow)-ROW(PLE.firstrow))),0,
           IF(OFFSET(PLE!$G$15,$M187-$A$15,BC$13)="",10^12,OFFSET(PLE!$G$15,$M187-$A$15,BC$13)))</f>
        <v>1000000000000</v>
      </c>
      <c r="BD187" s="172" cm="1">
        <f t="array" aca="1" ref="BD187" ca="1">IF(OR($D187&lt;&gt;"Serviço",AND(AUTOEVENTO="Manual",$M187=$A$15),$M187&gt;(ROW(PLE.lastrow)-ROW(PLE.firstrow))),0,
           IF(OFFSET(PLE!$G$15,$M187-$A$15,BD$13)="",10^12,OFFSET(PLE!$G$15,$M187-$A$15,BD$13)))</f>
        <v>1000000000000</v>
      </c>
      <c r="BE187" s="172" cm="1">
        <f t="array" aca="1" ref="BE187" ca="1">IF(OR($D187&lt;&gt;"Serviço",AND(AUTOEVENTO="Manual",$M187=$A$15),$M187&gt;(ROW(PLE.lastrow)-ROW(PLE.firstrow))),0,
           IF(OFFSET(PLE!$G$15,$M187-$A$15,BE$13)="",10^12,OFFSET(PLE!$G$15,$M187-$A$15,BE$13)))</f>
        <v>1000000000000</v>
      </c>
      <c r="BF187" s="172" cm="1">
        <f t="array" aca="1" ref="BF187" ca="1">IF(OR($D187&lt;&gt;"Serviço",AND(AUTOEVENTO="Manual",$M187=$A$15),$M187&gt;(ROW(PLE.lastrow)-ROW(PLE.firstrow))),0,
           IF(OFFSET(PLE!$G$15,$M187-$A$15,BF$13)="",10^12,OFFSET(PLE!$G$15,$M187-$A$15,BF$13)))</f>
        <v>1000000000000</v>
      </c>
      <c r="BG187" s="172" cm="1">
        <f t="array" aca="1" ref="BG187" ca="1">IF(OR($D187&lt;&gt;"Serviço",AND(AUTOEVENTO="Manual",$M187=$A$15),$M187&gt;(ROW(PLE.lastrow)-ROW(PLE.firstrow))),0,
           IF(OFFSET(PLE!$G$15,$M187-$A$15,BG$13)="",10^12,OFFSET(PLE!$G$15,$M187-$A$15,BG$13)))</f>
        <v>1000000000000</v>
      </c>
    </row>
    <row r="188" spans="1:59" ht="25.5" x14ac:dyDescent="0.2">
      <c r="A188" s="7" t="str">
        <f t="shared" ca="1" si="8"/>
        <v>160</v>
      </c>
      <c r="B188" s="7" t="str">
        <f ca="1">OFFSET(ORÇAMENTO!C$15,$L188,0)</f>
        <v>S</v>
      </c>
      <c r="C188" s="7" t="str">
        <f ca="1">OFFSET(ORÇAMENTO!L$15,$L188,0)</f>
        <v>F</v>
      </c>
      <c r="D188" s="116" t="str">
        <f ca="1">OFFSET(ORÇAMENTO!N$15,$L188,0)</f>
        <v>Serviço</v>
      </c>
      <c r="E188" s="117" t="str">
        <f ca="1">OFFSET(ORÇAMENTO!O$15,$L188,0)</f>
        <v>1.9.3.0.3.</v>
      </c>
      <c r="F188" s="163" t="str">
        <f ca="1">OFFSET(ORÇAMENTO!R$15,$L188,0)</f>
        <v>DISJUNTOR BIPOLAR TIPO DIN, CORRENTE NOMINAL DE 40A - FORNECIMENTO E INSTALAÇÃO. AF_07/2025</v>
      </c>
      <c r="G188" s="164" t="str">
        <f ca="1">IF($D188&lt;&gt;"Serviço","",OFFSET(ORÇAMENTO!S$15,$L188,0))</f>
        <v>UN</v>
      </c>
      <c r="H188" s="122" cm="1">
        <f t="array" aca="1" ref="H188" ca="1">IF($D188&lt;&gt;"Serviço",0,IF(ACOMPANHAMENTO="BM",ROUND(OFFSET(ORÇAMENTO!AJ$15,$L188,0),15-13*ORÇAMENTO!$AF$7),IF(IFERROR(CÁLCULO.FrentesPreenchidas,0)=0,0,SUM(ROUND(OFFSET($P188,0,1,1,CÁLCULO.FrentesPreenchidas),15-13*ORÇAMENTO!$AF$7)))))</f>
        <v>30</v>
      </c>
      <c r="I188" s="468"/>
      <c r="J188" s="651" t="str" cm="1">
        <f t="array" aca="1" ref="J188" ca="1">IF(OR(B188&lt;&gt;"S",CÁLCULO.FrentesPreenchidas=0),"",IF(AND(ACOMPANHAMENTO="PLE",AUTOEVENTO="Manual",OR(H188&gt;0,ORÇAMENTO!AC188="QUANT."),OR(K188="",M188=0,N188="")),"►E",IF(AND(ACOMPANHAMENTO="PLE",ORÇAMENTO!AC188="QUANT."),"►Q",IF(AND(ACOMPANHAMENTO="PLE",H188&lt;&gt;SUMPRODUCT(($Q$1:$AA$1=1)*ROUND(Q188:AA188,15))),"►S",IF(AND(COUNTIF($P$11:$AA$11,"▼")=0,H188&gt;0,I188=""),"◄M","")))))</f>
        <v/>
      </c>
      <c r="K188" s="652"/>
      <c r="L188" s="165">
        <f t="shared" ca="1" si="9"/>
        <v>173</v>
      </c>
      <c r="M188" s="166">
        <f ca="1">IF($D188&lt;&gt;"Serviço","",
          IF(AUTOEVENTO="manual",$A188,
                IF(ISERROR(MATCH($A188,$A$15:OFFSET($A188,-1,0),0)),MAX($M$15:OFFSET(M188,-1,0))+1,
                      INDEX($M$15:OFFSET(M188,-1,0),MATCH($A188,$A$15:OFFSET($A188,-1,0),0)))))</f>
        <v>9</v>
      </c>
      <c r="N188" s="167" t="str">
        <f ca="1">IF($D188&lt;&gt;"Serviço","",
         IF(AUTOEVENTO="Manual",
                IF($A188=0,"&lt;-- defina o número do agrupador",
                       OFFSET(EVENTOS!$D$15,$A188-$A$15,0)),
                OFFSET($F$15,$A188,0)))</f>
        <v>INSTALAÇÕES ELÉTRICAS</v>
      </c>
      <c r="O188" s="168"/>
      <c r="Q188" s="168"/>
      <c r="R188" s="169"/>
      <c r="S188" s="169"/>
      <c r="T188" s="169"/>
      <c r="U188" s="169"/>
      <c r="V188" s="169"/>
      <c r="W188" s="169"/>
      <c r="X188" s="169"/>
      <c r="Y188" s="169"/>
      <c r="Z188" s="170"/>
      <c r="AB188" s="453">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3">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3">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3">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3">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3">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3">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3">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1">
        <f ca="1">IF(OR($D188&lt;&gt;"Serviço",AND(AUTOEVENTO="Manual",$M188=$A$15)),0,
         IF(OFFSET(CRONOPLE!$F$15,$M188-$A$15,AM$13)=0,10^12,OFFSET(CRONOPLE!$F$15,$M188-$A$15,AM$13)))</f>
        <v>1000000000000</v>
      </c>
      <c r="AN188" s="171">
        <f ca="1">IF(OR($D188&lt;&gt;"Serviço",AND(AUTOEVENTO="Manual",$M188=$A$15)),0,
         IF(OFFSET(CRONOPLE!$F$15,$M188-$A$15,AN$13)=0,10^12,OFFSET(CRONOPLE!$F$15,$M188-$A$15,AN$13)))</f>
        <v>1000000000000</v>
      </c>
      <c r="AO188" s="171">
        <f ca="1">IF(OR($D188&lt;&gt;"Serviço",AND(AUTOEVENTO="Manual",$M188=$A$15)),0,
         IF(OFFSET(CRONOPLE!$F$15,$M188-$A$15,AO$13)=0,10^12,OFFSET(CRONOPLE!$F$15,$M188-$A$15,AO$13)))</f>
        <v>1000000000000</v>
      </c>
      <c r="AP188" s="171">
        <f ca="1">IF(OR($D188&lt;&gt;"Serviço",AND(AUTOEVENTO="Manual",$M188=$A$15)),0,
         IF(OFFSET(CRONOPLE!$F$15,$M188-$A$15,AP$13)=0,10^12,OFFSET(CRONOPLE!$F$15,$M188-$A$15,AP$13)))</f>
        <v>1000000000000</v>
      </c>
      <c r="AQ188" s="171">
        <f ca="1">IF(OR($D188&lt;&gt;"Serviço",AND(AUTOEVENTO="Manual",$M188=$A$15)),0,
         IF(OFFSET(CRONOPLE!$F$15,$M188-$A$15,AQ$13)=0,10^12,OFFSET(CRONOPLE!$F$15,$M188-$A$15,AQ$13)))</f>
        <v>1000000000000</v>
      </c>
      <c r="AR188" s="171">
        <f ca="1">IF(OR($D188&lt;&gt;"Serviço",AND(AUTOEVENTO="Manual",$M188=$A$15)),0,
         IF(OFFSET(CRONOPLE!$F$15,$M188-$A$15,AR$13)=0,10^12,OFFSET(CRONOPLE!$F$15,$M188-$A$15,AR$13)))</f>
        <v>1000000000000</v>
      </c>
      <c r="AS188" s="171">
        <f ca="1">IF(OR($D188&lt;&gt;"Serviço",AND(AUTOEVENTO="Manual",$M188=$A$15)),0,
         IF(OFFSET(CRONOPLE!$F$15,$M188-$A$15,AS$13)=0,10^12,OFFSET(CRONOPLE!$F$15,$M188-$A$15,AS$13)))</f>
        <v>1000000000000</v>
      </c>
      <c r="AT188" s="171">
        <f ca="1">IF(OR($D188&lt;&gt;"Serviço",AND(AUTOEVENTO="Manual",$M188=$A$15)),0,
         IF(OFFSET(CRONOPLE!$F$15,$M188-$A$15,AT$13)=0,10^12,OFFSET(CRONOPLE!$F$15,$M188-$A$15,AT$13)))</f>
        <v>1000000000000</v>
      </c>
      <c r="AU188" s="171">
        <f ca="1">IF(OR($D188&lt;&gt;"Serviço",AND(AUTOEVENTO="Manual",$M188=$A$15)),0,
         IF(OFFSET(CRONOPLE!$F$15,$M188-$A$15,AU$13)=0,10^12,OFFSET(CRONOPLE!$F$15,$M188-$A$15,AU$13)))</f>
        <v>1000000000000</v>
      </c>
      <c r="AV188" s="171">
        <f ca="1">IF(OR($D188&lt;&gt;"Serviço",AND(AUTOEVENTO="Manual",$M188=$A$15)),0,
         IF(OFFSET(CRONOPLE!$F$15,$M188-$A$15,AV$13)=0,10^12,OFFSET(CRONOPLE!$F$15,$M188-$A$15,AV$13)))</f>
        <v>1000000000000</v>
      </c>
      <c r="AX188" s="172" cm="1">
        <f t="array" aca="1" ref="AX188" ca="1">IF(OR($D188&lt;&gt;"Serviço",AND(AUTOEVENTO="Manual",$M188=$A$15),$M188&gt;(ROW(PLE.lastrow)-ROW(PLE.firstrow))),0,
           IF(OFFSET(PLE!$G$15,$M188-$A$15,AX$13)="",10^12,OFFSET(PLE!$G$15,$M188-$A$15,AX$13)))</f>
        <v>1000000000000</v>
      </c>
      <c r="AY188" s="172" cm="1">
        <f t="array" aca="1" ref="AY188" ca="1">IF(OR($D188&lt;&gt;"Serviço",AND(AUTOEVENTO="Manual",$M188=$A$15),$M188&gt;(ROW(PLE.lastrow)-ROW(PLE.firstrow))),0,
           IF(OFFSET(PLE!$G$15,$M188-$A$15,AY$13)="",10^12,OFFSET(PLE!$G$15,$M188-$A$15,AY$13)))</f>
        <v>1000000000000</v>
      </c>
      <c r="AZ188" s="172" cm="1">
        <f t="array" aca="1" ref="AZ188" ca="1">IF(OR($D188&lt;&gt;"Serviço",AND(AUTOEVENTO="Manual",$M188=$A$15),$M188&gt;(ROW(PLE.lastrow)-ROW(PLE.firstrow))),0,
           IF(OFFSET(PLE!$G$15,$M188-$A$15,AZ$13)="",10^12,OFFSET(PLE!$G$15,$M188-$A$15,AZ$13)))</f>
        <v>1000000000000</v>
      </c>
      <c r="BA188" s="172" cm="1">
        <f t="array" aca="1" ref="BA188" ca="1">IF(OR($D188&lt;&gt;"Serviço",AND(AUTOEVENTO="Manual",$M188=$A$15),$M188&gt;(ROW(PLE.lastrow)-ROW(PLE.firstrow))),0,
           IF(OFFSET(PLE!$G$15,$M188-$A$15,BA$13)="",10^12,OFFSET(PLE!$G$15,$M188-$A$15,BA$13)))</f>
        <v>1000000000000</v>
      </c>
      <c r="BB188" s="172" cm="1">
        <f t="array" aca="1" ref="BB188" ca="1">IF(OR($D188&lt;&gt;"Serviço",AND(AUTOEVENTO="Manual",$M188=$A$15),$M188&gt;(ROW(PLE.lastrow)-ROW(PLE.firstrow))),0,
           IF(OFFSET(PLE!$G$15,$M188-$A$15,BB$13)="",10^12,OFFSET(PLE!$G$15,$M188-$A$15,BB$13)))</f>
        <v>1000000000000</v>
      </c>
      <c r="BC188" s="172" cm="1">
        <f t="array" aca="1" ref="BC188" ca="1">IF(OR($D188&lt;&gt;"Serviço",AND(AUTOEVENTO="Manual",$M188=$A$15),$M188&gt;(ROW(PLE.lastrow)-ROW(PLE.firstrow))),0,
           IF(OFFSET(PLE!$G$15,$M188-$A$15,BC$13)="",10^12,OFFSET(PLE!$G$15,$M188-$A$15,BC$13)))</f>
        <v>1000000000000</v>
      </c>
      <c r="BD188" s="172" cm="1">
        <f t="array" aca="1" ref="BD188" ca="1">IF(OR($D188&lt;&gt;"Serviço",AND(AUTOEVENTO="Manual",$M188=$A$15),$M188&gt;(ROW(PLE.lastrow)-ROW(PLE.firstrow))),0,
           IF(OFFSET(PLE!$G$15,$M188-$A$15,BD$13)="",10^12,OFFSET(PLE!$G$15,$M188-$A$15,BD$13)))</f>
        <v>1000000000000</v>
      </c>
      <c r="BE188" s="172" cm="1">
        <f t="array" aca="1" ref="BE188" ca="1">IF(OR($D188&lt;&gt;"Serviço",AND(AUTOEVENTO="Manual",$M188=$A$15),$M188&gt;(ROW(PLE.lastrow)-ROW(PLE.firstrow))),0,
           IF(OFFSET(PLE!$G$15,$M188-$A$15,BE$13)="",10^12,OFFSET(PLE!$G$15,$M188-$A$15,BE$13)))</f>
        <v>1000000000000</v>
      </c>
      <c r="BF188" s="172" cm="1">
        <f t="array" aca="1" ref="BF188" ca="1">IF(OR($D188&lt;&gt;"Serviço",AND(AUTOEVENTO="Manual",$M188=$A$15),$M188&gt;(ROW(PLE.lastrow)-ROW(PLE.firstrow))),0,
           IF(OFFSET(PLE!$G$15,$M188-$A$15,BF$13)="",10^12,OFFSET(PLE!$G$15,$M188-$A$15,BF$13)))</f>
        <v>1000000000000</v>
      </c>
      <c r="BG188" s="172" cm="1">
        <f t="array" aca="1" ref="BG188" ca="1">IF(OR($D188&lt;&gt;"Serviço",AND(AUTOEVENTO="Manual",$M188=$A$15),$M188&gt;(ROW(PLE.lastrow)-ROW(PLE.firstrow))),0,
           IF(OFFSET(PLE!$G$15,$M188-$A$15,BG$13)="",10^12,OFFSET(PLE!$G$15,$M188-$A$15,BG$13)))</f>
        <v>1000000000000</v>
      </c>
    </row>
    <row r="189" spans="1:59" ht="25.5" x14ac:dyDescent="0.2">
      <c r="A189" s="7" t="str">
        <f t="shared" ca="1" si="8"/>
        <v>160</v>
      </c>
      <c r="B189" s="7" t="str">
        <f ca="1">OFFSET(ORÇAMENTO!C$15,$L189,0)</f>
        <v>S</v>
      </c>
      <c r="C189" s="7" t="str">
        <f ca="1">OFFSET(ORÇAMENTO!L$15,$L189,0)</f>
        <v>F</v>
      </c>
      <c r="D189" s="116" t="str">
        <f ca="1">OFFSET(ORÇAMENTO!N$15,$L189,0)</f>
        <v>Serviço</v>
      </c>
      <c r="E189" s="117" t="str">
        <f ca="1">OFFSET(ORÇAMENTO!O$15,$L189,0)</f>
        <v>1.9.3.0.4.</v>
      </c>
      <c r="F189" s="163" t="str">
        <f ca="1">OFFSET(ORÇAMENTO!R$15,$L189,0)</f>
        <v>DISJUNTOR BIPOLAR TIPO DIN, CORRENTE NOMINAL DE 50A - FORNECIMENTO E INSTALAÇÃO. AF_07/2025</v>
      </c>
      <c r="G189" s="164" t="str">
        <f ca="1">IF($D189&lt;&gt;"Serviço","",OFFSET(ORÇAMENTO!S$15,$L189,0))</f>
        <v>UN</v>
      </c>
      <c r="H189" s="122" cm="1">
        <f t="array" aca="1" ref="H189" ca="1">IF($D189&lt;&gt;"Serviço",0,IF(ACOMPANHAMENTO="BM",ROUND(OFFSET(ORÇAMENTO!AJ$15,$L189,0),15-13*ORÇAMENTO!$AF$7),IF(IFERROR(CÁLCULO.FrentesPreenchidas,0)=0,0,SUM(ROUND(OFFSET($P189,0,1,1,CÁLCULO.FrentesPreenchidas),15-13*ORÇAMENTO!$AF$7)))))</f>
        <v>30</v>
      </c>
      <c r="I189" s="468"/>
      <c r="J189" s="651" t="str" cm="1">
        <f t="array" aca="1" ref="J189" ca="1">IF(OR(B189&lt;&gt;"S",CÁLCULO.FrentesPreenchidas=0),"",IF(AND(ACOMPANHAMENTO="PLE",AUTOEVENTO="Manual",OR(H189&gt;0,ORÇAMENTO!AC189="QUANT."),OR(K189="",M189=0,N189="")),"►E",IF(AND(ACOMPANHAMENTO="PLE",ORÇAMENTO!AC189="QUANT."),"►Q",IF(AND(ACOMPANHAMENTO="PLE",H189&lt;&gt;SUMPRODUCT(($Q$1:$AA$1=1)*ROUND(Q189:AA189,15))),"►S",IF(AND(COUNTIF($P$11:$AA$11,"▼")=0,H189&gt;0,I189=""),"◄M","")))))</f>
        <v/>
      </c>
      <c r="K189" s="652"/>
      <c r="L189" s="165">
        <f t="shared" ca="1" si="9"/>
        <v>174</v>
      </c>
      <c r="M189" s="166">
        <f ca="1">IF($D189&lt;&gt;"Serviço","",
          IF(AUTOEVENTO="manual",$A189,
                IF(ISERROR(MATCH($A189,$A$15:OFFSET($A189,-1,0),0)),MAX($M$15:OFFSET(M189,-1,0))+1,
                      INDEX($M$15:OFFSET(M189,-1,0),MATCH($A189,$A$15:OFFSET($A189,-1,0),0)))))</f>
        <v>9</v>
      </c>
      <c r="N189" s="167" t="str">
        <f ca="1">IF($D189&lt;&gt;"Serviço","",
         IF(AUTOEVENTO="Manual",
                IF($A189=0,"&lt;-- defina o número do agrupador",
                       OFFSET(EVENTOS!$D$15,$A189-$A$15,0)),
                OFFSET($F$15,$A189,0)))</f>
        <v>INSTALAÇÕES ELÉTRICAS</v>
      </c>
      <c r="O189" s="168"/>
      <c r="Q189" s="168"/>
      <c r="R189" s="169"/>
      <c r="S189" s="169"/>
      <c r="T189" s="169"/>
      <c r="U189" s="169"/>
      <c r="V189" s="169"/>
      <c r="W189" s="169"/>
      <c r="X189" s="169"/>
      <c r="Y189" s="169"/>
      <c r="Z189" s="170"/>
      <c r="AB189" s="453">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3">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3">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3">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3">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3">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3">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3">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1">
        <f ca="1">IF(OR($D189&lt;&gt;"Serviço",AND(AUTOEVENTO="Manual",$M189=$A$15)),0,
         IF(OFFSET(CRONOPLE!$F$15,$M189-$A$15,AM$13)=0,10^12,OFFSET(CRONOPLE!$F$15,$M189-$A$15,AM$13)))</f>
        <v>1000000000000</v>
      </c>
      <c r="AN189" s="171">
        <f ca="1">IF(OR($D189&lt;&gt;"Serviço",AND(AUTOEVENTO="Manual",$M189=$A$15)),0,
         IF(OFFSET(CRONOPLE!$F$15,$M189-$A$15,AN$13)=0,10^12,OFFSET(CRONOPLE!$F$15,$M189-$A$15,AN$13)))</f>
        <v>1000000000000</v>
      </c>
      <c r="AO189" s="171">
        <f ca="1">IF(OR($D189&lt;&gt;"Serviço",AND(AUTOEVENTO="Manual",$M189=$A$15)),0,
         IF(OFFSET(CRONOPLE!$F$15,$M189-$A$15,AO$13)=0,10^12,OFFSET(CRONOPLE!$F$15,$M189-$A$15,AO$13)))</f>
        <v>1000000000000</v>
      </c>
      <c r="AP189" s="171">
        <f ca="1">IF(OR($D189&lt;&gt;"Serviço",AND(AUTOEVENTO="Manual",$M189=$A$15)),0,
         IF(OFFSET(CRONOPLE!$F$15,$M189-$A$15,AP$13)=0,10^12,OFFSET(CRONOPLE!$F$15,$M189-$A$15,AP$13)))</f>
        <v>1000000000000</v>
      </c>
      <c r="AQ189" s="171">
        <f ca="1">IF(OR($D189&lt;&gt;"Serviço",AND(AUTOEVENTO="Manual",$M189=$A$15)),0,
         IF(OFFSET(CRONOPLE!$F$15,$M189-$A$15,AQ$13)=0,10^12,OFFSET(CRONOPLE!$F$15,$M189-$A$15,AQ$13)))</f>
        <v>1000000000000</v>
      </c>
      <c r="AR189" s="171">
        <f ca="1">IF(OR($D189&lt;&gt;"Serviço",AND(AUTOEVENTO="Manual",$M189=$A$15)),0,
         IF(OFFSET(CRONOPLE!$F$15,$M189-$A$15,AR$13)=0,10^12,OFFSET(CRONOPLE!$F$15,$M189-$A$15,AR$13)))</f>
        <v>1000000000000</v>
      </c>
      <c r="AS189" s="171">
        <f ca="1">IF(OR($D189&lt;&gt;"Serviço",AND(AUTOEVENTO="Manual",$M189=$A$15)),0,
         IF(OFFSET(CRONOPLE!$F$15,$M189-$A$15,AS$13)=0,10^12,OFFSET(CRONOPLE!$F$15,$M189-$A$15,AS$13)))</f>
        <v>1000000000000</v>
      </c>
      <c r="AT189" s="171">
        <f ca="1">IF(OR($D189&lt;&gt;"Serviço",AND(AUTOEVENTO="Manual",$M189=$A$15)),0,
         IF(OFFSET(CRONOPLE!$F$15,$M189-$A$15,AT$13)=0,10^12,OFFSET(CRONOPLE!$F$15,$M189-$A$15,AT$13)))</f>
        <v>1000000000000</v>
      </c>
      <c r="AU189" s="171">
        <f ca="1">IF(OR($D189&lt;&gt;"Serviço",AND(AUTOEVENTO="Manual",$M189=$A$15)),0,
         IF(OFFSET(CRONOPLE!$F$15,$M189-$A$15,AU$13)=0,10^12,OFFSET(CRONOPLE!$F$15,$M189-$A$15,AU$13)))</f>
        <v>1000000000000</v>
      </c>
      <c r="AV189" s="171">
        <f ca="1">IF(OR($D189&lt;&gt;"Serviço",AND(AUTOEVENTO="Manual",$M189=$A$15)),0,
         IF(OFFSET(CRONOPLE!$F$15,$M189-$A$15,AV$13)=0,10^12,OFFSET(CRONOPLE!$F$15,$M189-$A$15,AV$13)))</f>
        <v>1000000000000</v>
      </c>
      <c r="AX189" s="172" cm="1">
        <f t="array" aca="1" ref="AX189" ca="1">IF(OR($D189&lt;&gt;"Serviço",AND(AUTOEVENTO="Manual",$M189=$A$15),$M189&gt;(ROW(PLE.lastrow)-ROW(PLE.firstrow))),0,
           IF(OFFSET(PLE!$G$15,$M189-$A$15,AX$13)="",10^12,OFFSET(PLE!$G$15,$M189-$A$15,AX$13)))</f>
        <v>1000000000000</v>
      </c>
      <c r="AY189" s="172" cm="1">
        <f t="array" aca="1" ref="AY189" ca="1">IF(OR($D189&lt;&gt;"Serviço",AND(AUTOEVENTO="Manual",$M189=$A$15),$M189&gt;(ROW(PLE.lastrow)-ROW(PLE.firstrow))),0,
           IF(OFFSET(PLE!$G$15,$M189-$A$15,AY$13)="",10^12,OFFSET(PLE!$G$15,$M189-$A$15,AY$13)))</f>
        <v>1000000000000</v>
      </c>
      <c r="AZ189" s="172" cm="1">
        <f t="array" aca="1" ref="AZ189" ca="1">IF(OR($D189&lt;&gt;"Serviço",AND(AUTOEVENTO="Manual",$M189=$A$15),$M189&gt;(ROW(PLE.lastrow)-ROW(PLE.firstrow))),0,
           IF(OFFSET(PLE!$G$15,$M189-$A$15,AZ$13)="",10^12,OFFSET(PLE!$G$15,$M189-$A$15,AZ$13)))</f>
        <v>1000000000000</v>
      </c>
      <c r="BA189" s="172" cm="1">
        <f t="array" aca="1" ref="BA189" ca="1">IF(OR($D189&lt;&gt;"Serviço",AND(AUTOEVENTO="Manual",$M189=$A$15),$M189&gt;(ROW(PLE.lastrow)-ROW(PLE.firstrow))),0,
           IF(OFFSET(PLE!$G$15,$M189-$A$15,BA$13)="",10^12,OFFSET(PLE!$G$15,$M189-$A$15,BA$13)))</f>
        <v>1000000000000</v>
      </c>
      <c r="BB189" s="172" cm="1">
        <f t="array" aca="1" ref="BB189" ca="1">IF(OR($D189&lt;&gt;"Serviço",AND(AUTOEVENTO="Manual",$M189=$A$15),$M189&gt;(ROW(PLE.lastrow)-ROW(PLE.firstrow))),0,
           IF(OFFSET(PLE!$G$15,$M189-$A$15,BB$13)="",10^12,OFFSET(PLE!$G$15,$M189-$A$15,BB$13)))</f>
        <v>1000000000000</v>
      </c>
      <c r="BC189" s="172" cm="1">
        <f t="array" aca="1" ref="BC189" ca="1">IF(OR($D189&lt;&gt;"Serviço",AND(AUTOEVENTO="Manual",$M189=$A$15),$M189&gt;(ROW(PLE.lastrow)-ROW(PLE.firstrow))),0,
           IF(OFFSET(PLE!$G$15,$M189-$A$15,BC$13)="",10^12,OFFSET(PLE!$G$15,$M189-$A$15,BC$13)))</f>
        <v>1000000000000</v>
      </c>
      <c r="BD189" s="172" cm="1">
        <f t="array" aca="1" ref="BD189" ca="1">IF(OR($D189&lt;&gt;"Serviço",AND(AUTOEVENTO="Manual",$M189=$A$15),$M189&gt;(ROW(PLE.lastrow)-ROW(PLE.firstrow))),0,
           IF(OFFSET(PLE!$G$15,$M189-$A$15,BD$13)="",10^12,OFFSET(PLE!$G$15,$M189-$A$15,BD$13)))</f>
        <v>1000000000000</v>
      </c>
      <c r="BE189" s="172" cm="1">
        <f t="array" aca="1" ref="BE189" ca="1">IF(OR($D189&lt;&gt;"Serviço",AND(AUTOEVENTO="Manual",$M189=$A$15),$M189&gt;(ROW(PLE.lastrow)-ROW(PLE.firstrow))),0,
           IF(OFFSET(PLE!$G$15,$M189-$A$15,BE$13)="",10^12,OFFSET(PLE!$G$15,$M189-$A$15,BE$13)))</f>
        <v>1000000000000</v>
      </c>
      <c r="BF189" s="172" cm="1">
        <f t="array" aca="1" ref="BF189" ca="1">IF(OR($D189&lt;&gt;"Serviço",AND(AUTOEVENTO="Manual",$M189=$A$15),$M189&gt;(ROW(PLE.lastrow)-ROW(PLE.firstrow))),0,
           IF(OFFSET(PLE!$G$15,$M189-$A$15,BF$13)="",10^12,OFFSET(PLE!$G$15,$M189-$A$15,BF$13)))</f>
        <v>1000000000000</v>
      </c>
      <c r="BG189" s="172" cm="1">
        <f t="array" aca="1" ref="BG189" ca="1">IF(OR($D189&lt;&gt;"Serviço",AND(AUTOEVENTO="Manual",$M189=$A$15),$M189&gt;(ROW(PLE.lastrow)-ROW(PLE.firstrow))),0,
           IF(OFFSET(PLE!$G$15,$M189-$A$15,BG$13)="",10^12,OFFSET(PLE!$G$15,$M189-$A$15,BG$13)))</f>
        <v>1000000000000</v>
      </c>
    </row>
    <row r="190" spans="1:59" ht="12.75" x14ac:dyDescent="0.2">
      <c r="A190" s="7" t="str">
        <f t="shared" ca="1" si="8"/>
        <v>160</v>
      </c>
      <c r="B190" s="7">
        <f ca="1">OFFSET(ORÇAMENTO!C$15,$L190,0)</f>
        <v>3</v>
      </c>
      <c r="C190" s="7" t="str">
        <f ca="1">OFFSET(ORÇAMENTO!L$15,$L190,0)</f>
        <v>F</v>
      </c>
      <c r="D190" s="116" t="str">
        <f ca="1">OFFSET(ORÇAMENTO!N$15,$L190,0)</f>
        <v>Nível 3</v>
      </c>
      <c r="E190" s="117" t="str">
        <f ca="1">OFFSET(ORÇAMENTO!O$15,$L190,0)</f>
        <v>1.9.4.</v>
      </c>
      <c r="F190" s="163" t="str">
        <f ca="1">OFFSET(ORÇAMENTO!R$15,$L190,0)</f>
        <v>LUMINÁRIAS</v>
      </c>
      <c r="G190" s="164" t="str">
        <f ca="1">IF($D190&lt;&gt;"Serviço","",OFFSET(ORÇAMENTO!S$15,$L190,0))</f>
        <v/>
      </c>
      <c r="H190" s="122" cm="1">
        <f t="array" aca="1" ref="H190" ca="1">IF($D190&lt;&gt;"Serviço",0,IF(ACOMPANHAMENTO="BM",ROUND(OFFSET(ORÇAMENTO!AJ$15,$L190,0),15-13*ORÇAMENTO!$AF$7),IF(IFERROR(CÁLCULO.FrentesPreenchidas,0)=0,0,SUM(ROUND(OFFSET($P190,0,1,1,CÁLCULO.FrentesPreenchidas),15-13*ORÇAMENTO!$AF$7)))))</f>
        <v>0</v>
      </c>
      <c r="I190" s="468"/>
      <c r="J190" s="651" t="str" cm="1">
        <f t="array" aca="1" ref="J190" ca="1">IF(OR(B190&lt;&gt;"S",CÁLCULO.FrentesPreenchidas=0),"",IF(AND(ACOMPANHAMENTO="PLE",AUTOEVENTO="Manual",OR(H190&gt;0,ORÇAMENTO!AC190="QUANT."),OR(K190="",M190=0,N190="")),"►E",IF(AND(ACOMPANHAMENTO="PLE",ORÇAMENTO!AC190="QUANT."),"►Q",IF(AND(ACOMPANHAMENTO="PLE",H190&lt;&gt;SUMPRODUCT(($Q$1:$AA$1=1)*ROUND(Q190:AA190,15))),"►S",IF(AND(COUNTIF($P$11:$AA$11,"▼")=0,H190&gt;0,I190=""),"◄M","")))))</f>
        <v/>
      </c>
      <c r="K190" s="652"/>
      <c r="L190" s="165">
        <f t="shared" ca="1" si="9"/>
        <v>175</v>
      </c>
      <c r="M190" s="166" t="str">
        <f ca="1">IF($D190&lt;&gt;"Serviço","",
          IF(AUTOEVENTO="manual",$A190,
                IF(ISERROR(MATCH($A190,$A$15:OFFSET($A190,-1,0),0)),MAX($M$15:OFFSET(M190,-1,0))+1,
                      INDEX($M$15:OFFSET(M190,-1,0),MATCH($A190,$A$15:OFFSET($A190,-1,0),0)))))</f>
        <v/>
      </c>
      <c r="N190" s="167" t="str">
        <f ca="1">IF($D190&lt;&gt;"Serviço","",
         IF(AUTOEVENTO="Manual",
                IF($A190=0,"&lt;-- defina o número do agrupador",
                       OFFSET(EVENTOS!$D$15,$A190-$A$15,0)),
                OFFSET($F$15,$A190,0)))</f>
        <v/>
      </c>
      <c r="O190" s="168"/>
      <c r="Q190" s="168"/>
      <c r="R190" s="169"/>
      <c r="S190" s="169"/>
      <c r="T190" s="169"/>
      <c r="U190" s="169"/>
      <c r="V190" s="169"/>
      <c r="W190" s="169"/>
      <c r="X190" s="169"/>
      <c r="Y190" s="169"/>
      <c r="Z190" s="170"/>
      <c r="AB190" s="453">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3">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3">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3">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3">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3">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3">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3">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1">
        <f ca="1">IF(OR($D190&lt;&gt;"Serviço",AND(AUTOEVENTO="Manual",$M190=$A$15)),0,
         IF(OFFSET(CRONOPLE!$F$15,$M190-$A$15,AM$13)=0,10^12,OFFSET(CRONOPLE!$F$15,$M190-$A$15,AM$13)))</f>
        <v>0</v>
      </c>
      <c r="AN190" s="171">
        <f ca="1">IF(OR($D190&lt;&gt;"Serviço",AND(AUTOEVENTO="Manual",$M190=$A$15)),0,
         IF(OFFSET(CRONOPLE!$F$15,$M190-$A$15,AN$13)=0,10^12,OFFSET(CRONOPLE!$F$15,$M190-$A$15,AN$13)))</f>
        <v>0</v>
      </c>
      <c r="AO190" s="171">
        <f ca="1">IF(OR($D190&lt;&gt;"Serviço",AND(AUTOEVENTO="Manual",$M190=$A$15)),0,
         IF(OFFSET(CRONOPLE!$F$15,$M190-$A$15,AO$13)=0,10^12,OFFSET(CRONOPLE!$F$15,$M190-$A$15,AO$13)))</f>
        <v>0</v>
      </c>
      <c r="AP190" s="171">
        <f ca="1">IF(OR($D190&lt;&gt;"Serviço",AND(AUTOEVENTO="Manual",$M190=$A$15)),0,
         IF(OFFSET(CRONOPLE!$F$15,$M190-$A$15,AP$13)=0,10^12,OFFSET(CRONOPLE!$F$15,$M190-$A$15,AP$13)))</f>
        <v>0</v>
      </c>
      <c r="AQ190" s="171">
        <f ca="1">IF(OR($D190&lt;&gt;"Serviço",AND(AUTOEVENTO="Manual",$M190=$A$15)),0,
         IF(OFFSET(CRONOPLE!$F$15,$M190-$A$15,AQ$13)=0,10^12,OFFSET(CRONOPLE!$F$15,$M190-$A$15,AQ$13)))</f>
        <v>0</v>
      </c>
      <c r="AR190" s="171">
        <f ca="1">IF(OR($D190&lt;&gt;"Serviço",AND(AUTOEVENTO="Manual",$M190=$A$15)),0,
         IF(OFFSET(CRONOPLE!$F$15,$M190-$A$15,AR$13)=0,10^12,OFFSET(CRONOPLE!$F$15,$M190-$A$15,AR$13)))</f>
        <v>0</v>
      </c>
      <c r="AS190" s="171">
        <f ca="1">IF(OR($D190&lt;&gt;"Serviço",AND(AUTOEVENTO="Manual",$M190=$A$15)),0,
         IF(OFFSET(CRONOPLE!$F$15,$M190-$A$15,AS$13)=0,10^12,OFFSET(CRONOPLE!$F$15,$M190-$A$15,AS$13)))</f>
        <v>0</v>
      </c>
      <c r="AT190" s="171">
        <f ca="1">IF(OR($D190&lt;&gt;"Serviço",AND(AUTOEVENTO="Manual",$M190=$A$15)),0,
         IF(OFFSET(CRONOPLE!$F$15,$M190-$A$15,AT$13)=0,10^12,OFFSET(CRONOPLE!$F$15,$M190-$A$15,AT$13)))</f>
        <v>0</v>
      </c>
      <c r="AU190" s="171">
        <f ca="1">IF(OR($D190&lt;&gt;"Serviço",AND(AUTOEVENTO="Manual",$M190=$A$15)),0,
         IF(OFFSET(CRONOPLE!$F$15,$M190-$A$15,AU$13)=0,10^12,OFFSET(CRONOPLE!$F$15,$M190-$A$15,AU$13)))</f>
        <v>0</v>
      </c>
      <c r="AV190" s="171">
        <f ca="1">IF(OR($D190&lt;&gt;"Serviço",AND(AUTOEVENTO="Manual",$M190=$A$15)),0,
         IF(OFFSET(CRONOPLE!$F$15,$M190-$A$15,AV$13)=0,10^12,OFFSET(CRONOPLE!$F$15,$M190-$A$15,AV$13)))</f>
        <v>0</v>
      </c>
      <c r="AX190" s="172" cm="1">
        <f t="array" aca="1" ref="AX190" ca="1">IF(OR($D190&lt;&gt;"Serviço",AND(AUTOEVENTO="Manual",$M190=$A$15),$M190&gt;(ROW(PLE.lastrow)-ROW(PLE.firstrow))),0,
           IF(OFFSET(PLE!$G$15,$M190-$A$15,AX$13)="",10^12,OFFSET(PLE!$G$15,$M190-$A$15,AX$13)))</f>
        <v>0</v>
      </c>
      <c r="AY190" s="172" cm="1">
        <f t="array" aca="1" ref="AY190" ca="1">IF(OR($D190&lt;&gt;"Serviço",AND(AUTOEVENTO="Manual",$M190=$A$15),$M190&gt;(ROW(PLE.lastrow)-ROW(PLE.firstrow))),0,
           IF(OFFSET(PLE!$G$15,$M190-$A$15,AY$13)="",10^12,OFFSET(PLE!$G$15,$M190-$A$15,AY$13)))</f>
        <v>0</v>
      </c>
      <c r="AZ190" s="172" cm="1">
        <f t="array" aca="1" ref="AZ190" ca="1">IF(OR($D190&lt;&gt;"Serviço",AND(AUTOEVENTO="Manual",$M190=$A$15),$M190&gt;(ROW(PLE.lastrow)-ROW(PLE.firstrow))),0,
           IF(OFFSET(PLE!$G$15,$M190-$A$15,AZ$13)="",10^12,OFFSET(PLE!$G$15,$M190-$A$15,AZ$13)))</f>
        <v>0</v>
      </c>
      <c r="BA190" s="172" cm="1">
        <f t="array" aca="1" ref="BA190" ca="1">IF(OR($D190&lt;&gt;"Serviço",AND(AUTOEVENTO="Manual",$M190=$A$15),$M190&gt;(ROW(PLE.lastrow)-ROW(PLE.firstrow))),0,
           IF(OFFSET(PLE!$G$15,$M190-$A$15,BA$13)="",10^12,OFFSET(PLE!$G$15,$M190-$A$15,BA$13)))</f>
        <v>0</v>
      </c>
      <c r="BB190" s="172" cm="1">
        <f t="array" aca="1" ref="BB190" ca="1">IF(OR($D190&lt;&gt;"Serviço",AND(AUTOEVENTO="Manual",$M190=$A$15),$M190&gt;(ROW(PLE.lastrow)-ROW(PLE.firstrow))),0,
           IF(OFFSET(PLE!$G$15,$M190-$A$15,BB$13)="",10^12,OFFSET(PLE!$G$15,$M190-$A$15,BB$13)))</f>
        <v>0</v>
      </c>
      <c r="BC190" s="172" cm="1">
        <f t="array" aca="1" ref="BC190" ca="1">IF(OR($D190&lt;&gt;"Serviço",AND(AUTOEVENTO="Manual",$M190=$A$15),$M190&gt;(ROW(PLE.lastrow)-ROW(PLE.firstrow))),0,
           IF(OFFSET(PLE!$G$15,$M190-$A$15,BC$13)="",10^12,OFFSET(PLE!$G$15,$M190-$A$15,BC$13)))</f>
        <v>0</v>
      </c>
      <c r="BD190" s="172" cm="1">
        <f t="array" aca="1" ref="BD190" ca="1">IF(OR($D190&lt;&gt;"Serviço",AND(AUTOEVENTO="Manual",$M190=$A$15),$M190&gt;(ROW(PLE.lastrow)-ROW(PLE.firstrow))),0,
           IF(OFFSET(PLE!$G$15,$M190-$A$15,BD$13)="",10^12,OFFSET(PLE!$G$15,$M190-$A$15,BD$13)))</f>
        <v>0</v>
      </c>
      <c r="BE190" s="172" cm="1">
        <f t="array" aca="1" ref="BE190" ca="1">IF(OR($D190&lt;&gt;"Serviço",AND(AUTOEVENTO="Manual",$M190=$A$15),$M190&gt;(ROW(PLE.lastrow)-ROW(PLE.firstrow))),0,
           IF(OFFSET(PLE!$G$15,$M190-$A$15,BE$13)="",10^12,OFFSET(PLE!$G$15,$M190-$A$15,BE$13)))</f>
        <v>0</v>
      </c>
      <c r="BF190" s="172" cm="1">
        <f t="array" aca="1" ref="BF190" ca="1">IF(OR($D190&lt;&gt;"Serviço",AND(AUTOEVENTO="Manual",$M190=$A$15),$M190&gt;(ROW(PLE.lastrow)-ROW(PLE.firstrow))),0,
           IF(OFFSET(PLE!$G$15,$M190-$A$15,BF$13)="",10^12,OFFSET(PLE!$G$15,$M190-$A$15,BF$13)))</f>
        <v>0</v>
      </c>
      <c r="BG190" s="172" cm="1">
        <f t="array" aca="1" ref="BG190" ca="1">IF(OR($D190&lt;&gt;"Serviço",AND(AUTOEVENTO="Manual",$M190=$A$15),$M190&gt;(ROW(PLE.lastrow)-ROW(PLE.firstrow))),0,
           IF(OFFSET(PLE!$G$15,$M190-$A$15,BG$13)="",10^12,OFFSET(PLE!$G$15,$M190-$A$15,BG$13)))</f>
        <v>0</v>
      </c>
    </row>
    <row r="191" spans="1:59" ht="25.5" x14ac:dyDescent="0.2">
      <c r="A191" s="7" t="str">
        <f t="shared" ca="1" si="8"/>
        <v>160</v>
      </c>
      <c r="B191" s="7" t="str">
        <f ca="1">OFFSET(ORÇAMENTO!C$15,$L191,0)</f>
        <v>S</v>
      </c>
      <c r="C191" s="7" t="str">
        <f ca="1">OFFSET(ORÇAMENTO!L$15,$L191,0)</f>
        <v>F</v>
      </c>
      <c r="D191" s="116" t="str">
        <f ca="1">OFFSET(ORÇAMENTO!N$15,$L191,0)</f>
        <v>Serviço</v>
      </c>
      <c r="E191" s="117" t="str">
        <f ca="1">OFFSET(ORÇAMENTO!O$15,$L191,0)</f>
        <v>1.9.4.0.1.</v>
      </c>
      <c r="F191" s="163" t="str">
        <f ca="1">OFFSET(ORÇAMENTO!R$15,$L191,0)</f>
        <v>LUMINÁRIA TIPO PLAFON CIRCULAR, DE SOBREPOR, COM LED DE 12/13 W - FORNECIMENTO E INSTALAÇÃO. AF_09/2024</v>
      </c>
      <c r="G191" s="164" t="str">
        <f ca="1">IF($D191&lt;&gt;"Serviço","",OFFSET(ORÇAMENTO!S$15,$L191,0))</f>
        <v>UN</v>
      </c>
      <c r="H191" s="122" cm="1">
        <f t="array" aca="1" ref="H191" ca="1">IF($D191&lt;&gt;"Serviço",0,IF(ACOMPANHAMENTO="BM",ROUND(OFFSET(ORÇAMENTO!AJ$15,$L191,0),15-13*ORÇAMENTO!$AF$7),IF(IFERROR(CÁLCULO.FrentesPreenchidas,0)=0,0,SUM(ROUND(OFFSET($P191,0,1,1,CÁLCULO.FrentesPreenchidas),15-13*ORÇAMENTO!$AF$7)))))</f>
        <v>210</v>
      </c>
      <c r="I191" s="468"/>
      <c r="J191" s="651" t="str" cm="1">
        <f t="array" aca="1" ref="J191" ca="1">IF(OR(B191&lt;&gt;"S",CÁLCULO.FrentesPreenchidas=0),"",IF(AND(ACOMPANHAMENTO="PLE",AUTOEVENTO="Manual",OR(H191&gt;0,ORÇAMENTO!AC191="QUANT."),OR(K191="",M191=0,N191="")),"►E",IF(AND(ACOMPANHAMENTO="PLE",ORÇAMENTO!AC191="QUANT."),"►Q",IF(AND(ACOMPANHAMENTO="PLE",H191&lt;&gt;SUMPRODUCT(($Q$1:$AA$1=1)*ROUND(Q191:AA191,15))),"►S",IF(AND(COUNTIF($P$11:$AA$11,"▼")=0,H191&gt;0,I191=""),"◄M","")))))</f>
        <v/>
      </c>
      <c r="K191" s="652"/>
      <c r="L191" s="165">
        <f t="shared" ca="1" si="9"/>
        <v>176</v>
      </c>
      <c r="M191" s="166">
        <f ca="1">IF($D191&lt;&gt;"Serviço","",
          IF(AUTOEVENTO="manual",$A191,
                IF(ISERROR(MATCH($A191,$A$15:OFFSET($A191,-1,0),0)),MAX($M$15:OFFSET(M191,-1,0))+1,
                      INDEX($M$15:OFFSET(M191,-1,0),MATCH($A191,$A$15:OFFSET($A191,-1,0),0)))))</f>
        <v>9</v>
      </c>
      <c r="N191" s="167" t="str">
        <f ca="1">IF($D191&lt;&gt;"Serviço","",
         IF(AUTOEVENTO="Manual",
                IF($A191=0,"&lt;-- defina o número do agrupador",
                       OFFSET(EVENTOS!$D$15,$A191-$A$15,0)),
                OFFSET($F$15,$A191,0)))</f>
        <v>INSTALAÇÕES ELÉTRICAS</v>
      </c>
      <c r="O191" s="168"/>
      <c r="Q191" s="168"/>
      <c r="R191" s="169"/>
      <c r="S191" s="169"/>
      <c r="T191" s="169"/>
      <c r="U191" s="169"/>
      <c r="V191" s="169"/>
      <c r="W191" s="169"/>
      <c r="X191" s="169"/>
      <c r="Y191" s="169"/>
      <c r="Z191" s="170"/>
      <c r="AB191" s="453">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3">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3">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3">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3">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3">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3">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3">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3">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3">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1">
        <f ca="1">IF(OR($D191&lt;&gt;"Serviço",AND(AUTOEVENTO="Manual",$M191=$A$15)),0,
         IF(OFFSET(CRONOPLE!$F$15,$M191-$A$15,AM$13)=0,10^12,OFFSET(CRONOPLE!$F$15,$M191-$A$15,AM$13)))</f>
        <v>1000000000000</v>
      </c>
      <c r="AN191" s="171">
        <f ca="1">IF(OR($D191&lt;&gt;"Serviço",AND(AUTOEVENTO="Manual",$M191=$A$15)),0,
         IF(OFFSET(CRONOPLE!$F$15,$M191-$A$15,AN$13)=0,10^12,OFFSET(CRONOPLE!$F$15,$M191-$A$15,AN$13)))</f>
        <v>1000000000000</v>
      </c>
      <c r="AO191" s="171">
        <f ca="1">IF(OR($D191&lt;&gt;"Serviço",AND(AUTOEVENTO="Manual",$M191=$A$15)),0,
         IF(OFFSET(CRONOPLE!$F$15,$M191-$A$15,AO$13)=0,10^12,OFFSET(CRONOPLE!$F$15,$M191-$A$15,AO$13)))</f>
        <v>1000000000000</v>
      </c>
      <c r="AP191" s="171">
        <f ca="1">IF(OR($D191&lt;&gt;"Serviço",AND(AUTOEVENTO="Manual",$M191=$A$15)),0,
         IF(OFFSET(CRONOPLE!$F$15,$M191-$A$15,AP$13)=0,10^12,OFFSET(CRONOPLE!$F$15,$M191-$A$15,AP$13)))</f>
        <v>1000000000000</v>
      </c>
      <c r="AQ191" s="171">
        <f ca="1">IF(OR($D191&lt;&gt;"Serviço",AND(AUTOEVENTO="Manual",$M191=$A$15)),0,
         IF(OFFSET(CRONOPLE!$F$15,$M191-$A$15,AQ$13)=0,10^12,OFFSET(CRONOPLE!$F$15,$M191-$A$15,AQ$13)))</f>
        <v>1000000000000</v>
      </c>
      <c r="AR191" s="171">
        <f ca="1">IF(OR($D191&lt;&gt;"Serviço",AND(AUTOEVENTO="Manual",$M191=$A$15)),0,
         IF(OFFSET(CRONOPLE!$F$15,$M191-$A$15,AR$13)=0,10^12,OFFSET(CRONOPLE!$F$15,$M191-$A$15,AR$13)))</f>
        <v>1000000000000</v>
      </c>
      <c r="AS191" s="171">
        <f ca="1">IF(OR($D191&lt;&gt;"Serviço",AND(AUTOEVENTO="Manual",$M191=$A$15)),0,
         IF(OFFSET(CRONOPLE!$F$15,$M191-$A$15,AS$13)=0,10^12,OFFSET(CRONOPLE!$F$15,$M191-$A$15,AS$13)))</f>
        <v>1000000000000</v>
      </c>
      <c r="AT191" s="171">
        <f ca="1">IF(OR($D191&lt;&gt;"Serviço",AND(AUTOEVENTO="Manual",$M191=$A$15)),0,
         IF(OFFSET(CRONOPLE!$F$15,$M191-$A$15,AT$13)=0,10^12,OFFSET(CRONOPLE!$F$15,$M191-$A$15,AT$13)))</f>
        <v>1000000000000</v>
      </c>
      <c r="AU191" s="171">
        <f ca="1">IF(OR($D191&lt;&gt;"Serviço",AND(AUTOEVENTO="Manual",$M191=$A$15)),0,
         IF(OFFSET(CRONOPLE!$F$15,$M191-$A$15,AU$13)=0,10^12,OFFSET(CRONOPLE!$F$15,$M191-$A$15,AU$13)))</f>
        <v>1000000000000</v>
      </c>
      <c r="AV191" s="171">
        <f ca="1">IF(OR($D191&lt;&gt;"Serviço",AND(AUTOEVENTO="Manual",$M191=$A$15)),0,
         IF(OFFSET(CRONOPLE!$F$15,$M191-$A$15,AV$13)=0,10^12,OFFSET(CRONOPLE!$F$15,$M191-$A$15,AV$13)))</f>
        <v>1000000000000</v>
      </c>
      <c r="AX191" s="172" cm="1">
        <f t="array" aca="1" ref="AX191" ca="1">IF(OR($D191&lt;&gt;"Serviço",AND(AUTOEVENTO="Manual",$M191=$A$15),$M191&gt;(ROW(PLE.lastrow)-ROW(PLE.firstrow))),0,
           IF(OFFSET(PLE!$G$15,$M191-$A$15,AX$13)="",10^12,OFFSET(PLE!$G$15,$M191-$A$15,AX$13)))</f>
        <v>1000000000000</v>
      </c>
      <c r="AY191" s="172" cm="1">
        <f t="array" aca="1" ref="AY191" ca="1">IF(OR($D191&lt;&gt;"Serviço",AND(AUTOEVENTO="Manual",$M191=$A$15),$M191&gt;(ROW(PLE.lastrow)-ROW(PLE.firstrow))),0,
           IF(OFFSET(PLE!$G$15,$M191-$A$15,AY$13)="",10^12,OFFSET(PLE!$G$15,$M191-$A$15,AY$13)))</f>
        <v>1000000000000</v>
      </c>
      <c r="AZ191" s="172" cm="1">
        <f t="array" aca="1" ref="AZ191" ca="1">IF(OR($D191&lt;&gt;"Serviço",AND(AUTOEVENTO="Manual",$M191=$A$15),$M191&gt;(ROW(PLE.lastrow)-ROW(PLE.firstrow))),0,
           IF(OFFSET(PLE!$G$15,$M191-$A$15,AZ$13)="",10^12,OFFSET(PLE!$G$15,$M191-$A$15,AZ$13)))</f>
        <v>1000000000000</v>
      </c>
      <c r="BA191" s="172" cm="1">
        <f t="array" aca="1" ref="BA191" ca="1">IF(OR($D191&lt;&gt;"Serviço",AND(AUTOEVENTO="Manual",$M191=$A$15),$M191&gt;(ROW(PLE.lastrow)-ROW(PLE.firstrow))),0,
           IF(OFFSET(PLE!$G$15,$M191-$A$15,BA$13)="",10^12,OFFSET(PLE!$G$15,$M191-$A$15,BA$13)))</f>
        <v>1000000000000</v>
      </c>
      <c r="BB191" s="172" cm="1">
        <f t="array" aca="1" ref="BB191" ca="1">IF(OR($D191&lt;&gt;"Serviço",AND(AUTOEVENTO="Manual",$M191=$A$15),$M191&gt;(ROW(PLE.lastrow)-ROW(PLE.firstrow))),0,
           IF(OFFSET(PLE!$G$15,$M191-$A$15,BB$13)="",10^12,OFFSET(PLE!$G$15,$M191-$A$15,BB$13)))</f>
        <v>1000000000000</v>
      </c>
      <c r="BC191" s="172" cm="1">
        <f t="array" aca="1" ref="BC191" ca="1">IF(OR($D191&lt;&gt;"Serviço",AND(AUTOEVENTO="Manual",$M191=$A$15),$M191&gt;(ROW(PLE.lastrow)-ROW(PLE.firstrow))),0,
           IF(OFFSET(PLE!$G$15,$M191-$A$15,BC$13)="",10^12,OFFSET(PLE!$G$15,$M191-$A$15,BC$13)))</f>
        <v>1000000000000</v>
      </c>
      <c r="BD191" s="172" cm="1">
        <f t="array" aca="1" ref="BD191" ca="1">IF(OR($D191&lt;&gt;"Serviço",AND(AUTOEVENTO="Manual",$M191=$A$15),$M191&gt;(ROW(PLE.lastrow)-ROW(PLE.firstrow))),0,
           IF(OFFSET(PLE!$G$15,$M191-$A$15,BD$13)="",10^12,OFFSET(PLE!$G$15,$M191-$A$15,BD$13)))</f>
        <v>1000000000000</v>
      </c>
      <c r="BE191" s="172" cm="1">
        <f t="array" aca="1" ref="BE191" ca="1">IF(OR($D191&lt;&gt;"Serviço",AND(AUTOEVENTO="Manual",$M191=$A$15),$M191&gt;(ROW(PLE.lastrow)-ROW(PLE.firstrow))),0,
           IF(OFFSET(PLE!$G$15,$M191-$A$15,BE$13)="",10^12,OFFSET(PLE!$G$15,$M191-$A$15,BE$13)))</f>
        <v>1000000000000</v>
      </c>
      <c r="BF191" s="172" cm="1">
        <f t="array" aca="1" ref="BF191" ca="1">IF(OR($D191&lt;&gt;"Serviço",AND(AUTOEVENTO="Manual",$M191=$A$15),$M191&gt;(ROW(PLE.lastrow)-ROW(PLE.firstrow))),0,
           IF(OFFSET(PLE!$G$15,$M191-$A$15,BF$13)="",10^12,OFFSET(PLE!$G$15,$M191-$A$15,BF$13)))</f>
        <v>1000000000000</v>
      </c>
      <c r="BG191" s="172" cm="1">
        <f t="array" aca="1" ref="BG191" ca="1">IF(OR($D191&lt;&gt;"Serviço",AND(AUTOEVENTO="Manual",$M191=$A$15),$M191&gt;(ROW(PLE.lastrow)-ROW(PLE.firstrow))),0,
           IF(OFFSET(PLE!$G$15,$M191-$A$15,BG$13)="",10^12,OFFSET(PLE!$G$15,$M191-$A$15,BG$13)))</f>
        <v>1000000000000</v>
      </c>
    </row>
    <row r="192" spans="1:59" ht="38.25" x14ac:dyDescent="0.2">
      <c r="A192" s="7" t="str">
        <f t="shared" ca="1" si="8"/>
        <v>160</v>
      </c>
      <c r="B192" s="7" t="str">
        <f ca="1">OFFSET(ORÇAMENTO!C$15,$L192,0)</f>
        <v>S</v>
      </c>
      <c r="C192" s="7" t="str">
        <f ca="1">OFFSET(ORÇAMENTO!L$15,$L192,0)</f>
        <v>F</v>
      </c>
      <c r="D192" s="116" t="str">
        <f ca="1">OFFSET(ORÇAMENTO!N$15,$L192,0)</f>
        <v>Serviço</v>
      </c>
      <c r="E192" s="117" t="str">
        <f ca="1">OFFSET(ORÇAMENTO!O$15,$L192,0)</f>
        <v>1.9.4.0.2.</v>
      </c>
      <c r="F192" s="163" t="str">
        <f ca="1">OFFSET(ORÇAMENTO!R$15,$L192,0)</f>
        <v>LUMINÁRIA ARANDELA TIPO TARTARUGA, DE SOBREPOR, COM 1 LÂMPADA LED DE 6 W, SEM REATOR - FORNECIMENTO E INSTALAÇÃO. AF_09/2024</v>
      </c>
      <c r="G192" s="164" t="str">
        <f ca="1">IF($D192&lt;&gt;"Serviço","",OFFSET(ORÇAMENTO!S$15,$L192,0))</f>
        <v>UN</v>
      </c>
      <c r="H192" s="122" cm="1">
        <f t="array" aca="1" ref="H192" ca="1">IF($D192&lt;&gt;"Serviço",0,IF(ACOMPANHAMENTO="BM",ROUND(OFFSET(ORÇAMENTO!AJ$15,$L192,0),15-13*ORÇAMENTO!$AF$7),IF(IFERROR(CÁLCULO.FrentesPreenchidas,0)=0,0,SUM(ROUND(OFFSET($P192,0,1,1,CÁLCULO.FrentesPreenchidas),15-13*ORÇAMENTO!$AF$7)))))</f>
        <v>30</v>
      </c>
      <c r="I192" s="468"/>
      <c r="J192" s="651" t="str" cm="1">
        <f t="array" aca="1" ref="J192" ca="1">IF(OR(B192&lt;&gt;"S",CÁLCULO.FrentesPreenchidas=0),"",IF(AND(ACOMPANHAMENTO="PLE",AUTOEVENTO="Manual",OR(H192&gt;0,ORÇAMENTO!AC192="QUANT."),OR(K192="",M192=0,N192="")),"►E",IF(AND(ACOMPANHAMENTO="PLE",ORÇAMENTO!AC192="QUANT."),"►Q",IF(AND(ACOMPANHAMENTO="PLE",H192&lt;&gt;SUMPRODUCT(($Q$1:$AA$1=1)*ROUND(Q192:AA192,15))),"►S",IF(AND(COUNTIF($P$11:$AA$11,"▼")=0,H192&gt;0,I192=""),"◄M","")))))</f>
        <v/>
      </c>
      <c r="K192" s="652"/>
      <c r="L192" s="165">
        <f t="shared" ca="1" si="9"/>
        <v>177</v>
      </c>
      <c r="M192" s="166">
        <f ca="1">IF($D192&lt;&gt;"Serviço","",
          IF(AUTOEVENTO="manual",$A192,
                IF(ISERROR(MATCH($A192,$A$15:OFFSET($A192,-1,0),0)),MAX($M$15:OFFSET(M192,-1,0))+1,
                      INDEX($M$15:OFFSET(M192,-1,0),MATCH($A192,$A$15:OFFSET($A192,-1,0),0)))))</f>
        <v>9</v>
      </c>
      <c r="N192" s="167" t="str">
        <f ca="1">IF($D192&lt;&gt;"Serviço","",
         IF(AUTOEVENTO="Manual",
                IF($A192=0,"&lt;-- defina o número do agrupador",
                       OFFSET(EVENTOS!$D$15,$A192-$A$15,0)),
                OFFSET($F$15,$A192,0)))</f>
        <v>INSTALAÇÕES ELÉTRICAS</v>
      </c>
      <c r="O192" s="168"/>
      <c r="Q192" s="168"/>
      <c r="R192" s="169"/>
      <c r="S192" s="169"/>
      <c r="T192" s="169"/>
      <c r="U192" s="169"/>
      <c r="V192" s="169"/>
      <c r="W192" s="169"/>
      <c r="X192" s="169"/>
      <c r="Y192" s="169"/>
      <c r="Z192" s="170"/>
      <c r="AB192" s="453">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3">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3">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3">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3">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3">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3">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3">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3">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3">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1">
        <f ca="1">IF(OR($D192&lt;&gt;"Serviço",AND(AUTOEVENTO="Manual",$M192=$A$15)),0,
         IF(OFFSET(CRONOPLE!$F$15,$M192-$A$15,AM$13)=0,10^12,OFFSET(CRONOPLE!$F$15,$M192-$A$15,AM$13)))</f>
        <v>1000000000000</v>
      </c>
      <c r="AN192" s="171">
        <f ca="1">IF(OR($D192&lt;&gt;"Serviço",AND(AUTOEVENTO="Manual",$M192=$A$15)),0,
         IF(OFFSET(CRONOPLE!$F$15,$M192-$A$15,AN$13)=0,10^12,OFFSET(CRONOPLE!$F$15,$M192-$A$15,AN$13)))</f>
        <v>1000000000000</v>
      </c>
      <c r="AO192" s="171">
        <f ca="1">IF(OR($D192&lt;&gt;"Serviço",AND(AUTOEVENTO="Manual",$M192=$A$15)),0,
         IF(OFFSET(CRONOPLE!$F$15,$M192-$A$15,AO$13)=0,10^12,OFFSET(CRONOPLE!$F$15,$M192-$A$15,AO$13)))</f>
        <v>1000000000000</v>
      </c>
      <c r="AP192" s="171">
        <f ca="1">IF(OR($D192&lt;&gt;"Serviço",AND(AUTOEVENTO="Manual",$M192=$A$15)),0,
         IF(OFFSET(CRONOPLE!$F$15,$M192-$A$15,AP$13)=0,10^12,OFFSET(CRONOPLE!$F$15,$M192-$A$15,AP$13)))</f>
        <v>1000000000000</v>
      </c>
      <c r="AQ192" s="171">
        <f ca="1">IF(OR($D192&lt;&gt;"Serviço",AND(AUTOEVENTO="Manual",$M192=$A$15)),0,
         IF(OFFSET(CRONOPLE!$F$15,$M192-$A$15,AQ$13)=0,10^12,OFFSET(CRONOPLE!$F$15,$M192-$A$15,AQ$13)))</f>
        <v>1000000000000</v>
      </c>
      <c r="AR192" s="171">
        <f ca="1">IF(OR($D192&lt;&gt;"Serviço",AND(AUTOEVENTO="Manual",$M192=$A$15)),0,
         IF(OFFSET(CRONOPLE!$F$15,$M192-$A$15,AR$13)=0,10^12,OFFSET(CRONOPLE!$F$15,$M192-$A$15,AR$13)))</f>
        <v>1000000000000</v>
      </c>
      <c r="AS192" s="171">
        <f ca="1">IF(OR($D192&lt;&gt;"Serviço",AND(AUTOEVENTO="Manual",$M192=$A$15)),0,
         IF(OFFSET(CRONOPLE!$F$15,$M192-$A$15,AS$13)=0,10^12,OFFSET(CRONOPLE!$F$15,$M192-$A$15,AS$13)))</f>
        <v>1000000000000</v>
      </c>
      <c r="AT192" s="171">
        <f ca="1">IF(OR($D192&lt;&gt;"Serviço",AND(AUTOEVENTO="Manual",$M192=$A$15)),0,
         IF(OFFSET(CRONOPLE!$F$15,$M192-$A$15,AT$13)=0,10^12,OFFSET(CRONOPLE!$F$15,$M192-$A$15,AT$13)))</f>
        <v>1000000000000</v>
      </c>
      <c r="AU192" s="171">
        <f ca="1">IF(OR($D192&lt;&gt;"Serviço",AND(AUTOEVENTO="Manual",$M192=$A$15)),0,
         IF(OFFSET(CRONOPLE!$F$15,$M192-$A$15,AU$13)=0,10^12,OFFSET(CRONOPLE!$F$15,$M192-$A$15,AU$13)))</f>
        <v>1000000000000</v>
      </c>
      <c r="AV192" s="171">
        <f ca="1">IF(OR($D192&lt;&gt;"Serviço",AND(AUTOEVENTO="Manual",$M192=$A$15)),0,
         IF(OFFSET(CRONOPLE!$F$15,$M192-$A$15,AV$13)=0,10^12,OFFSET(CRONOPLE!$F$15,$M192-$A$15,AV$13)))</f>
        <v>1000000000000</v>
      </c>
      <c r="AX192" s="172" cm="1">
        <f t="array" aca="1" ref="AX192" ca="1">IF(OR($D192&lt;&gt;"Serviço",AND(AUTOEVENTO="Manual",$M192=$A$15),$M192&gt;(ROW(PLE.lastrow)-ROW(PLE.firstrow))),0,
           IF(OFFSET(PLE!$G$15,$M192-$A$15,AX$13)="",10^12,OFFSET(PLE!$G$15,$M192-$A$15,AX$13)))</f>
        <v>1000000000000</v>
      </c>
      <c r="AY192" s="172" cm="1">
        <f t="array" aca="1" ref="AY192" ca="1">IF(OR($D192&lt;&gt;"Serviço",AND(AUTOEVENTO="Manual",$M192=$A$15),$M192&gt;(ROW(PLE.lastrow)-ROW(PLE.firstrow))),0,
           IF(OFFSET(PLE!$G$15,$M192-$A$15,AY$13)="",10^12,OFFSET(PLE!$G$15,$M192-$A$15,AY$13)))</f>
        <v>1000000000000</v>
      </c>
      <c r="AZ192" s="172" cm="1">
        <f t="array" aca="1" ref="AZ192" ca="1">IF(OR($D192&lt;&gt;"Serviço",AND(AUTOEVENTO="Manual",$M192=$A$15),$M192&gt;(ROW(PLE.lastrow)-ROW(PLE.firstrow))),0,
           IF(OFFSET(PLE!$G$15,$M192-$A$15,AZ$13)="",10^12,OFFSET(PLE!$G$15,$M192-$A$15,AZ$13)))</f>
        <v>1000000000000</v>
      </c>
      <c r="BA192" s="172" cm="1">
        <f t="array" aca="1" ref="BA192" ca="1">IF(OR($D192&lt;&gt;"Serviço",AND(AUTOEVENTO="Manual",$M192=$A$15),$M192&gt;(ROW(PLE.lastrow)-ROW(PLE.firstrow))),0,
           IF(OFFSET(PLE!$G$15,$M192-$A$15,BA$13)="",10^12,OFFSET(PLE!$G$15,$M192-$A$15,BA$13)))</f>
        <v>1000000000000</v>
      </c>
      <c r="BB192" s="172" cm="1">
        <f t="array" aca="1" ref="BB192" ca="1">IF(OR($D192&lt;&gt;"Serviço",AND(AUTOEVENTO="Manual",$M192=$A$15),$M192&gt;(ROW(PLE.lastrow)-ROW(PLE.firstrow))),0,
           IF(OFFSET(PLE!$G$15,$M192-$A$15,BB$13)="",10^12,OFFSET(PLE!$G$15,$M192-$A$15,BB$13)))</f>
        <v>1000000000000</v>
      </c>
      <c r="BC192" s="172" cm="1">
        <f t="array" aca="1" ref="BC192" ca="1">IF(OR($D192&lt;&gt;"Serviço",AND(AUTOEVENTO="Manual",$M192=$A$15),$M192&gt;(ROW(PLE.lastrow)-ROW(PLE.firstrow))),0,
           IF(OFFSET(PLE!$G$15,$M192-$A$15,BC$13)="",10^12,OFFSET(PLE!$G$15,$M192-$A$15,BC$13)))</f>
        <v>1000000000000</v>
      </c>
      <c r="BD192" s="172" cm="1">
        <f t="array" aca="1" ref="BD192" ca="1">IF(OR($D192&lt;&gt;"Serviço",AND(AUTOEVENTO="Manual",$M192=$A$15),$M192&gt;(ROW(PLE.lastrow)-ROW(PLE.firstrow))),0,
           IF(OFFSET(PLE!$G$15,$M192-$A$15,BD$13)="",10^12,OFFSET(PLE!$G$15,$M192-$A$15,BD$13)))</f>
        <v>1000000000000</v>
      </c>
      <c r="BE192" s="172" cm="1">
        <f t="array" aca="1" ref="BE192" ca="1">IF(OR($D192&lt;&gt;"Serviço",AND(AUTOEVENTO="Manual",$M192=$A$15),$M192&gt;(ROW(PLE.lastrow)-ROW(PLE.firstrow))),0,
           IF(OFFSET(PLE!$G$15,$M192-$A$15,BE$13)="",10^12,OFFSET(PLE!$G$15,$M192-$A$15,BE$13)))</f>
        <v>1000000000000</v>
      </c>
      <c r="BF192" s="172" cm="1">
        <f t="array" aca="1" ref="BF192" ca="1">IF(OR($D192&lt;&gt;"Serviço",AND(AUTOEVENTO="Manual",$M192=$A$15),$M192&gt;(ROW(PLE.lastrow)-ROW(PLE.firstrow))),0,
           IF(OFFSET(PLE!$G$15,$M192-$A$15,BF$13)="",10^12,OFFSET(PLE!$G$15,$M192-$A$15,BF$13)))</f>
        <v>1000000000000</v>
      </c>
      <c r="BG192" s="172" cm="1">
        <f t="array" aca="1" ref="BG192" ca="1">IF(OR($D192&lt;&gt;"Serviço",AND(AUTOEVENTO="Manual",$M192=$A$15),$M192&gt;(ROW(PLE.lastrow)-ROW(PLE.firstrow))),0,
           IF(OFFSET(PLE!$G$15,$M192-$A$15,BG$13)="",10^12,OFFSET(PLE!$G$15,$M192-$A$15,BG$13)))</f>
        <v>1000000000000</v>
      </c>
    </row>
    <row r="193" spans="1:59" ht="12.75" x14ac:dyDescent="0.2">
      <c r="A193" s="7" t="str">
        <f t="shared" ca="1" si="8"/>
        <v>178.</v>
      </c>
      <c r="B193" s="7">
        <f ca="1">OFFSET(ORÇAMENTO!C$15,$L193,0)</f>
        <v>2</v>
      </c>
      <c r="C193" s="7" t="str">
        <f ca="1">OFFSET(ORÇAMENTO!L$15,$L193,0)</f>
        <v>F</v>
      </c>
      <c r="D193" s="116" t="str">
        <f ca="1">OFFSET(ORÇAMENTO!N$15,$L193,0)</f>
        <v>Nível 2</v>
      </c>
      <c r="E193" s="117" t="str">
        <f ca="1">OFFSET(ORÇAMENTO!O$15,$L193,0)</f>
        <v>1.10.</v>
      </c>
      <c r="F193" s="163" t="str">
        <f ca="1">OFFSET(ORÇAMENTO!R$15,$L193,0)</f>
        <v>REVESTIMENTOS</v>
      </c>
      <c r="G193" s="164" t="str">
        <f ca="1">IF($D193&lt;&gt;"Serviço","",OFFSET(ORÇAMENTO!S$15,$L193,0))</f>
        <v/>
      </c>
      <c r="H193" s="122" cm="1">
        <f t="array" aca="1" ref="H193" ca="1">IF($D193&lt;&gt;"Serviço",0,IF(ACOMPANHAMENTO="BM",ROUND(OFFSET(ORÇAMENTO!AJ$15,$L193,0),15-13*ORÇAMENTO!$AF$7),IF(IFERROR(CÁLCULO.FrentesPreenchidas,0)=0,0,SUM(ROUND(OFFSET($P193,0,1,1,CÁLCULO.FrentesPreenchidas),15-13*ORÇAMENTO!$AF$7)))))</f>
        <v>0</v>
      </c>
      <c r="I193" s="468"/>
      <c r="J193" s="651" t="str" cm="1">
        <f t="array" aca="1" ref="J193" ca="1">IF(OR(B193&lt;&gt;"S",CÁLCULO.FrentesPreenchidas=0),"",IF(AND(ACOMPANHAMENTO="PLE",AUTOEVENTO="Manual",OR(H193&gt;0,ORÇAMENTO!AC193="QUANT."),OR(K193="",M193=0,N193="")),"►E",IF(AND(ACOMPANHAMENTO="PLE",ORÇAMENTO!AC193="QUANT."),"►Q",IF(AND(ACOMPANHAMENTO="PLE",H193&lt;&gt;SUMPRODUCT(($Q$1:$AA$1=1)*ROUND(Q193:AA193,15))),"►S",IF(AND(COUNTIF($P$11:$AA$11,"▼")=0,H193&gt;0,I193=""),"◄M","")))))</f>
        <v/>
      </c>
      <c r="K193" s="652"/>
      <c r="L193" s="165">
        <f t="shared" ca="1" si="9"/>
        <v>178</v>
      </c>
      <c r="M193" s="166" t="str">
        <f ca="1">IF($D193&lt;&gt;"Serviço","",
          IF(AUTOEVENTO="manual",$A193,
                IF(ISERROR(MATCH($A193,$A$15:OFFSET($A193,-1,0),0)),MAX($M$15:OFFSET(M193,-1,0))+1,
                      INDEX($M$15:OFFSET(M193,-1,0),MATCH($A193,$A$15:OFFSET($A193,-1,0),0)))))</f>
        <v/>
      </c>
      <c r="N193" s="167" t="str">
        <f ca="1">IF($D193&lt;&gt;"Serviço","",
         IF(AUTOEVENTO="Manual",
                IF($A193=0,"&lt;-- defina o número do agrupador",
                       OFFSET(EVENTOS!$D$15,$A193-$A$15,0)),
                OFFSET($F$15,$A193,0)))</f>
        <v/>
      </c>
      <c r="O193" s="168"/>
      <c r="Q193" s="168"/>
      <c r="R193" s="169"/>
      <c r="S193" s="169"/>
      <c r="T193" s="169"/>
      <c r="U193" s="169"/>
      <c r="V193" s="169"/>
      <c r="W193" s="169"/>
      <c r="X193" s="169"/>
      <c r="Y193" s="169"/>
      <c r="Z193" s="170"/>
      <c r="AB193" s="453">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3">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3">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3">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3">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3">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3">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3">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3">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3">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1">
        <f ca="1">IF(OR($D193&lt;&gt;"Serviço",AND(AUTOEVENTO="Manual",$M193=$A$15)),0,
         IF(OFFSET(CRONOPLE!$F$15,$M193-$A$15,AM$13)=0,10^12,OFFSET(CRONOPLE!$F$15,$M193-$A$15,AM$13)))</f>
        <v>0</v>
      </c>
      <c r="AN193" s="171">
        <f ca="1">IF(OR($D193&lt;&gt;"Serviço",AND(AUTOEVENTO="Manual",$M193=$A$15)),0,
         IF(OFFSET(CRONOPLE!$F$15,$M193-$A$15,AN$13)=0,10^12,OFFSET(CRONOPLE!$F$15,$M193-$A$15,AN$13)))</f>
        <v>0</v>
      </c>
      <c r="AO193" s="171">
        <f ca="1">IF(OR($D193&lt;&gt;"Serviço",AND(AUTOEVENTO="Manual",$M193=$A$15)),0,
         IF(OFFSET(CRONOPLE!$F$15,$M193-$A$15,AO$13)=0,10^12,OFFSET(CRONOPLE!$F$15,$M193-$A$15,AO$13)))</f>
        <v>0</v>
      </c>
      <c r="AP193" s="171">
        <f ca="1">IF(OR($D193&lt;&gt;"Serviço",AND(AUTOEVENTO="Manual",$M193=$A$15)),0,
         IF(OFFSET(CRONOPLE!$F$15,$M193-$A$15,AP$13)=0,10^12,OFFSET(CRONOPLE!$F$15,$M193-$A$15,AP$13)))</f>
        <v>0</v>
      </c>
      <c r="AQ193" s="171">
        <f ca="1">IF(OR($D193&lt;&gt;"Serviço",AND(AUTOEVENTO="Manual",$M193=$A$15)),0,
         IF(OFFSET(CRONOPLE!$F$15,$M193-$A$15,AQ$13)=0,10^12,OFFSET(CRONOPLE!$F$15,$M193-$A$15,AQ$13)))</f>
        <v>0</v>
      </c>
      <c r="AR193" s="171">
        <f ca="1">IF(OR($D193&lt;&gt;"Serviço",AND(AUTOEVENTO="Manual",$M193=$A$15)),0,
         IF(OFFSET(CRONOPLE!$F$15,$M193-$A$15,AR$13)=0,10^12,OFFSET(CRONOPLE!$F$15,$M193-$A$15,AR$13)))</f>
        <v>0</v>
      </c>
      <c r="AS193" s="171">
        <f ca="1">IF(OR($D193&lt;&gt;"Serviço",AND(AUTOEVENTO="Manual",$M193=$A$15)),0,
         IF(OFFSET(CRONOPLE!$F$15,$M193-$A$15,AS$13)=0,10^12,OFFSET(CRONOPLE!$F$15,$M193-$A$15,AS$13)))</f>
        <v>0</v>
      </c>
      <c r="AT193" s="171">
        <f ca="1">IF(OR($D193&lt;&gt;"Serviço",AND(AUTOEVENTO="Manual",$M193=$A$15)),0,
         IF(OFFSET(CRONOPLE!$F$15,$M193-$A$15,AT$13)=0,10^12,OFFSET(CRONOPLE!$F$15,$M193-$A$15,AT$13)))</f>
        <v>0</v>
      </c>
      <c r="AU193" s="171">
        <f ca="1">IF(OR($D193&lt;&gt;"Serviço",AND(AUTOEVENTO="Manual",$M193=$A$15)),0,
         IF(OFFSET(CRONOPLE!$F$15,$M193-$A$15,AU$13)=0,10^12,OFFSET(CRONOPLE!$F$15,$M193-$A$15,AU$13)))</f>
        <v>0</v>
      </c>
      <c r="AV193" s="171">
        <f ca="1">IF(OR($D193&lt;&gt;"Serviço",AND(AUTOEVENTO="Manual",$M193=$A$15)),0,
         IF(OFFSET(CRONOPLE!$F$15,$M193-$A$15,AV$13)=0,10^12,OFFSET(CRONOPLE!$F$15,$M193-$A$15,AV$13)))</f>
        <v>0</v>
      </c>
      <c r="AX193" s="172" cm="1">
        <f t="array" aca="1" ref="AX193" ca="1">IF(OR($D193&lt;&gt;"Serviço",AND(AUTOEVENTO="Manual",$M193=$A$15),$M193&gt;(ROW(PLE.lastrow)-ROW(PLE.firstrow))),0,
           IF(OFFSET(PLE!$G$15,$M193-$A$15,AX$13)="",10^12,OFFSET(PLE!$G$15,$M193-$A$15,AX$13)))</f>
        <v>0</v>
      </c>
      <c r="AY193" s="172" cm="1">
        <f t="array" aca="1" ref="AY193" ca="1">IF(OR($D193&lt;&gt;"Serviço",AND(AUTOEVENTO="Manual",$M193=$A$15),$M193&gt;(ROW(PLE.lastrow)-ROW(PLE.firstrow))),0,
           IF(OFFSET(PLE!$G$15,$M193-$A$15,AY$13)="",10^12,OFFSET(PLE!$G$15,$M193-$A$15,AY$13)))</f>
        <v>0</v>
      </c>
      <c r="AZ193" s="172" cm="1">
        <f t="array" aca="1" ref="AZ193" ca="1">IF(OR($D193&lt;&gt;"Serviço",AND(AUTOEVENTO="Manual",$M193=$A$15),$M193&gt;(ROW(PLE.lastrow)-ROW(PLE.firstrow))),0,
           IF(OFFSET(PLE!$G$15,$M193-$A$15,AZ$13)="",10^12,OFFSET(PLE!$G$15,$M193-$A$15,AZ$13)))</f>
        <v>0</v>
      </c>
      <c r="BA193" s="172" cm="1">
        <f t="array" aca="1" ref="BA193" ca="1">IF(OR($D193&lt;&gt;"Serviço",AND(AUTOEVENTO="Manual",$M193=$A$15),$M193&gt;(ROW(PLE.lastrow)-ROW(PLE.firstrow))),0,
           IF(OFFSET(PLE!$G$15,$M193-$A$15,BA$13)="",10^12,OFFSET(PLE!$G$15,$M193-$A$15,BA$13)))</f>
        <v>0</v>
      </c>
      <c r="BB193" s="172" cm="1">
        <f t="array" aca="1" ref="BB193" ca="1">IF(OR($D193&lt;&gt;"Serviço",AND(AUTOEVENTO="Manual",$M193=$A$15),$M193&gt;(ROW(PLE.lastrow)-ROW(PLE.firstrow))),0,
           IF(OFFSET(PLE!$G$15,$M193-$A$15,BB$13)="",10^12,OFFSET(PLE!$G$15,$M193-$A$15,BB$13)))</f>
        <v>0</v>
      </c>
      <c r="BC193" s="172" cm="1">
        <f t="array" aca="1" ref="BC193" ca="1">IF(OR($D193&lt;&gt;"Serviço",AND(AUTOEVENTO="Manual",$M193=$A$15),$M193&gt;(ROW(PLE.lastrow)-ROW(PLE.firstrow))),0,
           IF(OFFSET(PLE!$G$15,$M193-$A$15,BC$13)="",10^12,OFFSET(PLE!$G$15,$M193-$A$15,BC$13)))</f>
        <v>0</v>
      </c>
      <c r="BD193" s="172" cm="1">
        <f t="array" aca="1" ref="BD193" ca="1">IF(OR($D193&lt;&gt;"Serviço",AND(AUTOEVENTO="Manual",$M193=$A$15),$M193&gt;(ROW(PLE.lastrow)-ROW(PLE.firstrow))),0,
           IF(OFFSET(PLE!$G$15,$M193-$A$15,BD$13)="",10^12,OFFSET(PLE!$G$15,$M193-$A$15,BD$13)))</f>
        <v>0</v>
      </c>
      <c r="BE193" s="172" cm="1">
        <f t="array" aca="1" ref="BE193" ca="1">IF(OR($D193&lt;&gt;"Serviço",AND(AUTOEVENTO="Manual",$M193=$A$15),$M193&gt;(ROW(PLE.lastrow)-ROW(PLE.firstrow))),0,
           IF(OFFSET(PLE!$G$15,$M193-$A$15,BE$13)="",10^12,OFFSET(PLE!$G$15,$M193-$A$15,BE$13)))</f>
        <v>0</v>
      </c>
      <c r="BF193" s="172" cm="1">
        <f t="array" aca="1" ref="BF193" ca="1">IF(OR($D193&lt;&gt;"Serviço",AND(AUTOEVENTO="Manual",$M193=$A$15),$M193&gt;(ROW(PLE.lastrow)-ROW(PLE.firstrow))),0,
           IF(OFFSET(PLE!$G$15,$M193-$A$15,BF$13)="",10^12,OFFSET(PLE!$G$15,$M193-$A$15,BF$13)))</f>
        <v>0</v>
      </c>
      <c r="BG193" s="172" cm="1">
        <f t="array" aca="1" ref="BG193" ca="1">IF(OR($D193&lt;&gt;"Serviço",AND(AUTOEVENTO="Manual",$M193=$A$15),$M193&gt;(ROW(PLE.lastrow)-ROW(PLE.firstrow))),0,
           IF(OFFSET(PLE!$G$15,$M193-$A$15,BG$13)="",10^12,OFFSET(PLE!$G$15,$M193-$A$15,BG$13)))</f>
        <v>0</v>
      </c>
    </row>
    <row r="194" spans="1:59" ht="12.75" x14ac:dyDescent="0.2">
      <c r="A194" s="7" t="str">
        <f t="shared" ca="1" si="8"/>
        <v>178.</v>
      </c>
      <c r="B194" s="7">
        <f ca="1">OFFSET(ORÇAMENTO!C$15,$L194,0)</f>
        <v>3</v>
      </c>
      <c r="C194" s="7" t="str">
        <f ca="1">OFFSET(ORÇAMENTO!L$15,$L194,0)</f>
        <v>F</v>
      </c>
      <c r="D194" s="116" t="str">
        <f ca="1">OFFSET(ORÇAMENTO!N$15,$L194,0)</f>
        <v>Nível 3</v>
      </c>
      <c r="E194" s="117" t="str">
        <f ca="1">OFFSET(ORÇAMENTO!O$15,$L194,0)</f>
        <v>1.10.1.</v>
      </c>
      <c r="F194" s="163" t="str">
        <f ca="1">OFFSET(ORÇAMENTO!R$15,$L194,0)</f>
        <v>PEITORIS</v>
      </c>
      <c r="G194" s="164" t="str">
        <f ca="1">IF($D194&lt;&gt;"Serviço","",OFFSET(ORÇAMENTO!S$15,$L194,0))</f>
        <v/>
      </c>
      <c r="H194" s="122" cm="1">
        <f t="array" aca="1" ref="H194" ca="1">IF($D194&lt;&gt;"Serviço",0,IF(ACOMPANHAMENTO="BM",ROUND(OFFSET(ORÇAMENTO!AJ$15,$L194,0),15-13*ORÇAMENTO!$AF$7),IF(IFERROR(CÁLCULO.FrentesPreenchidas,0)=0,0,SUM(ROUND(OFFSET($P194,0,1,1,CÁLCULO.FrentesPreenchidas),15-13*ORÇAMENTO!$AF$7)))))</f>
        <v>0</v>
      </c>
      <c r="I194" s="468"/>
      <c r="J194" s="651" t="str" cm="1">
        <f t="array" aca="1" ref="J194" ca="1">IF(OR(B194&lt;&gt;"S",CÁLCULO.FrentesPreenchidas=0),"",IF(AND(ACOMPANHAMENTO="PLE",AUTOEVENTO="Manual",OR(H194&gt;0,ORÇAMENTO!AC194="QUANT."),OR(K194="",M194=0,N194="")),"►E",IF(AND(ACOMPANHAMENTO="PLE",ORÇAMENTO!AC194="QUANT."),"►Q",IF(AND(ACOMPANHAMENTO="PLE",H194&lt;&gt;SUMPRODUCT(($Q$1:$AA$1=1)*ROUND(Q194:AA194,15))),"►S",IF(AND(COUNTIF($P$11:$AA$11,"▼")=0,H194&gt;0,I194=""),"◄M","")))))</f>
        <v/>
      </c>
      <c r="K194" s="652"/>
      <c r="L194" s="165">
        <f t="shared" ca="1" si="9"/>
        <v>179</v>
      </c>
      <c r="M194" s="166" t="str">
        <f ca="1">IF($D194&lt;&gt;"Serviço","",
          IF(AUTOEVENTO="manual",$A194,
                IF(ISERROR(MATCH($A194,$A$15:OFFSET($A194,-1,0),0)),MAX($M$15:OFFSET(M194,-1,0))+1,
                      INDEX($M$15:OFFSET(M194,-1,0),MATCH($A194,$A$15:OFFSET($A194,-1,0),0)))))</f>
        <v/>
      </c>
      <c r="N194" s="167" t="str">
        <f ca="1">IF($D194&lt;&gt;"Serviço","",
         IF(AUTOEVENTO="Manual",
                IF($A194=0,"&lt;-- defina o número do agrupador",
                       OFFSET(EVENTOS!$D$15,$A194-$A$15,0)),
                OFFSET($F$15,$A194,0)))</f>
        <v/>
      </c>
      <c r="O194" s="168"/>
      <c r="Q194" s="168"/>
      <c r="R194" s="169"/>
      <c r="S194" s="169"/>
      <c r="T194" s="169"/>
      <c r="U194" s="169"/>
      <c r="V194" s="169"/>
      <c r="W194" s="169"/>
      <c r="X194" s="169"/>
      <c r="Y194" s="169"/>
      <c r="Z194" s="170"/>
      <c r="AB194" s="453">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3">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3">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3">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3">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3">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3">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3">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3">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3">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1">
        <f ca="1">IF(OR($D194&lt;&gt;"Serviço",AND(AUTOEVENTO="Manual",$M194=$A$15)),0,
         IF(OFFSET(CRONOPLE!$F$15,$M194-$A$15,AM$13)=0,10^12,OFFSET(CRONOPLE!$F$15,$M194-$A$15,AM$13)))</f>
        <v>0</v>
      </c>
      <c r="AN194" s="171">
        <f ca="1">IF(OR($D194&lt;&gt;"Serviço",AND(AUTOEVENTO="Manual",$M194=$A$15)),0,
         IF(OFFSET(CRONOPLE!$F$15,$M194-$A$15,AN$13)=0,10^12,OFFSET(CRONOPLE!$F$15,$M194-$A$15,AN$13)))</f>
        <v>0</v>
      </c>
      <c r="AO194" s="171">
        <f ca="1">IF(OR($D194&lt;&gt;"Serviço",AND(AUTOEVENTO="Manual",$M194=$A$15)),0,
         IF(OFFSET(CRONOPLE!$F$15,$M194-$A$15,AO$13)=0,10^12,OFFSET(CRONOPLE!$F$15,$M194-$A$15,AO$13)))</f>
        <v>0</v>
      </c>
      <c r="AP194" s="171">
        <f ca="1">IF(OR($D194&lt;&gt;"Serviço",AND(AUTOEVENTO="Manual",$M194=$A$15)),0,
         IF(OFFSET(CRONOPLE!$F$15,$M194-$A$15,AP$13)=0,10^12,OFFSET(CRONOPLE!$F$15,$M194-$A$15,AP$13)))</f>
        <v>0</v>
      </c>
      <c r="AQ194" s="171">
        <f ca="1">IF(OR($D194&lt;&gt;"Serviço",AND(AUTOEVENTO="Manual",$M194=$A$15)),0,
         IF(OFFSET(CRONOPLE!$F$15,$M194-$A$15,AQ$13)=0,10^12,OFFSET(CRONOPLE!$F$15,$M194-$A$15,AQ$13)))</f>
        <v>0</v>
      </c>
      <c r="AR194" s="171">
        <f ca="1">IF(OR($D194&lt;&gt;"Serviço",AND(AUTOEVENTO="Manual",$M194=$A$15)),0,
         IF(OFFSET(CRONOPLE!$F$15,$M194-$A$15,AR$13)=0,10^12,OFFSET(CRONOPLE!$F$15,$M194-$A$15,AR$13)))</f>
        <v>0</v>
      </c>
      <c r="AS194" s="171">
        <f ca="1">IF(OR($D194&lt;&gt;"Serviço",AND(AUTOEVENTO="Manual",$M194=$A$15)),0,
         IF(OFFSET(CRONOPLE!$F$15,$M194-$A$15,AS$13)=0,10^12,OFFSET(CRONOPLE!$F$15,$M194-$A$15,AS$13)))</f>
        <v>0</v>
      </c>
      <c r="AT194" s="171">
        <f ca="1">IF(OR($D194&lt;&gt;"Serviço",AND(AUTOEVENTO="Manual",$M194=$A$15)),0,
         IF(OFFSET(CRONOPLE!$F$15,$M194-$A$15,AT$13)=0,10^12,OFFSET(CRONOPLE!$F$15,$M194-$A$15,AT$13)))</f>
        <v>0</v>
      </c>
      <c r="AU194" s="171">
        <f ca="1">IF(OR($D194&lt;&gt;"Serviço",AND(AUTOEVENTO="Manual",$M194=$A$15)),0,
         IF(OFFSET(CRONOPLE!$F$15,$M194-$A$15,AU$13)=0,10^12,OFFSET(CRONOPLE!$F$15,$M194-$A$15,AU$13)))</f>
        <v>0</v>
      </c>
      <c r="AV194" s="171">
        <f ca="1">IF(OR($D194&lt;&gt;"Serviço",AND(AUTOEVENTO="Manual",$M194=$A$15)),0,
         IF(OFFSET(CRONOPLE!$F$15,$M194-$A$15,AV$13)=0,10^12,OFFSET(CRONOPLE!$F$15,$M194-$A$15,AV$13)))</f>
        <v>0</v>
      </c>
      <c r="AX194" s="172" cm="1">
        <f t="array" aca="1" ref="AX194" ca="1">IF(OR($D194&lt;&gt;"Serviço",AND(AUTOEVENTO="Manual",$M194=$A$15),$M194&gt;(ROW(PLE.lastrow)-ROW(PLE.firstrow))),0,
           IF(OFFSET(PLE!$G$15,$M194-$A$15,AX$13)="",10^12,OFFSET(PLE!$G$15,$M194-$A$15,AX$13)))</f>
        <v>0</v>
      </c>
      <c r="AY194" s="172" cm="1">
        <f t="array" aca="1" ref="AY194" ca="1">IF(OR($D194&lt;&gt;"Serviço",AND(AUTOEVENTO="Manual",$M194=$A$15),$M194&gt;(ROW(PLE.lastrow)-ROW(PLE.firstrow))),0,
           IF(OFFSET(PLE!$G$15,$M194-$A$15,AY$13)="",10^12,OFFSET(PLE!$G$15,$M194-$A$15,AY$13)))</f>
        <v>0</v>
      </c>
      <c r="AZ194" s="172" cm="1">
        <f t="array" aca="1" ref="AZ194" ca="1">IF(OR($D194&lt;&gt;"Serviço",AND(AUTOEVENTO="Manual",$M194=$A$15),$M194&gt;(ROW(PLE.lastrow)-ROW(PLE.firstrow))),0,
           IF(OFFSET(PLE!$G$15,$M194-$A$15,AZ$13)="",10^12,OFFSET(PLE!$G$15,$M194-$A$15,AZ$13)))</f>
        <v>0</v>
      </c>
      <c r="BA194" s="172" cm="1">
        <f t="array" aca="1" ref="BA194" ca="1">IF(OR($D194&lt;&gt;"Serviço",AND(AUTOEVENTO="Manual",$M194=$A$15),$M194&gt;(ROW(PLE.lastrow)-ROW(PLE.firstrow))),0,
           IF(OFFSET(PLE!$G$15,$M194-$A$15,BA$13)="",10^12,OFFSET(PLE!$G$15,$M194-$A$15,BA$13)))</f>
        <v>0</v>
      </c>
      <c r="BB194" s="172" cm="1">
        <f t="array" aca="1" ref="BB194" ca="1">IF(OR($D194&lt;&gt;"Serviço",AND(AUTOEVENTO="Manual",$M194=$A$15),$M194&gt;(ROW(PLE.lastrow)-ROW(PLE.firstrow))),0,
           IF(OFFSET(PLE!$G$15,$M194-$A$15,BB$13)="",10^12,OFFSET(PLE!$G$15,$M194-$A$15,BB$13)))</f>
        <v>0</v>
      </c>
      <c r="BC194" s="172" cm="1">
        <f t="array" aca="1" ref="BC194" ca="1">IF(OR($D194&lt;&gt;"Serviço",AND(AUTOEVENTO="Manual",$M194=$A$15),$M194&gt;(ROW(PLE.lastrow)-ROW(PLE.firstrow))),0,
           IF(OFFSET(PLE!$G$15,$M194-$A$15,BC$13)="",10^12,OFFSET(PLE!$G$15,$M194-$A$15,BC$13)))</f>
        <v>0</v>
      </c>
      <c r="BD194" s="172" cm="1">
        <f t="array" aca="1" ref="BD194" ca="1">IF(OR($D194&lt;&gt;"Serviço",AND(AUTOEVENTO="Manual",$M194=$A$15),$M194&gt;(ROW(PLE.lastrow)-ROW(PLE.firstrow))),0,
           IF(OFFSET(PLE!$G$15,$M194-$A$15,BD$13)="",10^12,OFFSET(PLE!$G$15,$M194-$A$15,BD$13)))</f>
        <v>0</v>
      </c>
      <c r="BE194" s="172" cm="1">
        <f t="array" aca="1" ref="BE194" ca="1">IF(OR($D194&lt;&gt;"Serviço",AND(AUTOEVENTO="Manual",$M194=$A$15),$M194&gt;(ROW(PLE.lastrow)-ROW(PLE.firstrow))),0,
           IF(OFFSET(PLE!$G$15,$M194-$A$15,BE$13)="",10^12,OFFSET(PLE!$G$15,$M194-$A$15,BE$13)))</f>
        <v>0</v>
      </c>
      <c r="BF194" s="172" cm="1">
        <f t="array" aca="1" ref="BF194" ca="1">IF(OR($D194&lt;&gt;"Serviço",AND(AUTOEVENTO="Manual",$M194=$A$15),$M194&gt;(ROW(PLE.lastrow)-ROW(PLE.firstrow))),0,
           IF(OFFSET(PLE!$G$15,$M194-$A$15,BF$13)="",10^12,OFFSET(PLE!$G$15,$M194-$A$15,BF$13)))</f>
        <v>0</v>
      </c>
      <c r="BG194" s="172" cm="1">
        <f t="array" aca="1" ref="BG194" ca="1">IF(OR($D194&lt;&gt;"Serviço",AND(AUTOEVENTO="Manual",$M194=$A$15),$M194&gt;(ROW(PLE.lastrow)-ROW(PLE.firstrow))),0,
           IF(OFFSET(PLE!$G$15,$M194-$A$15,BG$13)="",10^12,OFFSET(PLE!$G$15,$M194-$A$15,BG$13)))</f>
        <v>0</v>
      </c>
    </row>
    <row r="195" spans="1:59" ht="25.5" x14ac:dyDescent="0.2">
      <c r="A195" s="7" t="str">
        <f t="shared" ca="1" si="8"/>
        <v>178</v>
      </c>
      <c r="B195" s="7" t="str">
        <f ca="1">OFFSET(ORÇAMENTO!C$15,$L195,0)</f>
        <v>S</v>
      </c>
      <c r="C195" s="7" t="str">
        <f ca="1">OFFSET(ORÇAMENTO!L$15,$L195,0)</f>
        <v>F</v>
      </c>
      <c r="D195" s="116" t="str">
        <f ca="1">OFFSET(ORÇAMENTO!N$15,$L195,0)</f>
        <v>Serviço</v>
      </c>
      <c r="E195" s="117" t="str">
        <f ca="1">OFFSET(ORÇAMENTO!O$15,$L195,0)</f>
        <v>1.10.1.0.1.</v>
      </c>
      <c r="F195" s="163" t="str">
        <f ca="1">OFFSET(ORÇAMENTO!R$15,$L195,0)</f>
        <v>PEITORIL LINEAR EM GRANITO OU MÁRMORE, L = 15CM, ASSENTADO COM ARGAMASSA 1:6 COM ADITIVO. AF_11/2020</v>
      </c>
      <c r="G195" s="164" t="str">
        <f ca="1">IF($D195&lt;&gt;"Serviço","",OFFSET(ORÇAMENTO!S$15,$L195,0))</f>
        <v>M</v>
      </c>
      <c r="H195" s="122" cm="1">
        <f t="array" aca="1" ref="H195" ca="1">IF($D195&lt;&gt;"Serviço",0,IF(ACOMPANHAMENTO="BM",ROUND(OFFSET(ORÇAMENTO!AJ$15,$L195,0),15-13*ORÇAMENTO!$AF$7),IF(IFERROR(CÁLCULO.FrentesPreenchidas,0)=0,0,SUM(ROUND(OFFSET($P195,0,1,1,CÁLCULO.FrentesPreenchidas),15-13*ORÇAMENTO!$AF$7)))))</f>
        <v>162</v>
      </c>
      <c r="I195" s="468"/>
      <c r="J195" s="651" t="str" cm="1">
        <f t="array" aca="1" ref="J195" ca="1">IF(OR(B195&lt;&gt;"S",CÁLCULO.FrentesPreenchidas=0),"",IF(AND(ACOMPANHAMENTO="PLE",AUTOEVENTO="Manual",OR(H195&gt;0,ORÇAMENTO!AC195="QUANT."),OR(K195="",M195=0,N195="")),"►E",IF(AND(ACOMPANHAMENTO="PLE",ORÇAMENTO!AC195="QUANT."),"►Q",IF(AND(ACOMPANHAMENTO="PLE",H195&lt;&gt;SUMPRODUCT(($Q$1:$AA$1=1)*ROUND(Q195:AA195,15))),"►S",IF(AND(COUNTIF($P$11:$AA$11,"▼")=0,H195&gt;0,I195=""),"◄M","")))))</f>
        <v/>
      </c>
      <c r="K195" s="652"/>
      <c r="L195" s="165">
        <f t="shared" ca="1" si="9"/>
        <v>180</v>
      </c>
      <c r="M195" s="166">
        <f ca="1">IF($D195&lt;&gt;"Serviço","",
          IF(AUTOEVENTO="manual",$A195,
                IF(ISERROR(MATCH($A195,$A$15:OFFSET($A195,-1,0),0)),MAX($M$15:OFFSET(M195,-1,0))+1,
                      INDEX($M$15:OFFSET(M195,-1,0),MATCH($A195,$A$15:OFFSET($A195,-1,0),0)))))</f>
        <v>10</v>
      </c>
      <c r="N195" s="167" t="str">
        <f ca="1">IF($D195&lt;&gt;"Serviço","",
         IF(AUTOEVENTO="Manual",
                IF($A195=0,"&lt;-- defina o número do agrupador",
                       OFFSET(EVENTOS!$D$15,$A195-$A$15,0)),
                OFFSET($F$15,$A195,0)))</f>
        <v>REVESTIMENTOS</v>
      </c>
      <c r="O195" s="168"/>
      <c r="Q195" s="168"/>
      <c r="R195" s="169"/>
      <c r="S195" s="169"/>
      <c r="T195" s="169"/>
      <c r="U195" s="169"/>
      <c r="V195" s="169"/>
      <c r="W195" s="169"/>
      <c r="X195" s="169"/>
      <c r="Y195" s="169"/>
      <c r="Z195" s="170"/>
      <c r="AB195" s="453">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3">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3">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3">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3">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3">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3">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3">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3">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3">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1">
        <f ca="1">IF(OR($D195&lt;&gt;"Serviço",AND(AUTOEVENTO="Manual",$M195=$A$15)),0,
         IF(OFFSET(CRONOPLE!$F$15,$M195-$A$15,AM$13)=0,10^12,OFFSET(CRONOPLE!$F$15,$M195-$A$15,AM$13)))</f>
        <v>1000000000000</v>
      </c>
      <c r="AN195" s="171">
        <f ca="1">IF(OR($D195&lt;&gt;"Serviço",AND(AUTOEVENTO="Manual",$M195=$A$15)),0,
         IF(OFFSET(CRONOPLE!$F$15,$M195-$A$15,AN$13)=0,10^12,OFFSET(CRONOPLE!$F$15,$M195-$A$15,AN$13)))</f>
        <v>1000000000000</v>
      </c>
      <c r="AO195" s="171">
        <f ca="1">IF(OR($D195&lt;&gt;"Serviço",AND(AUTOEVENTO="Manual",$M195=$A$15)),0,
         IF(OFFSET(CRONOPLE!$F$15,$M195-$A$15,AO$13)=0,10^12,OFFSET(CRONOPLE!$F$15,$M195-$A$15,AO$13)))</f>
        <v>1000000000000</v>
      </c>
      <c r="AP195" s="171">
        <f ca="1">IF(OR($D195&lt;&gt;"Serviço",AND(AUTOEVENTO="Manual",$M195=$A$15)),0,
         IF(OFFSET(CRONOPLE!$F$15,$M195-$A$15,AP$13)=0,10^12,OFFSET(CRONOPLE!$F$15,$M195-$A$15,AP$13)))</f>
        <v>1000000000000</v>
      </c>
      <c r="AQ195" s="171">
        <f ca="1">IF(OR($D195&lt;&gt;"Serviço",AND(AUTOEVENTO="Manual",$M195=$A$15)),0,
         IF(OFFSET(CRONOPLE!$F$15,$M195-$A$15,AQ$13)=0,10^12,OFFSET(CRONOPLE!$F$15,$M195-$A$15,AQ$13)))</f>
        <v>1000000000000</v>
      </c>
      <c r="AR195" s="171">
        <f ca="1">IF(OR($D195&lt;&gt;"Serviço",AND(AUTOEVENTO="Manual",$M195=$A$15)),0,
         IF(OFFSET(CRONOPLE!$F$15,$M195-$A$15,AR$13)=0,10^12,OFFSET(CRONOPLE!$F$15,$M195-$A$15,AR$13)))</f>
        <v>1000000000000</v>
      </c>
      <c r="AS195" s="171">
        <f ca="1">IF(OR($D195&lt;&gt;"Serviço",AND(AUTOEVENTO="Manual",$M195=$A$15)),0,
         IF(OFFSET(CRONOPLE!$F$15,$M195-$A$15,AS$13)=0,10^12,OFFSET(CRONOPLE!$F$15,$M195-$A$15,AS$13)))</f>
        <v>1000000000000</v>
      </c>
      <c r="AT195" s="171">
        <f ca="1">IF(OR($D195&lt;&gt;"Serviço",AND(AUTOEVENTO="Manual",$M195=$A$15)),0,
         IF(OFFSET(CRONOPLE!$F$15,$M195-$A$15,AT$13)=0,10^12,OFFSET(CRONOPLE!$F$15,$M195-$A$15,AT$13)))</f>
        <v>1000000000000</v>
      </c>
      <c r="AU195" s="171">
        <f ca="1">IF(OR($D195&lt;&gt;"Serviço",AND(AUTOEVENTO="Manual",$M195=$A$15)),0,
         IF(OFFSET(CRONOPLE!$F$15,$M195-$A$15,AU$13)=0,10^12,OFFSET(CRONOPLE!$F$15,$M195-$A$15,AU$13)))</f>
        <v>1000000000000</v>
      </c>
      <c r="AV195" s="171">
        <f ca="1">IF(OR($D195&lt;&gt;"Serviço",AND(AUTOEVENTO="Manual",$M195=$A$15)),0,
         IF(OFFSET(CRONOPLE!$F$15,$M195-$A$15,AV$13)=0,10^12,OFFSET(CRONOPLE!$F$15,$M195-$A$15,AV$13)))</f>
        <v>1000000000000</v>
      </c>
      <c r="AX195" s="172" cm="1">
        <f t="array" aca="1" ref="AX195" ca="1">IF(OR($D195&lt;&gt;"Serviço",AND(AUTOEVENTO="Manual",$M195=$A$15),$M195&gt;(ROW(PLE.lastrow)-ROW(PLE.firstrow))),0,
           IF(OFFSET(PLE!$G$15,$M195-$A$15,AX$13)="",10^12,OFFSET(PLE!$G$15,$M195-$A$15,AX$13)))</f>
        <v>1000000000000</v>
      </c>
      <c r="AY195" s="172" cm="1">
        <f t="array" aca="1" ref="AY195" ca="1">IF(OR($D195&lt;&gt;"Serviço",AND(AUTOEVENTO="Manual",$M195=$A$15),$M195&gt;(ROW(PLE.lastrow)-ROW(PLE.firstrow))),0,
           IF(OFFSET(PLE!$G$15,$M195-$A$15,AY$13)="",10^12,OFFSET(PLE!$G$15,$M195-$A$15,AY$13)))</f>
        <v>1000000000000</v>
      </c>
      <c r="AZ195" s="172" cm="1">
        <f t="array" aca="1" ref="AZ195" ca="1">IF(OR($D195&lt;&gt;"Serviço",AND(AUTOEVENTO="Manual",$M195=$A$15),$M195&gt;(ROW(PLE.lastrow)-ROW(PLE.firstrow))),0,
           IF(OFFSET(PLE!$G$15,$M195-$A$15,AZ$13)="",10^12,OFFSET(PLE!$G$15,$M195-$A$15,AZ$13)))</f>
        <v>1000000000000</v>
      </c>
      <c r="BA195" s="172" cm="1">
        <f t="array" aca="1" ref="BA195" ca="1">IF(OR($D195&lt;&gt;"Serviço",AND(AUTOEVENTO="Manual",$M195=$A$15),$M195&gt;(ROW(PLE.lastrow)-ROW(PLE.firstrow))),0,
           IF(OFFSET(PLE!$G$15,$M195-$A$15,BA$13)="",10^12,OFFSET(PLE!$G$15,$M195-$A$15,BA$13)))</f>
        <v>1000000000000</v>
      </c>
      <c r="BB195" s="172" cm="1">
        <f t="array" aca="1" ref="BB195" ca="1">IF(OR($D195&lt;&gt;"Serviço",AND(AUTOEVENTO="Manual",$M195=$A$15),$M195&gt;(ROW(PLE.lastrow)-ROW(PLE.firstrow))),0,
           IF(OFFSET(PLE!$G$15,$M195-$A$15,BB$13)="",10^12,OFFSET(PLE!$G$15,$M195-$A$15,BB$13)))</f>
        <v>1000000000000</v>
      </c>
      <c r="BC195" s="172" cm="1">
        <f t="array" aca="1" ref="BC195" ca="1">IF(OR($D195&lt;&gt;"Serviço",AND(AUTOEVENTO="Manual",$M195=$A$15),$M195&gt;(ROW(PLE.lastrow)-ROW(PLE.firstrow))),0,
           IF(OFFSET(PLE!$G$15,$M195-$A$15,BC$13)="",10^12,OFFSET(PLE!$G$15,$M195-$A$15,BC$13)))</f>
        <v>1000000000000</v>
      </c>
      <c r="BD195" s="172" cm="1">
        <f t="array" aca="1" ref="BD195" ca="1">IF(OR($D195&lt;&gt;"Serviço",AND(AUTOEVENTO="Manual",$M195=$A$15),$M195&gt;(ROW(PLE.lastrow)-ROW(PLE.firstrow))),0,
           IF(OFFSET(PLE!$G$15,$M195-$A$15,BD$13)="",10^12,OFFSET(PLE!$G$15,$M195-$A$15,BD$13)))</f>
        <v>1000000000000</v>
      </c>
      <c r="BE195" s="172" cm="1">
        <f t="array" aca="1" ref="BE195" ca="1">IF(OR($D195&lt;&gt;"Serviço",AND(AUTOEVENTO="Manual",$M195=$A$15),$M195&gt;(ROW(PLE.lastrow)-ROW(PLE.firstrow))),0,
           IF(OFFSET(PLE!$G$15,$M195-$A$15,BE$13)="",10^12,OFFSET(PLE!$G$15,$M195-$A$15,BE$13)))</f>
        <v>1000000000000</v>
      </c>
      <c r="BF195" s="172" cm="1">
        <f t="array" aca="1" ref="BF195" ca="1">IF(OR($D195&lt;&gt;"Serviço",AND(AUTOEVENTO="Manual",$M195=$A$15),$M195&gt;(ROW(PLE.lastrow)-ROW(PLE.firstrow))),0,
           IF(OFFSET(PLE!$G$15,$M195-$A$15,BF$13)="",10^12,OFFSET(PLE!$G$15,$M195-$A$15,BF$13)))</f>
        <v>1000000000000</v>
      </c>
      <c r="BG195" s="172" cm="1">
        <f t="array" aca="1" ref="BG195" ca="1">IF(OR($D195&lt;&gt;"Serviço",AND(AUTOEVENTO="Manual",$M195=$A$15),$M195&gt;(ROW(PLE.lastrow)-ROW(PLE.firstrow))),0,
           IF(OFFSET(PLE!$G$15,$M195-$A$15,BG$13)="",10^12,OFFSET(PLE!$G$15,$M195-$A$15,BG$13)))</f>
        <v>1000000000000</v>
      </c>
    </row>
    <row r="196" spans="1:59" ht="12.75" x14ac:dyDescent="0.2">
      <c r="A196" s="7" t="str">
        <f t="shared" ca="1" si="8"/>
        <v>178</v>
      </c>
      <c r="B196" s="7">
        <f ca="1">OFFSET(ORÇAMENTO!C$15,$L196,0)</f>
        <v>3</v>
      </c>
      <c r="C196" s="7" t="str">
        <f ca="1">OFFSET(ORÇAMENTO!L$15,$L196,0)</f>
        <v>F</v>
      </c>
      <c r="D196" s="116" t="str">
        <f ca="1">OFFSET(ORÇAMENTO!N$15,$L196,0)</f>
        <v>Nível 3</v>
      </c>
      <c r="E196" s="117" t="str">
        <f ca="1">OFFSET(ORÇAMENTO!O$15,$L196,0)</f>
        <v>1.10.2.</v>
      </c>
      <c r="F196" s="163" t="str">
        <f ca="1">OFFSET(ORÇAMENTO!R$15,$L196,0)</f>
        <v>EXTERNO</v>
      </c>
      <c r="G196" s="164" t="str">
        <f ca="1">IF($D196&lt;&gt;"Serviço","",OFFSET(ORÇAMENTO!S$15,$L196,0))</f>
        <v/>
      </c>
      <c r="H196" s="122" cm="1">
        <f t="array" aca="1" ref="H196" ca="1">IF($D196&lt;&gt;"Serviço",0,IF(ACOMPANHAMENTO="BM",ROUND(OFFSET(ORÇAMENTO!AJ$15,$L196,0),15-13*ORÇAMENTO!$AF$7),IF(IFERROR(CÁLCULO.FrentesPreenchidas,0)=0,0,SUM(ROUND(OFFSET($P196,0,1,1,CÁLCULO.FrentesPreenchidas),15-13*ORÇAMENTO!$AF$7)))))</f>
        <v>0</v>
      </c>
      <c r="I196" s="468"/>
      <c r="J196" s="651" t="str" cm="1">
        <f t="array" aca="1" ref="J196" ca="1">IF(OR(B196&lt;&gt;"S",CÁLCULO.FrentesPreenchidas=0),"",IF(AND(ACOMPANHAMENTO="PLE",AUTOEVENTO="Manual",OR(H196&gt;0,ORÇAMENTO!AC196="QUANT."),OR(K196="",M196=0,N196="")),"►E",IF(AND(ACOMPANHAMENTO="PLE",ORÇAMENTO!AC196="QUANT."),"►Q",IF(AND(ACOMPANHAMENTO="PLE",H196&lt;&gt;SUMPRODUCT(($Q$1:$AA$1=1)*ROUND(Q196:AA196,15))),"►S",IF(AND(COUNTIF($P$11:$AA$11,"▼")=0,H196&gt;0,I196=""),"◄M","")))))</f>
        <v/>
      </c>
      <c r="K196" s="652"/>
      <c r="L196" s="165">
        <f t="shared" ca="1" si="9"/>
        <v>181</v>
      </c>
      <c r="M196" s="166" t="str">
        <f ca="1">IF($D196&lt;&gt;"Serviço","",
          IF(AUTOEVENTO="manual",$A196,
                IF(ISERROR(MATCH($A196,$A$15:OFFSET($A196,-1,0),0)),MAX($M$15:OFFSET(M196,-1,0))+1,
                      INDEX($M$15:OFFSET(M196,-1,0),MATCH($A196,$A$15:OFFSET($A196,-1,0),0)))))</f>
        <v/>
      </c>
      <c r="N196" s="167" t="str">
        <f ca="1">IF($D196&lt;&gt;"Serviço","",
         IF(AUTOEVENTO="Manual",
                IF($A196=0,"&lt;-- defina o número do agrupador",
                       OFFSET(EVENTOS!$D$15,$A196-$A$15,0)),
                OFFSET($F$15,$A196,0)))</f>
        <v/>
      </c>
      <c r="O196" s="168"/>
      <c r="Q196" s="168"/>
      <c r="R196" s="169"/>
      <c r="S196" s="169"/>
      <c r="T196" s="169"/>
      <c r="U196" s="169"/>
      <c r="V196" s="169"/>
      <c r="W196" s="169"/>
      <c r="X196" s="169"/>
      <c r="Y196" s="169"/>
      <c r="Z196" s="170"/>
      <c r="AB196" s="453">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3">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3">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3">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3">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3">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3">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3">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3">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3">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1">
        <f ca="1">IF(OR($D196&lt;&gt;"Serviço",AND(AUTOEVENTO="Manual",$M196=$A$15)),0,
         IF(OFFSET(CRONOPLE!$F$15,$M196-$A$15,AM$13)=0,10^12,OFFSET(CRONOPLE!$F$15,$M196-$A$15,AM$13)))</f>
        <v>0</v>
      </c>
      <c r="AN196" s="171">
        <f ca="1">IF(OR($D196&lt;&gt;"Serviço",AND(AUTOEVENTO="Manual",$M196=$A$15)),0,
         IF(OFFSET(CRONOPLE!$F$15,$M196-$A$15,AN$13)=0,10^12,OFFSET(CRONOPLE!$F$15,$M196-$A$15,AN$13)))</f>
        <v>0</v>
      </c>
      <c r="AO196" s="171">
        <f ca="1">IF(OR($D196&lt;&gt;"Serviço",AND(AUTOEVENTO="Manual",$M196=$A$15)),0,
         IF(OFFSET(CRONOPLE!$F$15,$M196-$A$15,AO$13)=0,10^12,OFFSET(CRONOPLE!$F$15,$M196-$A$15,AO$13)))</f>
        <v>0</v>
      </c>
      <c r="AP196" s="171">
        <f ca="1">IF(OR($D196&lt;&gt;"Serviço",AND(AUTOEVENTO="Manual",$M196=$A$15)),0,
         IF(OFFSET(CRONOPLE!$F$15,$M196-$A$15,AP$13)=0,10^12,OFFSET(CRONOPLE!$F$15,$M196-$A$15,AP$13)))</f>
        <v>0</v>
      </c>
      <c r="AQ196" s="171">
        <f ca="1">IF(OR($D196&lt;&gt;"Serviço",AND(AUTOEVENTO="Manual",$M196=$A$15)),0,
         IF(OFFSET(CRONOPLE!$F$15,$M196-$A$15,AQ$13)=0,10^12,OFFSET(CRONOPLE!$F$15,$M196-$A$15,AQ$13)))</f>
        <v>0</v>
      </c>
      <c r="AR196" s="171">
        <f ca="1">IF(OR($D196&lt;&gt;"Serviço",AND(AUTOEVENTO="Manual",$M196=$A$15)),0,
         IF(OFFSET(CRONOPLE!$F$15,$M196-$A$15,AR$13)=0,10^12,OFFSET(CRONOPLE!$F$15,$M196-$A$15,AR$13)))</f>
        <v>0</v>
      </c>
      <c r="AS196" s="171">
        <f ca="1">IF(OR($D196&lt;&gt;"Serviço",AND(AUTOEVENTO="Manual",$M196=$A$15)),0,
         IF(OFFSET(CRONOPLE!$F$15,$M196-$A$15,AS$13)=0,10^12,OFFSET(CRONOPLE!$F$15,$M196-$A$15,AS$13)))</f>
        <v>0</v>
      </c>
      <c r="AT196" s="171">
        <f ca="1">IF(OR($D196&lt;&gt;"Serviço",AND(AUTOEVENTO="Manual",$M196=$A$15)),0,
         IF(OFFSET(CRONOPLE!$F$15,$M196-$A$15,AT$13)=0,10^12,OFFSET(CRONOPLE!$F$15,$M196-$A$15,AT$13)))</f>
        <v>0</v>
      </c>
      <c r="AU196" s="171">
        <f ca="1">IF(OR($D196&lt;&gt;"Serviço",AND(AUTOEVENTO="Manual",$M196=$A$15)),0,
         IF(OFFSET(CRONOPLE!$F$15,$M196-$A$15,AU$13)=0,10^12,OFFSET(CRONOPLE!$F$15,$M196-$A$15,AU$13)))</f>
        <v>0</v>
      </c>
      <c r="AV196" s="171">
        <f ca="1">IF(OR($D196&lt;&gt;"Serviço",AND(AUTOEVENTO="Manual",$M196=$A$15)),0,
         IF(OFFSET(CRONOPLE!$F$15,$M196-$A$15,AV$13)=0,10^12,OFFSET(CRONOPLE!$F$15,$M196-$A$15,AV$13)))</f>
        <v>0</v>
      </c>
      <c r="AX196" s="172" cm="1">
        <f t="array" aca="1" ref="AX196" ca="1">IF(OR($D196&lt;&gt;"Serviço",AND(AUTOEVENTO="Manual",$M196=$A$15),$M196&gt;(ROW(PLE.lastrow)-ROW(PLE.firstrow))),0,
           IF(OFFSET(PLE!$G$15,$M196-$A$15,AX$13)="",10^12,OFFSET(PLE!$G$15,$M196-$A$15,AX$13)))</f>
        <v>0</v>
      </c>
      <c r="AY196" s="172" cm="1">
        <f t="array" aca="1" ref="AY196" ca="1">IF(OR($D196&lt;&gt;"Serviço",AND(AUTOEVENTO="Manual",$M196=$A$15),$M196&gt;(ROW(PLE.lastrow)-ROW(PLE.firstrow))),0,
           IF(OFFSET(PLE!$G$15,$M196-$A$15,AY$13)="",10^12,OFFSET(PLE!$G$15,$M196-$A$15,AY$13)))</f>
        <v>0</v>
      </c>
      <c r="AZ196" s="172" cm="1">
        <f t="array" aca="1" ref="AZ196" ca="1">IF(OR($D196&lt;&gt;"Serviço",AND(AUTOEVENTO="Manual",$M196=$A$15),$M196&gt;(ROW(PLE.lastrow)-ROW(PLE.firstrow))),0,
           IF(OFFSET(PLE!$G$15,$M196-$A$15,AZ$13)="",10^12,OFFSET(PLE!$G$15,$M196-$A$15,AZ$13)))</f>
        <v>0</v>
      </c>
      <c r="BA196" s="172" cm="1">
        <f t="array" aca="1" ref="BA196" ca="1">IF(OR($D196&lt;&gt;"Serviço",AND(AUTOEVENTO="Manual",$M196=$A$15),$M196&gt;(ROW(PLE.lastrow)-ROW(PLE.firstrow))),0,
           IF(OFFSET(PLE!$G$15,$M196-$A$15,BA$13)="",10^12,OFFSET(PLE!$G$15,$M196-$A$15,BA$13)))</f>
        <v>0</v>
      </c>
      <c r="BB196" s="172" cm="1">
        <f t="array" aca="1" ref="BB196" ca="1">IF(OR($D196&lt;&gt;"Serviço",AND(AUTOEVENTO="Manual",$M196=$A$15),$M196&gt;(ROW(PLE.lastrow)-ROW(PLE.firstrow))),0,
           IF(OFFSET(PLE!$G$15,$M196-$A$15,BB$13)="",10^12,OFFSET(PLE!$G$15,$M196-$A$15,BB$13)))</f>
        <v>0</v>
      </c>
      <c r="BC196" s="172" cm="1">
        <f t="array" aca="1" ref="BC196" ca="1">IF(OR($D196&lt;&gt;"Serviço",AND(AUTOEVENTO="Manual",$M196=$A$15),$M196&gt;(ROW(PLE.lastrow)-ROW(PLE.firstrow))),0,
           IF(OFFSET(PLE!$G$15,$M196-$A$15,BC$13)="",10^12,OFFSET(PLE!$G$15,$M196-$A$15,BC$13)))</f>
        <v>0</v>
      </c>
      <c r="BD196" s="172" cm="1">
        <f t="array" aca="1" ref="BD196" ca="1">IF(OR($D196&lt;&gt;"Serviço",AND(AUTOEVENTO="Manual",$M196=$A$15),$M196&gt;(ROW(PLE.lastrow)-ROW(PLE.firstrow))),0,
           IF(OFFSET(PLE!$G$15,$M196-$A$15,BD$13)="",10^12,OFFSET(PLE!$G$15,$M196-$A$15,BD$13)))</f>
        <v>0</v>
      </c>
      <c r="BE196" s="172" cm="1">
        <f t="array" aca="1" ref="BE196" ca="1">IF(OR($D196&lt;&gt;"Serviço",AND(AUTOEVENTO="Manual",$M196=$A$15),$M196&gt;(ROW(PLE.lastrow)-ROW(PLE.firstrow))),0,
           IF(OFFSET(PLE!$G$15,$M196-$A$15,BE$13)="",10^12,OFFSET(PLE!$G$15,$M196-$A$15,BE$13)))</f>
        <v>0</v>
      </c>
      <c r="BF196" s="172" cm="1">
        <f t="array" aca="1" ref="BF196" ca="1">IF(OR($D196&lt;&gt;"Serviço",AND(AUTOEVENTO="Manual",$M196=$A$15),$M196&gt;(ROW(PLE.lastrow)-ROW(PLE.firstrow))),0,
           IF(OFFSET(PLE!$G$15,$M196-$A$15,BF$13)="",10^12,OFFSET(PLE!$G$15,$M196-$A$15,BF$13)))</f>
        <v>0</v>
      </c>
      <c r="BG196" s="172" cm="1">
        <f t="array" aca="1" ref="BG196" ca="1">IF(OR($D196&lt;&gt;"Serviço",AND(AUTOEVENTO="Manual",$M196=$A$15),$M196&gt;(ROW(PLE.lastrow)-ROW(PLE.firstrow))),0,
           IF(OFFSET(PLE!$G$15,$M196-$A$15,BG$13)="",10^12,OFFSET(PLE!$G$15,$M196-$A$15,BG$13)))</f>
        <v>0</v>
      </c>
    </row>
    <row r="197" spans="1:59" ht="12.75" x14ac:dyDescent="0.2">
      <c r="A197" s="7" t="str">
        <f t="shared" ca="1" si="8"/>
        <v>178</v>
      </c>
      <c r="B197" s="7">
        <f ca="1">OFFSET(ORÇAMENTO!C$15,$L197,0)</f>
        <v>4</v>
      </c>
      <c r="C197" s="7" t="str">
        <f ca="1">OFFSET(ORÇAMENTO!L$15,$L197,0)</f>
        <v>F</v>
      </c>
      <c r="D197" s="116" t="str">
        <f ca="1">OFFSET(ORÇAMENTO!N$15,$L197,0)</f>
        <v>Nível 4</v>
      </c>
      <c r="E197" s="117" t="str">
        <f ca="1">OFFSET(ORÇAMENTO!O$15,$L197,0)</f>
        <v>1.10.2.1.</v>
      </c>
      <c r="F197" s="163" t="str">
        <f ca="1">OFFSET(ORÇAMENTO!R$15,$L197,0)</f>
        <v>PISOS</v>
      </c>
      <c r="G197" s="164" t="str">
        <f ca="1">IF($D197&lt;&gt;"Serviço","",OFFSET(ORÇAMENTO!S$15,$L197,0))</f>
        <v/>
      </c>
      <c r="H197" s="122" cm="1">
        <f t="array" aca="1" ref="H197" ca="1">IF($D197&lt;&gt;"Serviço",0,IF(ACOMPANHAMENTO="BM",ROUND(OFFSET(ORÇAMENTO!AJ$15,$L197,0),15-13*ORÇAMENTO!$AF$7),IF(IFERROR(CÁLCULO.FrentesPreenchidas,0)=0,0,SUM(ROUND(OFFSET($P197,0,1,1,CÁLCULO.FrentesPreenchidas),15-13*ORÇAMENTO!$AF$7)))))</f>
        <v>0</v>
      </c>
      <c r="I197" s="468"/>
      <c r="J197" s="651" t="str" cm="1">
        <f t="array" aca="1" ref="J197" ca="1">IF(OR(B197&lt;&gt;"S",CÁLCULO.FrentesPreenchidas=0),"",IF(AND(ACOMPANHAMENTO="PLE",AUTOEVENTO="Manual",OR(H197&gt;0,ORÇAMENTO!AC197="QUANT."),OR(K197="",M197=0,N197="")),"►E",IF(AND(ACOMPANHAMENTO="PLE",ORÇAMENTO!AC197="QUANT."),"►Q",IF(AND(ACOMPANHAMENTO="PLE",H197&lt;&gt;SUMPRODUCT(($Q$1:$AA$1=1)*ROUND(Q197:AA197,15))),"►S",IF(AND(COUNTIF($P$11:$AA$11,"▼")=0,H197&gt;0,I197=""),"◄M","")))))</f>
        <v/>
      </c>
      <c r="K197" s="652"/>
      <c r="L197" s="165">
        <f t="shared" ca="1" si="9"/>
        <v>182</v>
      </c>
      <c r="M197" s="166" t="str">
        <f ca="1">IF($D197&lt;&gt;"Serviço","",
          IF(AUTOEVENTO="manual",$A197,
                IF(ISERROR(MATCH($A197,$A$15:OFFSET($A197,-1,0),0)),MAX($M$15:OFFSET(M197,-1,0))+1,
                      INDEX($M$15:OFFSET(M197,-1,0),MATCH($A197,$A$15:OFFSET($A197,-1,0),0)))))</f>
        <v/>
      </c>
      <c r="N197" s="167" t="str">
        <f ca="1">IF($D197&lt;&gt;"Serviço","",
         IF(AUTOEVENTO="Manual",
                IF($A197=0,"&lt;-- defina o número do agrupador",
                       OFFSET(EVENTOS!$D$15,$A197-$A$15,0)),
                OFFSET($F$15,$A197,0)))</f>
        <v/>
      </c>
      <c r="O197" s="168"/>
      <c r="Q197" s="168"/>
      <c r="R197" s="169"/>
      <c r="S197" s="169"/>
      <c r="T197" s="169"/>
      <c r="U197" s="169"/>
      <c r="V197" s="169"/>
      <c r="W197" s="169"/>
      <c r="X197" s="169"/>
      <c r="Y197" s="169"/>
      <c r="Z197" s="170"/>
      <c r="AB197" s="453">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3">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3">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3">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3">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3">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3">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3">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3">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3">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1">
        <f ca="1">IF(OR($D197&lt;&gt;"Serviço",AND(AUTOEVENTO="Manual",$M197=$A$15)),0,
         IF(OFFSET(CRONOPLE!$F$15,$M197-$A$15,AM$13)=0,10^12,OFFSET(CRONOPLE!$F$15,$M197-$A$15,AM$13)))</f>
        <v>0</v>
      </c>
      <c r="AN197" s="171">
        <f ca="1">IF(OR($D197&lt;&gt;"Serviço",AND(AUTOEVENTO="Manual",$M197=$A$15)),0,
         IF(OFFSET(CRONOPLE!$F$15,$M197-$A$15,AN$13)=0,10^12,OFFSET(CRONOPLE!$F$15,$M197-$A$15,AN$13)))</f>
        <v>0</v>
      </c>
      <c r="AO197" s="171">
        <f ca="1">IF(OR($D197&lt;&gt;"Serviço",AND(AUTOEVENTO="Manual",$M197=$A$15)),0,
         IF(OFFSET(CRONOPLE!$F$15,$M197-$A$15,AO$13)=0,10^12,OFFSET(CRONOPLE!$F$15,$M197-$A$15,AO$13)))</f>
        <v>0</v>
      </c>
      <c r="AP197" s="171">
        <f ca="1">IF(OR($D197&lt;&gt;"Serviço",AND(AUTOEVENTO="Manual",$M197=$A$15)),0,
         IF(OFFSET(CRONOPLE!$F$15,$M197-$A$15,AP$13)=0,10^12,OFFSET(CRONOPLE!$F$15,$M197-$A$15,AP$13)))</f>
        <v>0</v>
      </c>
      <c r="AQ197" s="171">
        <f ca="1">IF(OR($D197&lt;&gt;"Serviço",AND(AUTOEVENTO="Manual",$M197=$A$15)),0,
         IF(OFFSET(CRONOPLE!$F$15,$M197-$A$15,AQ$13)=0,10^12,OFFSET(CRONOPLE!$F$15,$M197-$A$15,AQ$13)))</f>
        <v>0</v>
      </c>
      <c r="AR197" s="171">
        <f ca="1">IF(OR($D197&lt;&gt;"Serviço",AND(AUTOEVENTO="Manual",$M197=$A$15)),0,
         IF(OFFSET(CRONOPLE!$F$15,$M197-$A$15,AR$13)=0,10^12,OFFSET(CRONOPLE!$F$15,$M197-$A$15,AR$13)))</f>
        <v>0</v>
      </c>
      <c r="AS197" s="171">
        <f ca="1">IF(OR($D197&lt;&gt;"Serviço",AND(AUTOEVENTO="Manual",$M197=$A$15)),0,
         IF(OFFSET(CRONOPLE!$F$15,$M197-$A$15,AS$13)=0,10^12,OFFSET(CRONOPLE!$F$15,$M197-$A$15,AS$13)))</f>
        <v>0</v>
      </c>
      <c r="AT197" s="171">
        <f ca="1">IF(OR($D197&lt;&gt;"Serviço",AND(AUTOEVENTO="Manual",$M197=$A$15)),0,
         IF(OFFSET(CRONOPLE!$F$15,$M197-$A$15,AT$13)=0,10^12,OFFSET(CRONOPLE!$F$15,$M197-$A$15,AT$13)))</f>
        <v>0</v>
      </c>
      <c r="AU197" s="171">
        <f ca="1">IF(OR($D197&lt;&gt;"Serviço",AND(AUTOEVENTO="Manual",$M197=$A$15)),0,
         IF(OFFSET(CRONOPLE!$F$15,$M197-$A$15,AU$13)=0,10^12,OFFSET(CRONOPLE!$F$15,$M197-$A$15,AU$13)))</f>
        <v>0</v>
      </c>
      <c r="AV197" s="171">
        <f ca="1">IF(OR($D197&lt;&gt;"Serviço",AND(AUTOEVENTO="Manual",$M197=$A$15)),0,
         IF(OFFSET(CRONOPLE!$F$15,$M197-$A$15,AV$13)=0,10^12,OFFSET(CRONOPLE!$F$15,$M197-$A$15,AV$13)))</f>
        <v>0</v>
      </c>
      <c r="AX197" s="172" cm="1">
        <f t="array" aca="1" ref="AX197" ca="1">IF(OR($D197&lt;&gt;"Serviço",AND(AUTOEVENTO="Manual",$M197=$A$15),$M197&gt;(ROW(PLE.lastrow)-ROW(PLE.firstrow))),0,
           IF(OFFSET(PLE!$G$15,$M197-$A$15,AX$13)="",10^12,OFFSET(PLE!$G$15,$M197-$A$15,AX$13)))</f>
        <v>0</v>
      </c>
      <c r="AY197" s="172" cm="1">
        <f t="array" aca="1" ref="AY197" ca="1">IF(OR($D197&lt;&gt;"Serviço",AND(AUTOEVENTO="Manual",$M197=$A$15),$M197&gt;(ROW(PLE.lastrow)-ROW(PLE.firstrow))),0,
           IF(OFFSET(PLE!$G$15,$M197-$A$15,AY$13)="",10^12,OFFSET(PLE!$G$15,$M197-$A$15,AY$13)))</f>
        <v>0</v>
      </c>
      <c r="AZ197" s="172" cm="1">
        <f t="array" aca="1" ref="AZ197" ca="1">IF(OR($D197&lt;&gt;"Serviço",AND(AUTOEVENTO="Manual",$M197=$A$15),$M197&gt;(ROW(PLE.lastrow)-ROW(PLE.firstrow))),0,
           IF(OFFSET(PLE!$G$15,$M197-$A$15,AZ$13)="",10^12,OFFSET(PLE!$G$15,$M197-$A$15,AZ$13)))</f>
        <v>0</v>
      </c>
      <c r="BA197" s="172" cm="1">
        <f t="array" aca="1" ref="BA197" ca="1">IF(OR($D197&lt;&gt;"Serviço",AND(AUTOEVENTO="Manual",$M197=$A$15),$M197&gt;(ROW(PLE.lastrow)-ROW(PLE.firstrow))),0,
           IF(OFFSET(PLE!$G$15,$M197-$A$15,BA$13)="",10^12,OFFSET(PLE!$G$15,$M197-$A$15,BA$13)))</f>
        <v>0</v>
      </c>
      <c r="BB197" s="172" cm="1">
        <f t="array" aca="1" ref="BB197" ca="1">IF(OR($D197&lt;&gt;"Serviço",AND(AUTOEVENTO="Manual",$M197=$A$15),$M197&gt;(ROW(PLE.lastrow)-ROW(PLE.firstrow))),0,
           IF(OFFSET(PLE!$G$15,$M197-$A$15,BB$13)="",10^12,OFFSET(PLE!$G$15,$M197-$A$15,BB$13)))</f>
        <v>0</v>
      </c>
      <c r="BC197" s="172" cm="1">
        <f t="array" aca="1" ref="BC197" ca="1">IF(OR($D197&lt;&gt;"Serviço",AND(AUTOEVENTO="Manual",$M197=$A$15),$M197&gt;(ROW(PLE.lastrow)-ROW(PLE.firstrow))),0,
           IF(OFFSET(PLE!$G$15,$M197-$A$15,BC$13)="",10^12,OFFSET(PLE!$G$15,$M197-$A$15,BC$13)))</f>
        <v>0</v>
      </c>
      <c r="BD197" s="172" cm="1">
        <f t="array" aca="1" ref="BD197" ca="1">IF(OR($D197&lt;&gt;"Serviço",AND(AUTOEVENTO="Manual",$M197=$A$15),$M197&gt;(ROW(PLE.lastrow)-ROW(PLE.firstrow))),0,
           IF(OFFSET(PLE!$G$15,$M197-$A$15,BD$13)="",10^12,OFFSET(PLE!$G$15,$M197-$A$15,BD$13)))</f>
        <v>0</v>
      </c>
      <c r="BE197" s="172" cm="1">
        <f t="array" aca="1" ref="BE197" ca="1">IF(OR($D197&lt;&gt;"Serviço",AND(AUTOEVENTO="Manual",$M197=$A$15),$M197&gt;(ROW(PLE.lastrow)-ROW(PLE.firstrow))),0,
           IF(OFFSET(PLE!$G$15,$M197-$A$15,BE$13)="",10^12,OFFSET(PLE!$G$15,$M197-$A$15,BE$13)))</f>
        <v>0</v>
      </c>
      <c r="BF197" s="172" cm="1">
        <f t="array" aca="1" ref="BF197" ca="1">IF(OR($D197&lt;&gt;"Serviço",AND(AUTOEVENTO="Manual",$M197=$A$15),$M197&gt;(ROW(PLE.lastrow)-ROW(PLE.firstrow))),0,
           IF(OFFSET(PLE!$G$15,$M197-$A$15,BF$13)="",10^12,OFFSET(PLE!$G$15,$M197-$A$15,BF$13)))</f>
        <v>0</v>
      </c>
      <c r="BG197" s="172" cm="1">
        <f t="array" aca="1" ref="BG197" ca="1">IF(OR($D197&lt;&gt;"Serviço",AND(AUTOEVENTO="Manual",$M197=$A$15),$M197&gt;(ROW(PLE.lastrow)-ROW(PLE.firstrow))),0,
           IF(OFFSET(PLE!$G$15,$M197-$A$15,BG$13)="",10^12,OFFSET(PLE!$G$15,$M197-$A$15,BG$13)))</f>
        <v>0</v>
      </c>
    </row>
    <row r="198" spans="1:59" ht="38.25" x14ac:dyDescent="0.2">
      <c r="A198" s="7" t="str">
        <f t="shared" ca="1" si="8"/>
        <v>178</v>
      </c>
      <c r="B198" s="7" t="str">
        <f ca="1">OFFSET(ORÇAMENTO!C$15,$L198,0)</f>
        <v>S</v>
      </c>
      <c r="C198" s="7" t="str">
        <f ca="1">OFFSET(ORÇAMENTO!L$15,$L198,0)</f>
        <v>F</v>
      </c>
      <c r="D198" s="116" t="str">
        <f ca="1">OFFSET(ORÇAMENTO!N$15,$L198,0)</f>
        <v>Serviço</v>
      </c>
      <c r="E198" s="117" t="str">
        <f ca="1">OFFSET(ORÇAMENTO!O$15,$L198,0)</f>
        <v>1.10.2.1.1.</v>
      </c>
      <c r="F198" s="163" t="str">
        <f ca="1">OFFSET(ORÇAMENTO!R$15,$L198,0)</f>
        <v>LASTRO COM MATERIAL GRANULAR (PEDRA BRITADA N.2), APLICADO EM PISOS OU LAJES SOBRE SOLO, ESPESSURA DE *10 CM*. AF_01/2024</v>
      </c>
      <c r="G198" s="164" t="str">
        <f ca="1">IF($D198&lt;&gt;"Serviço","",OFFSET(ORÇAMENTO!S$15,$L198,0))</f>
        <v>M3</v>
      </c>
      <c r="H198" s="122" cm="1">
        <f t="array" aca="1" ref="H198" ca="1">IF($D198&lt;&gt;"Serviço",0,IF(ACOMPANHAMENTO="BM",ROUND(OFFSET(ORÇAMENTO!AJ$15,$L198,0),15-13*ORÇAMENTO!$AF$7),IF(IFERROR(CÁLCULO.FrentesPreenchidas,0)=0,0,SUM(ROUND(OFFSET($P198,0,1,1,CÁLCULO.FrentesPreenchidas),15-13*ORÇAMENTO!$AF$7)))))</f>
        <v>7.98</v>
      </c>
      <c r="I198" s="468"/>
      <c r="J198" s="651" t="str" cm="1">
        <f t="array" aca="1" ref="J198" ca="1">IF(OR(B198&lt;&gt;"S",CÁLCULO.FrentesPreenchidas=0),"",IF(AND(ACOMPANHAMENTO="PLE",AUTOEVENTO="Manual",OR(H198&gt;0,ORÇAMENTO!AC198="QUANT."),OR(K198="",M198=0,N198="")),"►E",IF(AND(ACOMPANHAMENTO="PLE",ORÇAMENTO!AC198="QUANT."),"►Q",IF(AND(ACOMPANHAMENTO="PLE",H198&lt;&gt;SUMPRODUCT(($Q$1:$AA$1=1)*ROUND(Q198:AA198,15))),"►S",IF(AND(COUNTIF($P$11:$AA$11,"▼")=0,H198&gt;0,I198=""),"◄M","")))))</f>
        <v/>
      </c>
      <c r="K198" s="652"/>
      <c r="L198" s="165">
        <f t="shared" ca="1" si="9"/>
        <v>183</v>
      </c>
      <c r="M198" s="166">
        <f ca="1">IF($D198&lt;&gt;"Serviço","",
          IF(AUTOEVENTO="manual",$A198,
                IF(ISERROR(MATCH($A198,$A$15:OFFSET($A198,-1,0),0)),MAX($M$15:OFFSET(M198,-1,0))+1,
                      INDEX($M$15:OFFSET(M198,-1,0),MATCH($A198,$A$15:OFFSET($A198,-1,0),0)))))</f>
        <v>10</v>
      </c>
      <c r="N198" s="167" t="str">
        <f ca="1">IF($D198&lt;&gt;"Serviço","",
         IF(AUTOEVENTO="Manual",
                IF($A198=0,"&lt;-- defina o número do agrupador",
                       OFFSET(EVENTOS!$D$15,$A198-$A$15,0)),
                OFFSET($F$15,$A198,0)))</f>
        <v>REVESTIMENTOS</v>
      </c>
      <c r="O198" s="168"/>
      <c r="Q198" s="168"/>
      <c r="R198" s="169"/>
      <c r="S198" s="169"/>
      <c r="T198" s="169"/>
      <c r="U198" s="169"/>
      <c r="V198" s="169"/>
      <c r="W198" s="169"/>
      <c r="X198" s="169"/>
      <c r="Y198" s="169"/>
      <c r="Z198" s="170"/>
      <c r="AB198" s="453">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3">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3">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3">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3">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3">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3">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3">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3">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3">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1">
        <f ca="1">IF(OR($D198&lt;&gt;"Serviço",AND(AUTOEVENTO="Manual",$M198=$A$15)),0,
         IF(OFFSET(CRONOPLE!$F$15,$M198-$A$15,AM$13)=0,10^12,OFFSET(CRONOPLE!$F$15,$M198-$A$15,AM$13)))</f>
        <v>1000000000000</v>
      </c>
      <c r="AN198" s="171">
        <f ca="1">IF(OR($D198&lt;&gt;"Serviço",AND(AUTOEVENTO="Manual",$M198=$A$15)),0,
         IF(OFFSET(CRONOPLE!$F$15,$M198-$A$15,AN$13)=0,10^12,OFFSET(CRONOPLE!$F$15,$M198-$A$15,AN$13)))</f>
        <v>1000000000000</v>
      </c>
      <c r="AO198" s="171">
        <f ca="1">IF(OR($D198&lt;&gt;"Serviço",AND(AUTOEVENTO="Manual",$M198=$A$15)),0,
         IF(OFFSET(CRONOPLE!$F$15,$M198-$A$15,AO$13)=0,10^12,OFFSET(CRONOPLE!$F$15,$M198-$A$15,AO$13)))</f>
        <v>1000000000000</v>
      </c>
      <c r="AP198" s="171">
        <f ca="1">IF(OR($D198&lt;&gt;"Serviço",AND(AUTOEVENTO="Manual",$M198=$A$15)),0,
         IF(OFFSET(CRONOPLE!$F$15,$M198-$A$15,AP$13)=0,10^12,OFFSET(CRONOPLE!$F$15,$M198-$A$15,AP$13)))</f>
        <v>1000000000000</v>
      </c>
      <c r="AQ198" s="171">
        <f ca="1">IF(OR($D198&lt;&gt;"Serviço",AND(AUTOEVENTO="Manual",$M198=$A$15)),0,
         IF(OFFSET(CRONOPLE!$F$15,$M198-$A$15,AQ$13)=0,10^12,OFFSET(CRONOPLE!$F$15,$M198-$A$15,AQ$13)))</f>
        <v>1000000000000</v>
      </c>
      <c r="AR198" s="171">
        <f ca="1">IF(OR($D198&lt;&gt;"Serviço",AND(AUTOEVENTO="Manual",$M198=$A$15)),0,
         IF(OFFSET(CRONOPLE!$F$15,$M198-$A$15,AR$13)=0,10^12,OFFSET(CRONOPLE!$F$15,$M198-$A$15,AR$13)))</f>
        <v>1000000000000</v>
      </c>
      <c r="AS198" s="171">
        <f ca="1">IF(OR($D198&lt;&gt;"Serviço",AND(AUTOEVENTO="Manual",$M198=$A$15)),0,
         IF(OFFSET(CRONOPLE!$F$15,$M198-$A$15,AS$13)=0,10^12,OFFSET(CRONOPLE!$F$15,$M198-$A$15,AS$13)))</f>
        <v>1000000000000</v>
      </c>
      <c r="AT198" s="171">
        <f ca="1">IF(OR($D198&lt;&gt;"Serviço",AND(AUTOEVENTO="Manual",$M198=$A$15)),0,
         IF(OFFSET(CRONOPLE!$F$15,$M198-$A$15,AT$13)=0,10^12,OFFSET(CRONOPLE!$F$15,$M198-$A$15,AT$13)))</f>
        <v>1000000000000</v>
      </c>
      <c r="AU198" s="171">
        <f ca="1">IF(OR($D198&lt;&gt;"Serviço",AND(AUTOEVENTO="Manual",$M198=$A$15)),0,
         IF(OFFSET(CRONOPLE!$F$15,$M198-$A$15,AU$13)=0,10^12,OFFSET(CRONOPLE!$F$15,$M198-$A$15,AU$13)))</f>
        <v>1000000000000</v>
      </c>
      <c r="AV198" s="171">
        <f ca="1">IF(OR($D198&lt;&gt;"Serviço",AND(AUTOEVENTO="Manual",$M198=$A$15)),0,
         IF(OFFSET(CRONOPLE!$F$15,$M198-$A$15,AV$13)=0,10^12,OFFSET(CRONOPLE!$F$15,$M198-$A$15,AV$13)))</f>
        <v>1000000000000</v>
      </c>
      <c r="AX198" s="172" cm="1">
        <f t="array" aca="1" ref="AX198" ca="1">IF(OR($D198&lt;&gt;"Serviço",AND(AUTOEVENTO="Manual",$M198=$A$15),$M198&gt;(ROW(PLE.lastrow)-ROW(PLE.firstrow))),0,
           IF(OFFSET(PLE!$G$15,$M198-$A$15,AX$13)="",10^12,OFFSET(PLE!$G$15,$M198-$A$15,AX$13)))</f>
        <v>1000000000000</v>
      </c>
      <c r="AY198" s="172" cm="1">
        <f t="array" aca="1" ref="AY198" ca="1">IF(OR($D198&lt;&gt;"Serviço",AND(AUTOEVENTO="Manual",$M198=$A$15),$M198&gt;(ROW(PLE.lastrow)-ROW(PLE.firstrow))),0,
           IF(OFFSET(PLE!$G$15,$M198-$A$15,AY$13)="",10^12,OFFSET(PLE!$G$15,$M198-$A$15,AY$13)))</f>
        <v>1000000000000</v>
      </c>
      <c r="AZ198" s="172" cm="1">
        <f t="array" aca="1" ref="AZ198" ca="1">IF(OR($D198&lt;&gt;"Serviço",AND(AUTOEVENTO="Manual",$M198=$A$15),$M198&gt;(ROW(PLE.lastrow)-ROW(PLE.firstrow))),0,
           IF(OFFSET(PLE!$G$15,$M198-$A$15,AZ$13)="",10^12,OFFSET(PLE!$G$15,$M198-$A$15,AZ$13)))</f>
        <v>1000000000000</v>
      </c>
      <c r="BA198" s="172" cm="1">
        <f t="array" aca="1" ref="BA198" ca="1">IF(OR($D198&lt;&gt;"Serviço",AND(AUTOEVENTO="Manual",$M198=$A$15),$M198&gt;(ROW(PLE.lastrow)-ROW(PLE.firstrow))),0,
           IF(OFFSET(PLE!$G$15,$M198-$A$15,BA$13)="",10^12,OFFSET(PLE!$G$15,$M198-$A$15,BA$13)))</f>
        <v>1000000000000</v>
      </c>
      <c r="BB198" s="172" cm="1">
        <f t="array" aca="1" ref="BB198" ca="1">IF(OR($D198&lt;&gt;"Serviço",AND(AUTOEVENTO="Manual",$M198=$A$15),$M198&gt;(ROW(PLE.lastrow)-ROW(PLE.firstrow))),0,
           IF(OFFSET(PLE!$G$15,$M198-$A$15,BB$13)="",10^12,OFFSET(PLE!$G$15,$M198-$A$15,BB$13)))</f>
        <v>1000000000000</v>
      </c>
      <c r="BC198" s="172" cm="1">
        <f t="array" aca="1" ref="BC198" ca="1">IF(OR($D198&lt;&gt;"Serviço",AND(AUTOEVENTO="Manual",$M198=$A$15),$M198&gt;(ROW(PLE.lastrow)-ROW(PLE.firstrow))),0,
           IF(OFFSET(PLE!$G$15,$M198-$A$15,BC$13)="",10^12,OFFSET(PLE!$G$15,$M198-$A$15,BC$13)))</f>
        <v>1000000000000</v>
      </c>
      <c r="BD198" s="172" cm="1">
        <f t="array" aca="1" ref="BD198" ca="1">IF(OR($D198&lt;&gt;"Serviço",AND(AUTOEVENTO="Manual",$M198=$A$15),$M198&gt;(ROW(PLE.lastrow)-ROW(PLE.firstrow))),0,
           IF(OFFSET(PLE!$G$15,$M198-$A$15,BD$13)="",10^12,OFFSET(PLE!$G$15,$M198-$A$15,BD$13)))</f>
        <v>1000000000000</v>
      </c>
      <c r="BE198" s="172" cm="1">
        <f t="array" aca="1" ref="BE198" ca="1">IF(OR($D198&lt;&gt;"Serviço",AND(AUTOEVENTO="Manual",$M198=$A$15),$M198&gt;(ROW(PLE.lastrow)-ROW(PLE.firstrow))),0,
           IF(OFFSET(PLE!$G$15,$M198-$A$15,BE$13)="",10^12,OFFSET(PLE!$G$15,$M198-$A$15,BE$13)))</f>
        <v>1000000000000</v>
      </c>
      <c r="BF198" s="172" cm="1">
        <f t="array" aca="1" ref="BF198" ca="1">IF(OR($D198&lt;&gt;"Serviço",AND(AUTOEVENTO="Manual",$M198=$A$15),$M198&gt;(ROW(PLE.lastrow)-ROW(PLE.firstrow))),0,
           IF(OFFSET(PLE!$G$15,$M198-$A$15,BF$13)="",10^12,OFFSET(PLE!$G$15,$M198-$A$15,BF$13)))</f>
        <v>1000000000000</v>
      </c>
      <c r="BG198" s="172" cm="1">
        <f t="array" aca="1" ref="BG198" ca="1">IF(OR($D198&lt;&gt;"Serviço",AND(AUTOEVENTO="Manual",$M198=$A$15),$M198&gt;(ROW(PLE.lastrow)-ROW(PLE.firstrow))),0,
           IF(OFFSET(PLE!$G$15,$M198-$A$15,BG$13)="",10^12,OFFSET(PLE!$G$15,$M198-$A$15,BG$13)))</f>
        <v>1000000000000</v>
      </c>
    </row>
    <row r="199" spans="1:59" ht="38.25" x14ac:dyDescent="0.2">
      <c r="A199" s="7" t="str">
        <f ca="1">IFERROR(IF(AUTOEVENTO="Manual",IF(K199&lt;&gt;"",MIN(VALUE(LEFT(K199,FIND(".",K199)-1)),COUNTA(EVENTOS.Lista)),0),IF(OR($B199&gt;AUTOEVENTO,$B199="S",$B199=0),SUBSTITUTE(OFFSET($A199,-1,0),IF($D199="Serviço",".",""),""),$L199&amp;".")),0)</f>
        <v>178</v>
      </c>
      <c r="B199" s="7" t="str">
        <f ca="1">OFFSET(ORÇAMENTO!C$15,$L199,0)</f>
        <v>S</v>
      </c>
      <c r="C199" s="7" t="str">
        <f ca="1">OFFSET(ORÇAMENTO!L$15,$L199,0)</f>
        <v>F</v>
      </c>
      <c r="D199" s="116" t="str">
        <f ca="1">OFFSET(ORÇAMENTO!N$15,$L199,0)</f>
        <v>Serviço</v>
      </c>
      <c r="E199" s="117" t="str">
        <f ca="1">OFFSET(ORÇAMENTO!O$15,$L199,0)</f>
        <v>1.10.2.1.2.</v>
      </c>
      <c r="F199" s="163" t="str">
        <f ca="1">OFFSET(ORÇAMENTO!R$15,$L199,0)</f>
        <v>EXECUÇÃO DE PASSEIO (CALÇADA) OU PISO DE CONCRETO COM CONCRETO MOLDADO IN LOCO, FEITO EM OBRA, ACABAMENTO CONVENCIONAL, NÃO ARMADO. AF_08/2022</v>
      </c>
      <c r="G199" s="164" t="str">
        <f ca="1">IF($D199&lt;&gt;"Serviço","",OFFSET(ORÇAMENTO!S$15,$L199,0))</f>
        <v>M3</v>
      </c>
      <c r="H199" s="122" cm="1">
        <f t="array" aca="1" ref="H199" ca="1">IF($D199&lt;&gt;"Serviço",0,IF(ACOMPANHAMENTO="BM",ROUND(OFFSET(ORÇAMENTO!AJ$15,$L199,0),15-13*ORÇAMENTO!$AF$7),IF(IFERROR(CÁLCULO.FrentesPreenchidas,0)=0,0,SUM(ROUND(OFFSET($P199,0,1,1,CÁLCULO.FrentesPreenchidas),15-13*ORÇAMENTO!$AF$7)))))</f>
        <v>3.24</v>
      </c>
      <c r="I199" s="468"/>
      <c r="J199" s="651" t="str" cm="1">
        <f t="array" aca="1" ref="J199" ca="1">IF(OR(B199&lt;&gt;"S",CÁLCULO.FrentesPreenchidas=0),"",IF(AND(ACOMPANHAMENTO="PLE",AUTOEVENTO="Manual",OR(H199&gt;0,ORÇAMENTO!AC199="QUANT."),OR(K199="",M199=0,N199="")),"►E",IF(AND(ACOMPANHAMENTO="PLE",ORÇAMENTO!AC199="QUANT."),"►Q",IF(AND(ACOMPANHAMENTO="PLE",H199&lt;&gt;SUMPRODUCT(($Q$1:$AA$1=1)*ROUND(Q199:AA199,15))),"►S",IF(AND(COUNTIF($P$11:$AA$11,"▼")=0,H199&gt;0,I199=""),"◄M","")))))</f>
        <v/>
      </c>
      <c r="K199" s="652"/>
      <c r="L199" s="165">
        <f ca="1">OFFSET(L199,-1,0)+1</f>
        <v>184</v>
      </c>
      <c r="M199" s="166">
        <f ca="1">IF($D199&lt;&gt;"Serviço","",
          IF(AUTOEVENTO="manual",$A199,
                IF(ISERROR(MATCH($A199,$A$15:OFFSET($A199,-1,0),0)),MAX($M$15:OFFSET(M199,-1,0))+1,
                      INDEX($M$15:OFFSET(M199,-1,0),MATCH($A199,$A$15:OFFSET($A199,-1,0),0)))))</f>
        <v>10</v>
      </c>
      <c r="N199" s="167" t="str">
        <f ca="1">IF($D199&lt;&gt;"Serviço","",
         IF(AUTOEVENTO="Manual",
                IF($A199=0,"&lt;-- defina o número do agrupador",
                       OFFSET(EVENTOS!$D$15,$A199-$A$15,0)),
                OFFSET($F$15,$A199,0)))</f>
        <v>REVESTIMENTOS</v>
      </c>
      <c r="O199" s="168"/>
      <c r="Q199" s="168"/>
      <c r="R199" s="169"/>
      <c r="S199" s="169"/>
      <c r="T199" s="169"/>
      <c r="U199" s="169"/>
      <c r="V199" s="169"/>
      <c r="W199" s="169"/>
      <c r="X199" s="169"/>
      <c r="Y199" s="169"/>
      <c r="Z199" s="170"/>
      <c r="AB199" s="453">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3">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3">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3">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3">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3">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3">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3">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3">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3">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1">
        <f ca="1">IF(OR($D199&lt;&gt;"Serviço",AND(AUTOEVENTO="Manual",$M199=$A$15)),0,
         IF(OFFSET(CRONOPLE!$F$15,$M199-$A$15,AM$13)=0,10^12,OFFSET(CRONOPLE!$F$15,$M199-$A$15,AM$13)))</f>
        <v>1000000000000</v>
      </c>
      <c r="AN199" s="171">
        <f ca="1">IF(OR($D199&lt;&gt;"Serviço",AND(AUTOEVENTO="Manual",$M199=$A$15)),0,
         IF(OFFSET(CRONOPLE!$F$15,$M199-$A$15,AN$13)=0,10^12,OFFSET(CRONOPLE!$F$15,$M199-$A$15,AN$13)))</f>
        <v>1000000000000</v>
      </c>
      <c r="AO199" s="171">
        <f ca="1">IF(OR($D199&lt;&gt;"Serviço",AND(AUTOEVENTO="Manual",$M199=$A$15)),0,
         IF(OFFSET(CRONOPLE!$F$15,$M199-$A$15,AO$13)=0,10^12,OFFSET(CRONOPLE!$F$15,$M199-$A$15,AO$13)))</f>
        <v>1000000000000</v>
      </c>
      <c r="AP199" s="171">
        <f ca="1">IF(OR($D199&lt;&gt;"Serviço",AND(AUTOEVENTO="Manual",$M199=$A$15)),0,
         IF(OFFSET(CRONOPLE!$F$15,$M199-$A$15,AP$13)=0,10^12,OFFSET(CRONOPLE!$F$15,$M199-$A$15,AP$13)))</f>
        <v>1000000000000</v>
      </c>
      <c r="AQ199" s="171">
        <f ca="1">IF(OR($D199&lt;&gt;"Serviço",AND(AUTOEVENTO="Manual",$M199=$A$15)),0,
         IF(OFFSET(CRONOPLE!$F$15,$M199-$A$15,AQ$13)=0,10^12,OFFSET(CRONOPLE!$F$15,$M199-$A$15,AQ$13)))</f>
        <v>1000000000000</v>
      </c>
      <c r="AR199" s="171">
        <f ca="1">IF(OR($D199&lt;&gt;"Serviço",AND(AUTOEVENTO="Manual",$M199=$A$15)),0,
         IF(OFFSET(CRONOPLE!$F$15,$M199-$A$15,AR$13)=0,10^12,OFFSET(CRONOPLE!$F$15,$M199-$A$15,AR$13)))</f>
        <v>1000000000000</v>
      </c>
      <c r="AS199" s="171">
        <f ca="1">IF(OR($D199&lt;&gt;"Serviço",AND(AUTOEVENTO="Manual",$M199=$A$15)),0,
         IF(OFFSET(CRONOPLE!$F$15,$M199-$A$15,AS$13)=0,10^12,OFFSET(CRONOPLE!$F$15,$M199-$A$15,AS$13)))</f>
        <v>1000000000000</v>
      </c>
      <c r="AT199" s="171">
        <f ca="1">IF(OR($D199&lt;&gt;"Serviço",AND(AUTOEVENTO="Manual",$M199=$A$15)),0,
         IF(OFFSET(CRONOPLE!$F$15,$M199-$A$15,AT$13)=0,10^12,OFFSET(CRONOPLE!$F$15,$M199-$A$15,AT$13)))</f>
        <v>1000000000000</v>
      </c>
      <c r="AU199" s="171">
        <f ca="1">IF(OR($D199&lt;&gt;"Serviço",AND(AUTOEVENTO="Manual",$M199=$A$15)),0,
         IF(OFFSET(CRONOPLE!$F$15,$M199-$A$15,AU$13)=0,10^12,OFFSET(CRONOPLE!$F$15,$M199-$A$15,AU$13)))</f>
        <v>1000000000000</v>
      </c>
      <c r="AV199" s="171">
        <f ca="1">IF(OR($D199&lt;&gt;"Serviço",AND(AUTOEVENTO="Manual",$M199=$A$15)),0,
         IF(OFFSET(CRONOPLE!$F$15,$M199-$A$15,AV$13)=0,10^12,OFFSET(CRONOPLE!$F$15,$M199-$A$15,AV$13)))</f>
        <v>1000000000000</v>
      </c>
      <c r="AX199" s="172" cm="1">
        <f t="array" aca="1" ref="AX199" ca="1">IF(OR($D199&lt;&gt;"Serviço",AND(AUTOEVENTO="Manual",$M199=$A$15),$M199&gt;(ROW(PLE.lastrow)-ROW(PLE.firstrow))),0,
           IF(OFFSET(PLE!$G$15,$M199-$A$15,AX$13)="",10^12,OFFSET(PLE!$G$15,$M199-$A$15,AX$13)))</f>
        <v>1000000000000</v>
      </c>
      <c r="AY199" s="172" cm="1">
        <f t="array" aca="1" ref="AY199" ca="1">IF(OR($D199&lt;&gt;"Serviço",AND(AUTOEVENTO="Manual",$M199=$A$15),$M199&gt;(ROW(PLE.lastrow)-ROW(PLE.firstrow))),0,
           IF(OFFSET(PLE!$G$15,$M199-$A$15,AY$13)="",10^12,OFFSET(PLE!$G$15,$M199-$A$15,AY$13)))</f>
        <v>1000000000000</v>
      </c>
      <c r="AZ199" s="172" cm="1">
        <f t="array" aca="1" ref="AZ199" ca="1">IF(OR($D199&lt;&gt;"Serviço",AND(AUTOEVENTO="Manual",$M199=$A$15),$M199&gt;(ROW(PLE.lastrow)-ROW(PLE.firstrow))),0,
           IF(OFFSET(PLE!$G$15,$M199-$A$15,AZ$13)="",10^12,OFFSET(PLE!$G$15,$M199-$A$15,AZ$13)))</f>
        <v>1000000000000</v>
      </c>
      <c r="BA199" s="172" cm="1">
        <f t="array" aca="1" ref="BA199" ca="1">IF(OR($D199&lt;&gt;"Serviço",AND(AUTOEVENTO="Manual",$M199=$A$15),$M199&gt;(ROW(PLE.lastrow)-ROW(PLE.firstrow))),0,
           IF(OFFSET(PLE!$G$15,$M199-$A$15,BA$13)="",10^12,OFFSET(PLE!$G$15,$M199-$A$15,BA$13)))</f>
        <v>1000000000000</v>
      </c>
      <c r="BB199" s="172" cm="1">
        <f t="array" aca="1" ref="BB199" ca="1">IF(OR($D199&lt;&gt;"Serviço",AND(AUTOEVENTO="Manual",$M199=$A$15),$M199&gt;(ROW(PLE.lastrow)-ROW(PLE.firstrow))),0,
           IF(OFFSET(PLE!$G$15,$M199-$A$15,BB$13)="",10^12,OFFSET(PLE!$G$15,$M199-$A$15,BB$13)))</f>
        <v>1000000000000</v>
      </c>
      <c r="BC199" s="172" cm="1">
        <f t="array" aca="1" ref="BC199" ca="1">IF(OR($D199&lt;&gt;"Serviço",AND(AUTOEVENTO="Manual",$M199=$A$15),$M199&gt;(ROW(PLE.lastrow)-ROW(PLE.firstrow))),0,
           IF(OFFSET(PLE!$G$15,$M199-$A$15,BC$13)="",10^12,OFFSET(PLE!$G$15,$M199-$A$15,BC$13)))</f>
        <v>1000000000000</v>
      </c>
      <c r="BD199" s="172" cm="1">
        <f t="array" aca="1" ref="BD199" ca="1">IF(OR($D199&lt;&gt;"Serviço",AND(AUTOEVENTO="Manual",$M199=$A$15),$M199&gt;(ROW(PLE.lastrow)-ROW(PLE.firstrow))),0,
           IF(OFFSET(PLE!$G$15,$M199-$A$15,BD$13)="",10^12,OFFSET(PLE!$G$15,$M199-$A$15,BD$13)))</f>
        <v>1000000000000</v>
      </c>
      <c r="BE199" s="172" cm="1">
        <f t="array" aca="1" ref="BE199" ca="1">IF(OR($D199&lt;&gt;"Serviço",AND(AUTOEVENTO="Manual",$M199=$A$15),$M199&gt;(ROW(PLE.lastrow)-ROW(PLE.firstrow))),0,
           IF(OFFSET(PLE!$G$15,$M199-$A$15,BE$13)="",10^12,OFFSET(PLE!$G$15,$M199-$A$15,BE$13)))</f>
        <v>1000000000000</v>
      </c>
      <c r="BF199" s="172" cm="1">
        <f t="array" aca="1" ref="BF199" ca="1">IF(OR($D199&lt;&gt;"Serviço",AND(AUTOEVENTO="Manual",$M199=$A$15),$M199&gt;(ROW(PLE.lastrow)-ROW(PLE.firstrow))),0,
           IF(OFFSET(PLE!$G$15,$M199-$A$15,BF$13)="",10^12,OFFSET(PLE!$G$15,$M199-$A$15,BF$13)))</f>
        <v>1000000000000</v>
      </c>
      <c r="BG199" s="172" cm="1">
        <f t="array" aca="1" ref="BG199" ca="1">IF(OR($D199&lt;&gt;"Serviço",AND(AUTOEVENTO="Manual",$M199=$A$15),$M199&gt;(ROW(PLE.lastrow)-ROW(PLE.firstrow))),0,
           IF(OFFSET(PLE!$G$15,$M199-$A$15,BG$13)="",10^12,OFFSET(PLE!$G$15,$M199-$A$15,BG$13)))</f>
        <v>1000000000000</v>
      </c>
    </row>
    <row r="200" spans="1:59" ht="12.75" x14ac:dyDescent="0.2">
      <c r="A200" s="7" t="str">
        <f t="shared" ca="1" si="8"/>
        <v>178</v>
      </c>
      <c r="B200" s="7">
        <f ca="1">OFFSET(ORÇAMENTO!C$15,$L200,0)</f>
        <v>4</v>
      </c>
      <c r="C200" s="7" t="str">
        <f ca="1">OFFSET(ORÇAMENTO!L$15,$L200,0)</f>
        <v>F</v>
      </c>
      <c r="D200" s="116" t="str">
        <f ca="1">OFFSET(ORÇAMENTO!N$15,$L200,0)</f>
        <v>Nível 4</v>
      </c>
      <c r="E200" s="117" t="str">
        <f ca="1">OFFSET(ORÇAMENTO!O$15,$L200,0)</f>
        <v>1.10.2.2.</v>
      </c>
      <c r="F200" s="163" t="str">
        <f ca="1">OFFSET(ORÇAMENTO!R$15,$L200,0)</f>
        <v>PAREDES</v>
      </c>
      <c r="G200" s="164" t="str">
        <f ca="1">IF($D200&lt;&gt;"Serviço","",OFFSET(ORÇAMENTO!S$15,$L200,0))</f>
        <v/>
      </c>
      <c r="H200" s="122" cm="1">
        <f t="array" aca="1" ref="H200" ca="1">IF($D200&lt;&gt;"Serviço",0,IF(ACOMPANHAMENTO="BM",ROUND(OFFSET(ORÇAMENTO!AJ$15,$L200,0),15-13*ORÇAMENTO!$AF$7),IF(IFERROR(CÁLCULO.FrentesPreenchidas,0)=0,0,SUM(ROUND(OFFSET($P200,0,1,1,CÁLCULO.FrentesPreenchidas),15-13*ORÇAMENTO!$AF$7)))))</f>
        <v>0</v>
      </c>
      <c r="I200" s="468"/>
      <c r="J200" s="651" t="str" cm="1">
        <f t="array" aca="1" ref="J200" ca="1">IF(OR(B200&lt;&gt;"S",CÁLCULO.FrentesPreenchidas=0),"",IF(AND(ACOMPANHAMENTO="PLE",AUTOEVENTO="Manual",OR(H200&gt;0,ORÇAMENTO!AC200="QUANT."),OR(K200="",M200=0,N200="")),"►E",IF(AND(ACOMPANHAMENTO="PLE",ORÇAMENTO!AC200="QUANT."),"►Q",IF(AND(ACOMPANHAMENTO="PLE",H200&lt;&gt;SUMPRODUCT(($Q$1:$AA$1=1)*ROUND(Q200:AA200,15))),"►S",IF(AND(COUNTIF($P$11:$AA$11,"▼")=0,H200&gt;0,I200=""),"◄M","")))))</f>
        <v/>
      </c>
      <c r="K200" s="652"/>
      <c r="L200" s="165">
        <f t="shared" ca="1" si="9"/>
        <v>185</v>
      </c>
      <c r="M200" s="166" t="str">
        <f ca="1">IF($D200&lt;&gt;"Serviço","",
          IF(AUTOEVENTO="manual",$A200,
                IF(ISERROR(MATCH($A200,$A$15:OFFSET($A200,-1,0),0)),MAX($M$15:OFFSET(M200,-1,0))+1,
                      INDEX($M$15:OFFSET(M200,-1,0),MATCH($A200,$A$15:OFFSET($A200,-1,0),0)))))</f>
        <v/>
      </c>
      <c r="N200" s="167" t="str">
        <f ca="1">IF($D200&lt;&gt;"Serviço","",
         IF(AUTOEVENTO="Manual",
                IF($A200=0,"&lt;-- defina o número do agrupador",
                       OFFSET(EVENTOS!$D$15,$A200-$A$15,0)),
                OFFSET($F$15,$A200,0)))</f>
        <v/>
      </c>
      <c r="O200" s="168"/>
      <c r="Q200" s="168"/>
      <c r="R200" s="169"/>
      <c r="S200" s="169"/>
      <c r="T200" s="169"/>
      <c r="U200" s="169"/>
      <c r="V200" s="169"/>
      <c r="W200" s="169"/>
      <c r="X200" s="169"/>
      <c r="Y200" s="169"/>
      <c r="Z200" s="170"/>
      <c r="AB200" s="453">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3">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3">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3">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3">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3">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3">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3">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3">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3">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1">
        <f ca="1">IF(OR($D200&lt;&gt;"Serviço",AND(AUTOEVENTO="Manual",$M200=$A$15)),0,
         IF(OFFSET(CRONOPLE!$F$15,$M200-$A$15,AM$13)=0,10^12,OFFSET(CRONOPLE!$F$15,$M200-$A$15,AM$13)))</f>
        <v>0</v>
      </c>
      <c r="AN200" s="171">
        <f ca="1">IF(OR($D200&lt;&gt;"Serviço",AND(AUTOEVENTO="Manual",$M200=$A$15)),0,
         IF(OFFSET(CRONOPLE!$F$15,$M200-$A$15,AN$13)=0,10^12,OFFSET(CRONOPLE!$F$15,$M200-$A$15,AN$13)))</f>
        <v>0</v>
      </c>
      <c r="AO200" s="171">
        <f ca="1">IF(OR($D200&lt;&gt;"Serviço",AND(AUTOEVENTO="Manual",$M200=$A$15)),0,
         IF(OFFSET(CRONOPLE!$F$15,$M200-$A$15,AO$13)=0,10^12,OFFSET(CRONOPLE!$F$15,$M200-$A$15,AO$13)))</f>
        <v>0</v>
      </c>
      <c r="AP200" s="171">
        <f ca="1">IF(OR($D200&lt;&gt;"Serviço",AND(AUTOEVENTO="Manual",$M200=$A$15)),0,
         IF(OFFSET(CRONOPLE!$F$15,$M200-$A$15,AP$13)=0,10^12,OFFSET(CRONOPLE!$F$15,$M200-$A$15,AP$13)))</f>
        <v>0</v>
      </c>
      <c r="AQ200" s="171">
        <f ca="1">IF(OR($D200&lt;&gt;"Serviço",AND(AUTOEVENTO="Manual",$M200=$A$15)),0,
         IF(OFFSET(CRONOPLE!$F$15,$M200-$A$15,AQ$13)=0,10^12,OFFSET(CRONOPLE!$F$15,$M200-$A$15,AQ$13)))</f>
        <v>0</v>
      </c>
      <c r="AR200" s="171">
        <f ca="1">IF(OR($D200&lt;&gt;"Serviço",AND(AUTOEVENTO="Manual",$M200=$A$15)),0,
         IF(OFFSET(CRONOPLE!$F$15,$M200-$A$15,AR$13)=0,10^12,OFFSET(CRONOPLE!$F$15,$M200-$A$15,AR$13)))</f>
        <v>0</v>
      </c>
      <c r="AS200" s="171">
        <f ca="1">IF(OR($D200&lt;&gt;"Serviço",AND(AUTOEVENTO="Manual",$M200=$A$15)),0,
         IF(OFFSET(CRONOPLE!$F$15,$M200-$A$15,AS$13)=0,10^12,OFFSET(CRONOPLE!$F$15,$M200-$A$15,AS$13)))</f>
        <v>0</v>
      </c>
      <c r="AT200" s="171">
        <f ca="1">IF(OR($D200&lt;&gt;"Serviço",AND(AUTOEVENTO="Manual",$M200=$A$15)),0,
         IF(OFFSET(CRONOPLE!$F$15,$M200-$A$15,AT$13)=0,10^12,OFFSET(CRONOPLE!$F$15,$M200-$A$15,AT$13)))</f>
        <v>0</v>
      </c>
      <c r="AU200" s="171">
        <f ca="1">IF(OR($D200&lt;&gt;"Serviço",AND(AUTOEVENTO="Manual",$M200=$A$15)),0,
         IF(OFFSET(CRONOPLE!$F$15,$M200-$A$15,AU$13)=0,10^12,OFFSET(CRONOPLE!$F$15,$M200-$A$15,AU$13)))</f>
        <v>0</v>
      </c>
      <c r="AV200" s="171">
        <f ca="1">IF(OR($D200&lt;&gt;"Serviço",AND(AUTOEVENTO="Manual",$M200=$A$15)),0,
         IF(OFFSET(CRONOPLE!$F$15,$M200-$A$15,AV$13)=0,10^12,OFFSET(CRONOPLE!$F$15,$M200-$A$15,AV$13)))</f>
        <v>0</v>
      </c>
      <c r="AX200" s="172" cm="1">
        <f t="array" aca="1" ref="AX200" ca="1">IF(OR($D200&lt;&gt;"Serviço",AND(AUTOEVENTO="Manual",$M200=$A$15),$M200&gt;(ROW(PLE.lastrow)-ROW(PLE.firstrow))),0,
           IF(OFFSET(PLE!$G$15,$M200-$A$15,AX$13)="",10^12,OFFSET(PLE!$G$15,$M200-$A$15,AX$13)))</f>
        <v>0</v>
      </c>
      <c r="AY200" s="172" cm="1">
        <f t="array" aca="1" ref="AY200" ca="1">IF(OR($D200&lt;&gt;"Serviço",AND(AUTOEVENTO="Manual",$M200=$A$15),$M200&gt;(ROW(PLE.lastrow)-ROW(PLE.firstrow))),0,
           IF(OFFSET(PLE!$G$15,$M200-$A$15,AY$13)="",10^12,OFFSET(PLE!$G$15,$M200-$A$15,AY$13)))</f>
        <v>0</v>
      </c>
      <c r="AZ200" s="172" cm="1">
        <f t="array" aca="1" ref="AZ200" ca="1">IF(OR($D200&lt;&gt;"Serviço",AND(AUTOEVENTO="Manual",$M200=$A$15),$M200&gt;(ROW(PLE.lastrow)-ROW(PLE.firstrow))),0,
           IF(OFFSET(PLE!$G$15,$M200-$A$15,AZ$13)="",10^12,OFFSET(PLE!$G$15,$M200-$A$15,AZ$13)))</f>
        <v>0</v>
      </c>
      <c r="BA200" s="172" cm="1">
        <f t="array" aca="1" ref="BA200" ca="1">IF(OR($D200&lt;&gt;"Serviço",AND(AUTOEVENTO="Manual",$M200=$A$15),$M200&gt;(ROW(PLE.lastrow)-ROW(PLE.firstrow))),0,
           IF(OFFSET(PLE!$G$15,$M200-$A$15,BA$13)="",10^12,OFFSET(PLE!$G$15,$M200-$A$15,BA$13)))</f>
        <v>0</v>
      </c>
      <c r="BB200" s="172" cm="1">
        <f t="array" aca="1" ref="BB200" ca="1">IF(OR($D200&lt;&gt;"Serviço",AND(AUTOEVENTO="Manual",$M200=$A$15),$M200&gt;(ROW(PLE.lastrow)-ROW(PLE.firstrow))),0,
           IF(OFFSET(PLE!$G$15,$M200-$A$15,BB$13)="",10^12,OFFSET(PLE!$G$15,$M200-$A$15,BB$13)))</f>
        <v>0</v>
      </c>
      <c r="BC200" s="172" cm="1">
        <f t="array" aca="1" ref="BC200" ca="1">IF(OR($D200&lt;&gt;"Serviço",AND(AUTOEVENTO="Manual",$M200=$A$15),$M200&gt;(ROW(PLE.lastrow)-ROW(PLE.firstrow))),0,
           IF(OFFSET(PLE!$G$15,$M200-$A$15,BC$13)="",10^12,OFFSET(PLE!$G$15,$M200-$A$15,BC$13)))</f>
        <v>0</v>
      </c>
      <c r="BD200" s="172" cm="1">
        <f t="array" aca="1" ref="BD200" ca="1">IF(OR($D200&lt;&gt;"Serviço",AND(AUTOEVENTO="Manual",$M200=$A$15),$M200&gt;(ROW(PLE.lastrow)-ROW(PLE.firstrow))),0,
           IF(OFFSET(PLE!$G$15,$M200-$A$15,BD$13)="",10^12,OFFSET(PLE!$G$15,$M200-$A$15,BD$13)))</f>
        <v>0</v>
      </c>
      <c r="BE200" s="172" cm="1">
        <f t="array" aca="1" ref="BE200" ca="1">IF(OR($D200&lt;&gt;"Serviço",AND(AUTOEVENTO="Manual",$M200=$A$15),$M200&gt;(ROW(PLE.lastrow)-ROW(PLE.firstrow))),0,
           IF(OFFSET(PLE!$G$15,$M200-$A$15,BE$13)="",10^12,OFFSET(PLE!$G$15,$M200-$A$15,BE$13)))</f>
        <v>0</v>
      </c>
      <c r="BF200" s="172" cm="1">
        <f t="array" aca="1" ref="BF200" ca="1">IF(OR($D200&lt;&gt;"Serviço",AND(AUTOEVENTO="Manual",$M200=$A$15),$M200&gt;(ROW(PLE.lastrow)-ROW(PLE.firstrow))),0,
           IF(OFFSET(PLE!$G$15,$M200-$A$15,BF$13)="",10^12,OFFSET(PLE!$G$15,$M200-$A$15,BF$13)))</f>
        <v>0</v>
      </c>
      <c r="BG200" s="172" cm="1">
        <f t="array" aca="1" ref="BG200" ca="1">IF(OR($D200&lt;&gt;"Serviço",AND(AUTOEVENTO="Manual",$M200=$A$15),$M200&gt;(ROW(PLE.lastrow)-ROW(PLE.firstrow))),0,
           IF(OFFSET(PLE!$G$15,$M200-$A$15,BG$13)="",10^12,OFFSET(PLE!$G$15,$M200-$A$15,BG$13)))</f>
        <v>0</v>
      </c>
    </row>
    <row r="201" spans="1:59" ht="51" x14ac:dyDescent="0.2">
      <c r="A201" s="7" t="str">
        <f t="shared" ca="1" si="8"/>
        <v>178</v>
      </c>
      <c r="B201" s="7" t="str">
        <f ca="1">OFFSET(ORÇAMENTO!C$15,$L201,0)</f>
        <v>S</v>
      </c>
      <c r="C201" s="7" t="str">
        <f ca="1">OFFSET(ORÇAMENTO!L$15,$L201,0)</f>
        <v>F</v>
      </c>
      <c r="D201" s="116" t="str">
        <f ca="1">OFFSET(ORÇAMENTO!N$15,$L201,0)</f>
        <v>Serviço</v>
      </c>
      <c r="E201" s="117" t="str">
        <f ca="1">OFFSET(ORÇAMENTO!O$15,$L201,0)</f>
        <v>1.10.2.2.1.</v>
      </c>
      <c r="F201" s="163" t="str">
        <f ca="1">OFFSET(ORÇAMENTO!R$15,$L201,0)</f>
        <v>CHAPISCO APLICADO EM ALVENARIA (SEM PRESENÇA DE VÃOS) E ESTRUTURAS DE CONCRETO DE FACHADA, COM COLHER DE PEDREIRO. ARGAMASSA TRAÇO 1:3 COM PREPARO EM BETONEIRA 400L. AF_10/2022</v>
      </c>
      <c r="G201" s="164" t="str">
        <f ca="1">IF($D201&lt;&gt;"Serviço","",OFFSET(ORÇAMENTO!S$15,$L201,0))</f>
        <v>M2</v>
      </c>
      <c r="H201" s="122" cm="1">
        <f t="array" aca="1" ref="H201" ca="1">IF($D201&lt;&gt;"Serviço",0,IF(ACOMPANHAMENTO="BM",ROUND(OFFSET(ORÇAMENTO!AJ$15,$L201,0),15-13*ORÇAMENTO!$AF$7),IF(IFERROR(CÁLCULO.FrentesPreenchidas,0)=0,0,SUM(ROUND(OFFSET($P201,0,1,1,CÁLCULO.FrentesPreenchidas),15-13*ORÇAMENTO!$AF$7)))))</f>
        <v>2545.5</v>
      </c>
      <c r="I201" s="468"/>
      <c r="J201" s="651" t="str" cm="1">
        <f t="array" aca="1" ref="J201" ca="1">IF(OR(B201&lt;&gt;"S",CÁLCULO.FrentesPreenchidas=0),"",IF(AND(ACOMPANHAMENTO="PLE",AUTOEVENTO="Manual",OR(H201&gt;0,ORÇAMENTO!AC201="QUANT."),OR(K201="",M201=0,N201="")),"►E",IF(AND(ACOMPANHAMENTO="PLE",ORÇAMENTO!AC201="QUANT."),"►Q",IF(AND(ACOMPANHAMENTO="PLE",H201&lt;&gt;SUMPRODUCT(($Q$1:$AA$1=1)*ROUND(Q201:AA201,15))),"►S",IF(AND(COUNTIF($P$11:$AA$11,"▼")=0,H201&gt;0,I201=""),"◄M","")))))</f>
        <v/>
      </c>
      <c r="K201" s="652"/>
      <c r="L201" s="165">
        <f t="shared" ca="1" si="9"/>
        <v>186</v>
      </c>
      <c r="M201" s="166">
        <f ca="1">IF($D201&lt;&gt;"Serviço","",
          IF(AUTOEVENTO="manual",$A201,
                IF(ISERROR(MATCH($A201,$A$15:OFFSET($A201,-1,0),0)),MAX($M$15:OFFSET(M201,-1,0))+1,
                      INDEX($M$15:OFFSET(M201,-1,0),MATCH($A201,$A$15:OFFSET($A201,-1,0),0)))))</f>
        <v>10</v>
      </c>
      <c r="N201" s="167" t="str">
        <f ca="1">IF($D201&lt;&gt;"Serviço","",
         IF(AUTOEVENTO="Manual",
                IF($A201=0,"&lt;-- defina o número do agrupador",
                       OFFSET(EVENTOS!$D$15,$A201-$A$15,0)),
                OFFSET($F$15,$A201,0)))</f>
        <v>REVESTIMENTOS</v>
      </c>
      <c r="O201" s="168"/>
      <c r="Q201" s="168"/>
      <c r="R201" s="169"/>
      <c r="S201" s="169"/>
      <c r="T201" s="169"/>
      <c r="U201" s="169"/>
      <c r="V201" s="169"/>
      <c r="W201" s="169"/>
      <c r="X201" s="169"/>
      <c r="Y201" s="169"/>
      <c r="Z201" s="170"/>
      <c r="AB201" s="453">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3">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3">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3">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3">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3">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3">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3">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3">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3">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1">
        <f ca="1">IF(OR($D201&lt;&gt;"Serviço",AND(AUTOEVENTO="Manual",$M201=$A$15)),0,
         IF(OFFSET(CRONOPLE!$F$15,$M201-$A$15,AM$13)=0,10^12,OFFSET(CRONOPLE!$F$15,$M201-$A$15,AM$13)))</f>
        <v>1000000000000</v>
      </c>
      <c r="AN201" s="171">
        <f ca="1">IF(OR($D201&lt;&gt;"Serviço",AND(AUTOEVENTO="Manual",$M201=$A$15)),0,
         IF(OFFSET(CRONOPLE!$F$15,$M201-$A$15,AN$13)=0,10^12,OFFSET(CRONOPLE!$F$15,$M201-$A$15,AN$13)))</f>
        <v>1000000000000</v>
      </c>
      <c r="AO201" s="171">
        <f ca="1">IF(OR($D201&lt;&gt;"Serviço",AND(AUTOEVENTO="Manual",$M201=$A$15)),0,
         IF(OFFSET(CRONOPLE!$F$15,$M201-$A$15,AO$13)=0,10^12,OFFSET(CRONOPLE!$F$15,$M201-$A$15,AO$13)))</f>
        <v>1000000000000</v>
      </c>
      <c r="AP201" s="171">
        <f ca="1">IF(OR($D201&lt;&gt;"Serviço",AND(AUTOEVENTO="Manual",$M201=$A$15)),0,
         IF(OFFSET(CRONOPLE!$F$15,$M201-$A$15,AP$13)=0,10^12,OFFSET(CRONOPLE!$F$15,$M201-$A$15,AP$13)))</f>
        <v>1000000000000</v>
      </c>
      <c r="AQ201" s="171">
        <f ca="1">IF(OR($D201&lt;&gt;"Serviço",AND(AUTOEVENTO="Manual",$M201=$A$15)),0,
         IF(OFFSET(CRONOPLE!$F$15,$M201-$A$15,AQ$13)=0,10^12,OFFSET(CRONOPLE!$F$15,$M201-$A$15,AQ$13)))</f>
        <v>1000000000000</v>
      </c>
      <c r="AR201" s="171">
        <f ca="1">IF(OR($D201&lt;&gt;"Serviço",AND(AUTOEVENTO="Manual",$M201=$A$15)),0,
         IF(OFFSET(CRONOPLE!$F$15,$M201-$A$15,AR$13)=0,10^12,OFFSET(CRONOPLE!$F$15,$M201-$A$15,AR$13)))</f>
        <v>1000000000000</v>
      </c>
      <c r="AS201" s="171">
        <f ca="1">IF(OR($D201&lt;&gt;"Serviço",AND(AUTOEVENTO="Manual",$M201=$A$15)),0,
         IF(OFFSET(CRONOPLE!$F$15,$M201-$A$15,AS$13)=0,10^12,OFFSET(CRONOPLE!$F$15,$M201-$A$15,AS$13)))</f>
        <v>1000000000000</v>
      </c>
      <c r="AT201" s="171">
        <f ca="1">IF(OR($D201&lt;&gt;"Serviço",AND(AUTOEVENTO="Manual",$M201=$A$15)),0,
         IF(OFFSET(CRONOPLE!$F$15,$M201-$A$15,AT$13)=0,10^12,OFFSET(CRONOPLE!$F$15,$M201-$A$15,AT$13)))</f>
        <v>1000000000000</v>
      </c>
      <c r="AU201" s="171">
        <f ca="1">IF(OR($D201&lt;&gt;"Serviço",AND(AUTOEVENTO="Manual",$M201=$A$15)),0,
         IF(OFFSET(CRONOPLE!$F$15,$M201-$A$15,AU$13)=0,10^12,OFFSET(CRONOPLE!$F$15,$M201-$A$15,AU$13)))</f>
        <v>1000000000000</v>
      </c>
      <c r="AV201" s="171">
        <f ca="1">IF(OR($D201&lt;&gt;"Serviço",AND(AUTOEVENTO="Manual",$M201=$A$15)),0,
         IF(OFFSET(CRONOPLE!$F$15,$M201-$A$15,AV$13)=0,10^12,OFFSET(CRONOPLE!$F$15,$M201-$A$15,AV$13)))</f>
        <v>1000000000000</v>
      </c>
      <c r="AX201" s="172" cm="1">
        <f t="array" aca="1" ref="AX201" ca="1">IF(OR($D201&lt;&gt;"Serviço",AND(AUTOEVENTO="Manual",$M201=$A$15),$M201&gt;(ROW(PLE.lastrow)-ROW(PLE.firstrow))),0,
           IF(OFFSET(PLE!$G$15,$M201-$A$15,AX$13)="",10^12,OFFSET(PLE!$G$15,$M201-$A$15,AX$13)))</f>
        <v>1000000000000</v>
      </c>
      <c r="AY201" s="172" cm="1">
        <f t="array" aca="1" ref="AY201" ca="1">IF(OR($D201&lt;&gt;"Serviço",AND(AUTOEVENTO="Manual",$M201=$A$15),$M201&gt;(ROW(PLE.lastrow)-ROW(PLE.firstrow))),0,
           IF(OFFSET(PLE!$G$15,$M201-$A$15,AY$13)="",10^12,OFFSET(PLE!$G$15,$M201-$A$15,AY$13)))</f>
        <v>1000000000000</v>
      </c>
      <c r="AZ201" s="172" cm="1">
        <f t="array" aca="1" ref="AZ201" ca="1">IF(OR($D201&lt;&gt;"Serviço",AND(AUTOEVENTO="Manual",$M201=$A$15),$M201&gt;(ROW(PLE.lastrow)-ROW(PLE.firstrow))),0,
           IF(OFFSET(PLE!$G$15,$M201-$A$15,AZ$13)="",10^12,OFFSET(PLE!$G$15,$M201-$A$15,AZ$13)))</f>
        <v>1000000000000</v>
      </c>
      <c r="BA201" s="172" cm="1">
        <f t="array" aca="1" ref="BA201" ca="1">IF(OR($D201&lt;&gt;"Serviço",AND(AUTOEVENTO="Manual",$M201=$A$15),$M201&gt;(ROW(PLE.lastrow)-ROW(PLE.firstrow))),0,
           IF(OFFSET(PLE!$G$15,$M201-$A$15,BA$13)="",10^12,OFFSET(PLE!$G$15,$M201-$A$15,BA$13)))</f>
        <v>1000000000000</v>
      </c>
      <c r="BB201" s="172" cm="1">
        <f t="array" aca="1" ref="BB201" ca="1">IF(OR($D201&lt;&gt;"Serviço",AND(AUTOEVENTO="Manual",$M201=$A$15),$M201&gt;(ROW(PLE.lastrow)-ROW(PLE.firstrow))),0,
           IF(OFFSET(PLE!$G$15,$M201-$A$15,BB$13)="",10^12,OFFSET(PLE!$G$15,$M201-$A$15,BB$13)))</f>
        <v>1000000000000</v>
      </c>
      <c r="BC201" s="172" cm="1">
        <f t="array" aca="1" ref="BC201" ca="1">IF(OR($D201&lt;&gt;"Serviço",AND(AUTOEVENTO="Manual",$M201=$A$15),$M201&gt;(ROW(PLE.lastrow)-ROW(PLE.firstrow))),0,
           IF(OFFSET(PLE!$G$15,$M201-$A$15,BC$13)="",10^12,OFFSET(PLE!$G$15,$M201-$A$15,BC$13)))</f>
        <v>1000000000000</v>
      </c>
      <c r="BD201" s="172" cm="1">
        <f t="array" aca="1" ref="BD201" ca="1">IF(OR($D201&lt;&gt;"Serviço",AND(AUTOEVENTO="Manual",$M201=$A$15),$M201&gt;(ROW(PLE.lastrow)-ROW(PLE.firstrow))),0,
           IF(OFFSET(PLE!$G$15,$M201-$A$15,BD$13)="",10^12,OFFSET(PLE!$G$15,$M201-$A$15,BD$13)))</f>
        <v>1000000000000</v>
      </c>
      <c r="BE201" s="172" cm="1">
        <f t="array" aca="1" ref="BE201" ca="1">IF(OR($D201&lt;&gt;"Serviço",AND(AUTOEVENTO="Manual",$M201=$A$15),$M201&gt;(ROW(PLE.lastrow)-ROW(PLE.firstrow))),0,
           IF(OFFSET(PLE!$G$15,$M201-$A$15,BE$13)="",10^12,OFFSET(PLE!$G$15,$M201-$A$15,BE$13)))</f>
        <v>1000000000000</v>
      </c>
      <c r="BF201" s="172" cm="1">
        <f t="array" aca="1" ref="BF201" ca="1">IF(OR($D201&lt;&gt;"Serviço",AND(AUTOEVENTO="Manual",$M201=$A$15),$M201&gt;(ROW(PLE.lastrow)-ROW(PLE.firstrow))),0,
           IF(OFFSET(PLE!$G$15,$M201-$A$15,BF$13)="",10^12,OFFSET(PLE!$G$15,$M201-$A$15,BF$13)))</f>
        <v>1000000000000</v>
      </c>
      <c r="BG201" s="172" cm="1">
        <f t="array" aca="1" ref="BG201" ca="1">IF(OR($D201&lt;&gt;"Serviço",AND(AUTOEVENTO="Manual",$M201=$A$15),$M201&gt;(ROW(PLE.lastrow)-ROW(PLE.firstrow))),0,
           IF(OFFSET(PLE!$G$15,$M201-$A$15,BG$13)="",10^12,OFFSET(PLE!$G$15,$M201-$A$15,BG$13)))</f>
        <v>1000000000000</v>
      </c>
    </row>
    <row r="202" spans="1:59" ht="51" x14ac:dyDescent="0.2">
      <c r="A202" s="7" t="str">
        <f t="shared" ca="1" si="8"/>
        <v>178</v>
      </c>
      <c r="B202" s="7" t="str">
        <f ca="1">OFFSET(ORÇAMENTO!C$15,$L202,0)</f>
        <v>S</v>
      </c>
      <c r="C202" s="7" t="str">
        <f ca="1">OFFSET(ORÇAMENTO!L$15,$L202,0)</f>
        <v>F</v>
      </c>
      <c r="D202" s="116" t="str">
        <f ca="1">OFFSET(ORÇAMENTO!N$15,$L202,0)</f>
        <v>Serviço</v>
      </c>
      <c r="E202" s="117" t="str">
        <f ca="1">OFFSET(ORÇAMENTO!O$15,$L202,0)</f>
        <v>1.10.2.2.2.</v>
      </c>
      <c r="F202" s="163" t="str">
        <f ca="1">OFFSET(ORÇAMENTO!R$15,$L202,0)</f>
        <v>EMBOÇO OU MASSA ÚNICA EM ARGAMASSA TRAÇO 1:2:8, PREPARO MANUAL, APLICADA MANUALMENTE EM PANOS CEGOS DE FACHADA (SEM PRESENÇA DE VÃOS), ESPESSURA DE 25 MM. AF_09/2022</v>
      </c>
      <c r="G202" s="164" t="str">
        <f ca="1">IF($D202&lt;&gt;"Serviço","",OFFSET(ORÇAMENTO!S$15,$L202,0))</f>
        <v>M2</v>
      </c>
      <c r="H202" s="122" cm="1">
        <f t="array" aca="1" ref="H202" ca="1">IF($D202&lt;&gt;"Serviço",0,IF(ACOMPANHAMENTO="BM",ROUND(OFFSET(ORÇAMENTO!AJ$15,$L202,0),15-13*ORÇAMENTO!$AF$7),IF(IFERROR(CÁLCULO.FrentesPreenchidas,0)=0,0,SUM(ROUND(OFFSET($P202,0,1,1,CÁLCULO.FrentesPreenchidas),15-13*ORÇAMENTO!$AF$7)))))</f>
        <v>2545.5</v>
      </c>
      <c r="I202" s="468"/>
      <c r="J202" s="651" t="str" cm="1">
        <f t="array" aca="1" ref="J202" ca="1">IF(OR(B202&lt;&gt;"S",CÁLCULO.FrentesPreenchidas=0),"",IF(AND(ACOMPANHAMENTO="PLE",AUTOEVENTO="Manual",OR(H202&gt;0,ORÇAMENTO!AC202="QUANT."),OR(K202="",M202=0,N202="")),"►E",IF(AND(ACOMPANHAMENTO="PLE",ORÇAMENTO!AC202="QUANT."),"►Q",IF(AND(ACOMPANHAMENTO="PLE",H202&lt;&gt;SUMPRODUCT(($Q$1:$AA$1=1)*ROUND(Q202:AA202,15))),"►S",IF(AND(COUNTIF($P$11:$AA$11,"▼")=0,H202&gt;0,I202=""),"◄M","")))))</f>
        <v/>
      </c>
      <c r="K202" s="652"/>
      <c r="L202" s="165">
        <f t="shared" ca="1" si="9"/>
        <v>187</v>
      </c>
      <c r="M202" s="166">
        <f ca="1">IF($D202&lt;&gt;"Serviço","",
          IF(AUTOEVENTO="manual",$A202,
                IF(ISERROR(MATCH($A202,$A$15:OFFSET($A202,-1,0),0)),MAX($M$15:OFFSET(M202,-1,0))+1,
                      INDEX($M$15:OFFSET(M202,-1,0),MATCH($A202,$A$15:OFFSET($A202,-1,0),0)))))</f>
        <v>10</v>
      </c>
      <c r="N202" s="167" t="str">
        <f ca="1">IF($D202&lt;&gt;"Serviço","",
         IF(AUTOEVENTO="Manual",
                IF($A202=0,"&lt;-- defina o número do agrupador",
                       OFFSET(EVENTOS!$D$15,$A202-$A$15,0)),
                OFFSET($F$15,$A202,0)))</f>
        <v>REVESTIMENTOS</v>
      </c>
      <c r="O202" s="168"/>
      <c r="Q202" s="168"/>
      <c r="R202" s="169"/>
      <c r="S202" s="169"/>
      <c r="T202" s="169"/>
      <c r="U202" s="169"/>
      <c r="V202" s="169"/>
      <c r="W202" s="169"/>
      <c r="X202" s="169"/>
      <c r="Y202" s="169"/>
      <c r="Z202" s="170"/>
      <c r="AB202" s="453">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3">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3">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3">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3">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3">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3">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3">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3">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3">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1">
        <f ca="1">IF(OR($D202&lt;&gt;"Serviço",AND(AUTOEVENTO="Manual",$M202=$A$15)),0,
         IF(OFFSET(CRONOPLE!$F$15,$M202-$A$15,AM$13)=0,10^12,OFFSET(CRONOPLE!$F$15,$M202-$A$15,AM$13)))</f>
        <v>1000000000000</v>
      </c>
      <c r="AN202" s="171">
        <f ca="1">IF(OR($D202&lt;&gt;"Serviço",AND(AUTOEVENTO="Manual",$M202=$A$15)),0,
         IF(OFFSET(CRONOPLE!$F$15,$M202-$A$15,AN$13)=0,10^12,OFFSET(CRONOPLE!$F$15,$M202-$A$15,AN$13)))</f>
        <v>1000000000000</v>
      </c>
      <c r="AO202" s="171">
        <f ca="1">IF(OR($D202&lt;&gt;"Serviço",AND(AUTOEVENTO="Manual",$M202=$A$15)),0,
         IF(OFFSET(CRONOPLE!$F$15,$M202-$A$15,AO$13)=0,10^12,OFFSET(CRONOPLE!$F$15,$M202-$A$15,AO$13)))</f>
        <v>1000000000000</v>
      </c>
      <c r="AP202" s="171">
        <f ca="1">IF(OR($D202&lt;&gt;"Serviço",AND(AUTOEVENTO="Manual",$M202=$A$15)),0,
         IF(OFFSET(CRONOPLE!$F$15,$M202-$A$15,AP$13)=0,10^12,OFFSET(CRONOPLE!$F$15,$M202-$A$15,AP$13)))</f>
        <v>1000000000000</v>
      </c>
      <c r="AQ202" s="171">
        <f ca="1">IF(OR($D202&lt;&gt;"Serviço",AND(AUTOEVENTO="Manual",$M202=$A$15)),0,
         IF(OFFSET(CRONOPLE!$F$15,$M202-$A$15,AQ$13)=0,10^12,OFFSET(CRONOPLE!$F$15,$M202-$A$15,AQ$13)))</f>
        <v>1000000000000</v>
      </c>
      <c r="AR202" s="171">
        <f ca="1">IF(OR($D202&lt;&gt;"Serviço",AND(AUTOEVENTO="Manual",$M202=$A$15)),0,
         IF(OFFSET(CRONOPLE!$F$15,$M202-$A$15,AR$13)=0,10^12,OFFSET(CRONOPLE!$F$15,$M202-$A$15,AR$13)))</f>
        <v>1000000000000</v>
      </c>
      <c r="AS202" s="171">
        <f ca="1">IF(OR($D202&lt;&gt;"Serviço",AND(AUTOEVENTO="Manual",$M202=$A$15)),0,
         IF(OFFSET(CRONOPLE!$F$15,$M202-$A$15,AS$13)=0,10^12,OFFSET(CRONOPLE!$F$15,$M202-$A$15,AS$13)))</f>
        <v>1000000000000</v>
      </c>
      <c r="AT202" s="171">
        <f ca="1">IF(OR($D202&lt;&gt;"Serviço",AND(AUTOEVENTO="Manual",$M202=$A$15)),0,
         IF(OFFSET(CRONOPLE!$F$15,$M202-$A$15,AT$13)=0,10^12,OFFSET(CRONOPLE!$F$15,$M202-$A$15,AT$13)))</f>
        <v>1000000000000</v>
      </c>
      <c r="AU202" s="171">
        <f ca="1">IF(OR($D202&lt;&gt;"Serviço",AND(AUTOEVENTO="Manual",$M202=$A$15)),0,
         IF(OFFSET(CRONOPLE!$F$15,$M202-$A$15,AU$13)=0,10^12,OFFSET(CRONOPLE!$F$15,$M202-$A$15,AU$13)))</f>
        <v>1000000000000</v>
      </c>
      <c r="AV202" s="171">
        <f ca="1">IF(OR($D202&lt;&gt;"Serviço",AND(AUTOEVENTO="Manual",$M202=$A$15)),0,
         IF(OFFSET(CRONOPLE!$F$15,$M202-$A$15,AV$13)=0,10^12,OFFSET(CRONOPLE!$F$15,$M202-$A$15,AV$13)))</f>
        <v>1000000000000</v>
      </c>
      <c r="AX202" s="172" cm="1">
        <f t="array" aca="1" ref="AX202" ca="1">IF(OR($D202&lt;&gt;"Serviço",AND(AUTOEVENTO="Manual",$M202=$A$15),$M202&gt;(ROW(PLE.lastrow)-ROW(PLE.firstrow))),0,
           IF(OFFSET(PLE!$G$15,$M202-$A$15,AX$13)="",10^12,OFFSET(PLE!$G$15,$M202-$A$15,AX$13)))</f>
        <v>1000000000000</v>
      </c>
      <c r="AY202" s="172" cm="1">
        <f t="array" aca="1" ref="AY202" ca="1">IF(OR($D202&lt;&gt;"Serviço",AND(AUTOEVENTO="Manual",$M202=$A$15),$M202&gt;(ROW(PLE.lastrow)-ROW(PLE.firstrow))),0,
           IF(OFFSET(PLE!$G$15,$M202-$A$15,AY$13)="",10^12,OFFSET(PLE!$G$15,$M202-$A$15,AY$13)))</f>
        <v>1000000000000</v>
      </c>
      <c r="AZ202" s="172" cm="1">
        <f t="array" aca="1" ref="AZ202" ca="1">IF(OR($D202&lt;&gt;"Serviço",AND(AUTOEVENTO="Manual",$M202=$A$15),$M202&gt;(ROW(PLE.lastrow)-ROW(PLE.firstrow))),0,
           IF(OFFSET(PLE!$G$15,$M202-$A$15,AZ$13)="",10^12,OFFSET(PLE!$G$15,$M202-$A$15,AZ$13)))</f>
        <v>1000000000000</v>
      </c>
      <c r="BA202" s="172" cm="1">
        <f t="array" aca="1" ref="BA202" ca="1">IF(OR($D202&lt;&gt;"Serviço",AND(AUTOEVENTO="Manual",$M202=$A$15),$M202&gt;(ROW(PLE.lastrow)-ROW(PLE.firstrow))),0,
           IF(OFFSET(PLE!$G$15,$M202-$A$15,BA$13)="",10^12,OFFSET(PLE!$G$15,$M202-$A$15,BA$13)))</f>
        <v>1000000000000</v>
      </c>
      <c r="BB202" s="172" cm="1">
        <f t="array" aca="1" ref="BB202" ca="1">IF(OR($D202&lt;&gt;"Serviço",AND(AUTOEVENTO="Manual",$M202=$A$15),$M202&gt;(ROW(PLE.lastrow)-ROW(PLE.firstrow))),0,
           IF(OFFSET(PLE!$G$15,$M202-$A$15,BB$13)="",10^12,OFFSET(PLE!$G$15,$M202-$A$15,BB$13)))</f>
        <v>1000000000000</v>
      </c>
      <c r="BC202" s="172" cm="1">
        <f t="array" aca="1" ref="BC202" ca="1">IF(OR($D202&lt;&gt;"Serviço",AND(AUTOEVENTO="Manual",$M202=$A$15),$M202&gt;(ROW(PLE.lastrow)-ROW(PLE.firstrow))),0,
           IF(OFFSET(PLE!$G$15,$M202-$A$15,BC$13)="",10^12,OFFSET(PLE!$G$15,$M202-$A$15,BC$13)))</f>
        <v>1000000000000</v>
      </c>
      <c r="BD202" s="172" cm="1">
        <f t="array" aca="1" ref="BD202" ca="1">IF(OR($D202&lt;&gt;"Serviço",AND(AUTOEVENTO="Manual",$M202=$A$15),$M202&gt;(ROW(PLE.lastrow)-ROW(PLE.firstrow))),0,
           IF(OFFSET(PLE!$G$15,$M202-$A$15,BD$13)="",10^12,OFFSET(PLE!$G$15,$M202-$A$15,BD$13)))</f>
        <v>1000000000000</v>
      </c>
      <c r="BE202" s="172" cm="1">
        <f t="array" aca="1" ref="BE202" ca="1">IF(OR($D202&lt;&gt;"Serviço",AND(AUTOEVENTO="Manual",$M202=$A$15),$M202&gt;(ROW(PLE.lastrow)-ROW(PLE.firstrow))),0,
           IF(OFFSET(PLE!$G$15,$M202-$A$15,BE$13)="",10^12,OFFSET(PLE!$G$15,$M202-$A$15,BE$13)))</f>
        <v>1000000000000</v>
      </c>
      <c r="BF202" s="172" cm="1">
        <f t="array" aca="1" ref="BF202" ca="1">IF(OR($D202&lt;&gt;"Serviço",AND(AUTOEVENTO="Manual",$M202=$A$15),$M202&gt;(ROW(PLE.lastrow)-ROW(PLE.firstrow))),0,
           IF(OFFSET(PLE!$G$15,$M202-$A$15,BF$13)="",10^12,OFFSET(PLE!$G$15,$M202-$A$15,BF$13)))</f>
        <v>1000000000000</v>
      </c>
      <c r="BG202" s="172" cm="1">
        <f t="array" aca="1" ref="BG202" ca="1">IF(OR($D202&lt;&gt;"Serviço",AND(AUTOEVENTO="Manual",$M202=$A$15),$M202&gt;(ROW(PLE.lastrow)-ROW(PLE.firstrow))),0,
           IF(OFFSET(PLE!$G$15,$M202-$A$15,BG$13)="",10^12,OFFSET(PLE!$G$15,$M202-$A$15,BG$13)))</f>
        <v>1000000000000</v>
      </c>
    </row>
    <row r="203" spans="1:59" ht="12.75" x14ac:dyDescent="0.2">
      <c r="A203" s="7" t="str">
        <f t="shared" ca="1" si="8"/>
        <v>178</v>
      </c>
      <c r="B203" s="7">
        <f ca="1">OFFSET(ORÇAMENTO!C$15,$L203,0)</f>
        <v>3</v>
      </c>
      <c r="C203" s="7" t="str">
        <f ca="1">OFFSET(ORÇAMENTO!L$15,$L203,0)</f>
        <v>F</v>
      </c>
      <c r="D203" s="116" t="str">
        <f ca="1">OFFSET(ORÇAMENTO!N$15,$L203,0)</f>
        <v>Nível 3</v>
      </c>
      <c r="E203" s="117" t="str">
        <f ca="1">OFFSET(ORÇAMENTO!O$15,$L203,0)</f>
        <v>1.10.3.</v>
      </c>
      <c r="F203" s="163" t="str">
        <f ca="1">OFFSET(ORÇAMENTO!R$15,$L203,0)</f>
        <v>INTERNO</v>
      </c>
      <c r="G203" s="164" t="str">
        <f ca="1">IF($D203&lt;&gt;"Serviço","",OFFSET(ORÇAMENTO!S$15,$L203,0))</f>
        <v/>
      </c>
      <c r="H203" s="122" cm="1">
        <f t="array" aca="1" ref="H203" ca="1">IF($D203&lt;&gt;"Serviço",0,IF(ACOMPANHAMENTO="BM",ROUND(OFFSET(ORÇAMENTO!AJ$15,$L203,0),15-13*ORÇAMENTO!$AF$7),IF(IFERROR(CÁLCULO.FrentesPreenchidas,0)=0,0,SUM(ROUND(OFFSET($P203,0,1,1,CÁLCULO.FrentesPreenchidas),15-13*ORÇAMENTO!$AF$7)))))</f>
        <v>0</v>
      </c>
      <c r="I203" s="468"/>
      <c r="J203" s="651" t="str" cm="1">
        <f t="array" aca="1" ref="J203" ca="1">IF(OR(B203&lt;&gt;"S",CÁLCULO.FrentesPreenchidas=0),"",IF(AND(ACOMPANHAMENTO="PLE",AUTOEVENTO="Manual",OR(H203&gt;0,ORÇAMENTO!AC203="QUANT."),OR(K203="",M203=0,N203="")),"►E",IF(AND(ACOMPANHAMENTO="PLE",ORÇAMENTO!AC203="QUANT."),"►Q",IF(AND(ACOMPANHAMENTO="PLE",H203&lt;&gt;SUMPRODUCT(($Q$1:$AA$1=1)*ROUND(Q203:AA203,15))),"►S",IF(AND(COUNTIF($P$11:$AA$11,"▼")=0,H203&gt;0,I203=""),"◄M","")))))</f>
        <v/>
      </c>
      <c r="K203" s="652"/>
      <c r="L203" s="165">
        <f t="shared" ca="1" si="9"/>
        <v>188</v>
      </c>
      <c r="M203" s="166" t="str">
        <f ca="1">IF($D203&lt;&gt;"Serviço","",
          IF(AUTOEVENTO="manual",$A203,
                IF(ISERROR(MATCH($A203,$A$15:OFFSET($A203,-1,0),0)),MAX($M$15:OFFSET(M203,-1,0))+1,
                      INDEX($M$15:OFFSET(M203,-1,0),MATCH($A203,$A$15:OFFSET($A203,-1,0),0)))))</f>
        <v/>
      </c>
      <c r="N203" s="167" t="str">
        <f ca="1">IF($D203&lt;&gt;"Serviço","",
         IF(AUTOEVENTO="Manual",
                IF($A203=0,"&lt;-- defina o número do agrupador",
                       OFFSET(EVENTOS!$D$15,$A203-$A$15,0)),
                OFFSET($F$15,$A203,0)))</f>
        <v/>
      </c>
      <c r="O203" s="168"/>
      <c r="Q203" s="168"/>
      <c r="R203" s="169"/>
      <c r="S203" s="169"/>
      <c r="T203" s="169"/>
      <c r="U203" s="169"/>
      <c r="V203" s="169"/>
      <c r="W203" s="169"/>
      <c r="X203" s="169"/>
      <c r="Y203" s="169"/>
      <c r="Z203" s="170"/>
      <c r="AB203" s="453">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3">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3">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3">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3">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3">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3">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3">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3">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3">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1">
        <f ca="1">IF(OR($D203&lt;&gt;"Serviço",AND(AUTOEVENTO="Manual",$M203=$A$15)),0,
         IF(OFFSET(CRONOPLE!$F$15,$M203-$A$15,AM$13)=0,10^12,OFFSET(CRONOPLE!$F$15,$M203-$A$15,AM$13)))</f>
        <v>0</v>
      </c>
      <c r="AN203" s="171">
        <f ca="1">IF(OR($D203&lt;&gt;"Serviço",AND(AUTOEVENTO="Manual",$M203=$A$15)),0,
         IF(OFFSET(CRONOPLE!$F$15,$M203-$A$15,AN$13)=0,10^12,OFFSET(CRONOPLE!$F$15,$M203-$A$15,AN$13)))</f>
        <v>0</v>
      </c>
      <c r="AO203" s="171">
        <f ca="1">IF(OR($D203&lt;&gt;"Serviço",AND(AUTOEVENTO="Manual",$M203=$A$15)),0,
         IF(OFFSET(CRONOPLE!$F$15,$M203-$A$15,AO$13)=0,10^12,OFFSET(CRONOPLE!$F$15,$M203-$A$15,AO$13)))</f>
        <v>0</v>
      </c>
      <c r="AP203" s="171">
        <f ca="1">IF(OR($D203&lt;&gt;"Serviço",AND(AUTOEVENTO="Manual",$M203=$A$15)),0,
         IF(OFFSET(CRONOPLE!$F$15,$M203-$A$15,AP$13)=0,10^12,OFFSET(CRONOPLE!$F$15,$M203-$A$15,AP$13)))</f>
        <v>0</v>
      </c>
      <c r="AQ203" s="171">
        <f ca="1">IF(OR($D203&lt;&gt;"Serviço",AND(AUTOEVENTO="Manual",$M203=$A$15)),0,
         IF(OFFSET(CRONOPLE!$F$15,$M203-$A$15,AQ$13)=0,10^12,OFFSET(CRONOPLE!$F$15,$M203-$A$15,AQ$13)))</f>
        <v>0</v>
      </c>
      <c r="AR203" s="171">
        <f ca="1">IF(OR($D203&lt;&gt;"Serviço",AND(AUTOEVENTO="Manual",$M203=$A$15)),0,
         IF(OFFSET(CRONOPLE!$F$15,$M203-$A$15,AR$13)=0,10^12,OFFSET(CRONOPLE!$F$15,$M203-$A$15,AR$13)))</f>
        <v>0</v>
      </c>
      <c r="AS203" s="171">
        <f ca="1">IF(OR($D203&lt;&gt;"Serviço",AND(AUTOEVENTO="Manual",$M203=$A$15)),0,
         IF(OFFSET(CRONOPLE!$F$15,$M203-$A$15,AS$13)=0,10^12,OFFSET(CRONOPLE!$F$15,$M203-$A$15,AS$13)))</f>
        <v>0</v>
      </c>
      <c r="AT203" s="171">
        <f ca="1">IF(OR($D203&lt;&gt;"Serviço",AND(AUTOEVENTO="Manual",$M203=$A$15)),0,
         IF(OFFSET(CRONOPLE!$F$15,$M203-$A$15,AT$13)=0,10^12,OFFSET(CRONOPLE!$F$15,$M203-$A$15,AT$13)))</f>
        <v>0</v>
      </c>
      <c r="AU203" s="171">
        <f ca="1">IF(OR($D203&lt;&gt;"Serviço",AND(AUTOEVENTO="Manual",$M203=$A$15)),0,
         IF(OFFSET(CRONOPLE!$F$15,$M203-$A$15,AU$13)=0,10^12,OFFSET(CRONOPLE!$F$15,$M203-$A$15,AU$13)))</f>
        <v>0</v>
      </c>
      <c r="AV203" s="171">
        <f ca="1">IF(OR($D203&lt;&gt;"Serviço",AND(AUTOEVENTO="Manual",$M203=$A$15)),0,
         IF(OFFSET(CRONOPLE!$F$15,$M203-$A$15,AV$13)=0,10^12,OFFSET(CRONOPLE!$F$15,$M203-$A$15,AV$13)))</f>
        <v>0</v>
      </c>
      <c r="AX203" s="172" cm="1">
        <f t="array" aca="1" ref="AX203" ca="1">IF(OR($D203&lt;&gt;"Serviço",AND(AUTOEVENTO="Manual",$M203=$A$15),$M203&gt;(ROW(PLE.lastrow)-ROW(PLE.firstrow))),0,
           IF(OFFSET(PLE!$G$15,$M203-$A$15,AX$13)="",10^12,OFFSET(PLE!$G$15,$M203-$A$15,AX$13)))</f>
        <v>0</v>
      </c>
      <c r="AY203" s="172" cm="1">
        <f t="array" aca="1" ref="AY203" ca="1">IF(OR($D203&lt;&gt;"Serviço",AND(AUTOEVENTO="Manual",$M203=$A$15),$M203&gt;(ROW(PLE.lastrow)-ROW(PLE.firstrow))),0,
           IF(OFFSET(PLE!$G$15,$M203-$A$15,AY$13)="",10^12,OFFSET(PLE!$G$15,$M203-$A$15,AY$13)))</f>
        <v>0</v>
      </c>
      <c r="AZ203" s="172" cm="1">
        <f t="array" aca="1" ref="AZ203" ca="1">IF(OR($D203&lt;&gt;"Serviço",AND(AUTOEVENTO="Manual",$M203=$A$15),$M203&gt;(ROW(PLE.lastrow)-ROW(PLE.firstrow))),0,
           IF(OFFSET(PLE!$G$15,$M203-$A$15,AZ$13)="",10^12,OFFSET(PLE!$G$15,$M203-$A$15,AZ$13)))</f>
        <v>0</v>
      </c>
      <c r="BA203" s="172" cm="1">
        <f t="array" aca="1" ref="BA203" ca="1">IF(OR($D203&lt;&gt;"Serviço",AND(AUTOEVENTO="Manual",$M203=$A$15),$M203&gt;(ROW(PLE.lastrow)-ROW(PLE.firstrow))),0,
           IF(OFFSET(PLE!$G$15,$M203-$A$15,BA$13)="",10^12,OFFSET(PLE!$G$15,$M203-$A$15,BA$13)))</f>
        <v>0</v>
      </c>
      <c r="BB203" s="172" cm="1">
        <f t="array" aca="1" ref="BB203" ca="1">IF(OR($D203&lt;&gt;"Serviço",AND(AUTOEVENTO="Manual",$M203=$A$15),$M203&gt;(ROW(PLE.lastrow)-ROW(PLE.firstrow))),0,
           IF(OFFSET(PLE!$G$15,$M203-$A$15,BB$13)="",10^12,OFFSET(PLE!$G$15,$M203-$A$15,BB$13)))</f>
        <v>0</v>
      </c>
      <c r="BC203" s="172" cm="1">
        <f t="array" aca="1" ref="BC203" ca="1">IF(OR($D203&lt;&gt;"Serviço",AND(AUTOEVENTO="Manual",$M203=$A$15),$M203&gt;(ROW(PLE.lastrow)-ROW(PLE.firstrow))),0,
           IF(OFFSET(PLE!$G$15,$M203-$A$15,BC$13)="",10^12,OFFSET(PLE!$G$15,$M203-$A$15,BC$13)))</f>
        <v>0</v>
      </c>
      <c r="BD203" s="172" cm="1">
        <f t="array" aca="1" ref="BD203" ca="1">IF(OR($D203&lt;&gt;"Serviço",AND(AUTOEVENTO="Manual",$M203=$A$15),$M203&gt;(ROW(PLE.lastrow)-ROW(PLE.firstrow))),0,
           IF(OFFSET(PLE!$G$15,$M203-$A$15,BD$13)="",10^12,OFFSET(PLE!$G$15,$M203-$A$15,BD$13)))</f>
        <v>0</v>
      </c>
      <c r="BE203" s="172" cm="1">
        <f t="array" aca="1" ref="BE203" ca="1">IF(OR($D203&lt;&gt;"Serviço",AND(AUTOEVENTO="Manual",$M203=$A$15),$M203&gt;(ROW(PLE.lastrow)-ROW(PLE.firstrow))),0,
           IF(OFFSET(PLE!$G$15,$M203-$A$15,BE$13)="",10^12,OFFSET(PLE!$G$15,$M203-$A$15,BE$13)))</f>
        <v>0</v>
      </c>
      <c r="BF203" s="172" cm="1">
        <f t="array" aca="1" ref="BF203" ca="1">IF(OR($D203&lt;&gt;"Serviço",AND(AUTOEVENTO="Manual",$M203=$A$15),$M203&gt;(ROW(PLE.lastrow)-ROW(PLE.firstrow))),0,
           IF(OFFSET(PLE!$G$15,$M203-$A$15,BF$13)="",10^12,OFFSET(PLE!$G$15,$M203-$A$15,BF$13)))</f>
        <v>0</v>
      </c>
      <c r="BG203" s="172" cm="1">
        <f t="array" aca="1" ref="BG203" ca="1">IF(OR($D203&lt;&gt;"Serviço",AND(AUTOEVENTO="Manual",$M203=$A$15),$M203&gt;(ROW(PLE.lastrow)-ROW(PLE.firstrow))),0,
           IF(OFFSET(PLE!$G$15,$M203-$A$15,BG$13)="",10^12,OFFSET(PLE!$G$15,$M203-$A$15,BG$13)))</f>
        <v>0</v>
      </c>
    </row>
    <row r="204" spans="1:59" ht="12.75" x14ac:dyDescent="0.2">
      <c r="A204" s="7" t="str">
        <f t="shared" ca="1" si="8"/>
        <v>178</v>
      </c>
      <c r="B204" s="7">
        <f ca="1">OFFSET(ORÇAMENTO!C$15,$L204,0)</f>
        <v>4</v>
      </c>
      <c r="C204" s="7" t="str">
        <f ca="1">OFFSET(ORÇAMENTO!L$15,$L204,0)</f>
        <v>F</v>
      </c>
      <c r="D204" s="116" t="str">
        <f ca="1">OFFSET(ORÇAMENTO!N$15,$L204,0)</f>
        <v>Nível 4</v>
      </c>
      <c r="E204" s="117" t="str">
        <f ca="1">OFFSET(ORÇAMENTO!O$15,$L204,0)</f>
        <v>1.10.3.1.</v>
      </c>
      <c r="F204" s="163" t="str">
        <f ca="1">OFFSET(ORÇAMENTO!R$15,$L204,0)</f>
        <v>PISOS - SOBRE LAJE</v>
      </c>
      <c r="G204" s="164" t="str">
        <f ca="1">IF($D204&lt;&gt;"Serviço","",OFFSET(ORÇAMENTO!S$15,$L204,0))</f>
        <v/>
      </c>
      <c r="H204" s="122" cm="1">
        <f t="array" aca="1" ref="H204" ca="1">IF($D204&lt;&gt;"Serviço",0,IF(ACOMPANHAMENTO="BM",ROUND(OFFSET(ORÇAMENTO!AJ$15,$L204,0),15-13*ORÇAMENTO!$AF$7),IF(IFERROR(CÁLCULO.FrentesPreenchidas,0)=0,0,SUM(ROUND(OFFSET($P204,0,1,1,CÁLCULO.FrentesPreenchidas),15-13*ORÇAMENTO!$AF$7)))))</f>
        <v>0</v>
      </c>
      <c r="I204" s="468"/>
      <c r="J204" s="651" t="str" cm="1">
        <f t="array" aca="1" ref="J204" ca="1">IF(OR(B204&lt;&gt;"S",CÁLCULO.FrentesPreenchidas=0),"",IF(AND(ACOMPANHAMENTO="PLE",AUTOEVENTO="Manual",OR(H204&gt;0,ORÇAMENTO!AC204="QUANT."),OR(K204="",M204=0,N204="")),"►E",IF(AND(ACOMPANHAMENTO="PLE",ORÇAMENTO!AC204="QUANT."),"►Q",IF(AND(ACOMPANHAMENTO="PLE",H204&lt;&gt;SUMPRODUCT(($Q$1:$AA$1=1)*ROUND(Q204:AA204,15))),"►S",IF(AND(COUNTIF($P$11:$AA$11,"▼")=0,H204&gt;0,I204=""),"◄M","")))))</f>
        <v/>
      </c>
      <c r="K204" s="652"/>
      <c r="L204" s="165">
        <f t="shared" ca="1" si="9"/>
        <v>189</v>
      </c>
      <c r="M204" s="166" t="str">
        <f ca="1">IF($D204&lt;&gt;"Serviço","",
          IF(AUTOEVENTO="manual",$A204,
                IF(ISERROR(MATCH($A204,$A$15:OFFSET($A204,-1,0),0)),MAX($M$15:OFFSET(M204,-1,0))+1,
                      INDEX($M$15:OFFSET(M204,-1,0),MATCH($A204,$A$15:OFFSET($A204,-1,0),0)))))</f>
        <v/>
      </c>
      <c r="N204" s="167" t="str">
        <f ca="1">IF($D204&lt;&gt;"Serviço","",
         IF(AUTOEVENTO="Manual",
                IF($A204=0,"&lt;-- defina o número do agrupador",
                       OFFSET(EVENTOS!$D$15,$A204-$A$15,0)),
                OFFSET($F$15,$A204,0)))</f>
        <v/>
      </c>
      <c r="O204" s="168"/>
      <c r="Q204" s="168"/>
      <c r="R204" s="169"/>
      <c r="S204" s="169"/>
      <c r="T204" s="169"/>
      <c r="U204" s="169"/>
      <c r="V204" s="169"/>
      <c r="W204" s="169"/>
      <c r="X204" s="169"/>
      <c r="Y204" s="169"/>
      <c r="Z204" s="170"/>
      <c r="AB204" s="453">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3">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3">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3">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3">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3">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3">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3">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3">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3">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1">
        <f ca="1">IF(OR($D204&lt;&gt;"Serviço",AND(AUTOEVENTO="Manual",$M204=$A$15)),0,
         IF(OFFSET(CRONOPLE!$F$15,$M204-$A$15,AM$13)=0,10^12,OFFSET(CRONOPLE!$F$15,$M204-$A$15,AM$13)))</f>
        <v>0</v>
      </c>
      <c r="AN204" s="171">
        <f ca="1">IF(OR($D204&lt;&gt;"Serviço",AND(AUTOEVENTO="Manual",$M204=$A$15)),0,
         IF(OFFSET(CRONOPLE!$F$15,$M204-$A$15,AN$13)=0,10^12,OFFSET(CRONOPLE!$F$15,$M204-$A$15,AN$13)))</f>
        <v>0</v>
      </c>
      <c r="AO204" s="171">
        <f ca="1">IF(OR($D204&lt;&gt;"Serviço",AND(AUTOEVENTO="Manual",$M204=$A$15)),0,
         IF(OFFSET(CRONOPLE!$F$15,$M204-$A$15,AO$13)=0,10^12,OFFSET(CRONOPLE!$F$15,$M204-$A$15,AO$13)))</f>
        <v>0</v>
      </c>
      <c r="AP204" s="171">
        <f ca="1">IF(OR($D204&lt;&gt;"Serviço",AND(AUTOEVENTO="Manual",$M204=$A$15)),0,
         IF(OFFSET(CRONOPLE!$F$15,$M204-$A$15,AP$13)=0,10^12,OFFSET(CRONOPLE!$F$15,$M204-$A$15,AP$13)))</f>
        <v>0</v>
      </c>
      <c r="AQ204" s="171">
        <f ca="1">IF(OR($D204&lt;&gt;"Serviço",AND(AUTOEVENTO="Manual",$M204=$A$15)),0,
         IF(OFFSET(CRONOPLE!$F$15,$M204-$A$15,AQ$13)=0,10^12,OFFSET(CRONOPLE!$F$15,$M204-$A$15,AQ$13)))</f>
        <v>0</v>
      </c>
      <c r="AR204" s="171">
        <f ca="1">IF(OR($D204&lt;&gt;"Serviço",AND(AUTOEVENTO="Manual",$M204=$A$15)),0,
         IF(OFFSET(CRONOPLE!$F$15,$M204-$A$15,AR$13)=0,10^12,OFFSET(CRONOPLE!$F$15,$M204-$A$15,AR$13)))</f>
        <v>0</v>
      </c>
      <c r="AS204" s="171">
        <f ca="1">IF(OR($D204&lt;&gt;"Serviço",AND(AUTOEVENTO="Manual",$M204=$A$15)),0,
         IF(OFFSET(CRONOPLE!$F$15,$M204-$A$15,AS$13)=0,10^12,OFFSET(CRONOPLE!$F$15,$M204-$A$15,AS$13)))</f>
        <v>0</v>
      </c>
      <c r="AT204" s="171">
        <f ca="1">IF(OR($D204&lt;&gt;"Serviço",AND(AUTOEVENTO="Manual",$M204=$A$15)),0,
         IF(OFFSET(CRONOPLE!$F$15,$M204-$A$15,AT$13)=0,10^12,OFFSET(CRONOPLE!$F$15,$M204-$A$15,AT$13)))</f>
        <v>0</v>
      </c>
      <c r="AU204" s="171">
        <f ca="1">IF(OR($D204&lt;&gt;"Serviço",AND(AUTOEVENTO="Manual",$M204=$A$15)),0,
         IF(OFFSET(CRONOPLE!$F$15,$M204-$A$15,AU$13)=0,10^12,OFFSET(CRONOPLE!$F$15,$M204-$A$15,AU$13)))</f>
        <v>0</v>
      </c>
      <c r="AV204" s="171">
        <f ca="1">IF(OR($D204&lt;&gt;"Serviço",AND(AUTOEVENTO="Manual",$M204=$A$15)),0,
         IF(OFFSET(CRONOPLE!$F$15,$M204-$A$15,AV$13)=0,10^12,OFFSET(CRONOPLE!$F$15,$M204-$A$15,AV$13)))</f>
        <v>0</v>
      </c>
      <c r="AX204" s="172" cm="1">
        <f t="array" aca="1" ref="AX204" ca="1">IF(OR($D204&lt;&gt;"Serviço",AND(AUTOEVENTO="Manual",$M204=$A$15),$M204&gt;(ROW(PLE.lastrow)-ROW(PLE.firstrow))),0,
           IF(OFFSET(PLE!$G$15,$M204-$A$15,AX$13)="",10^12,OFFSET(PLE!$G$15,$M204-$A$15,AX$13)))</f>
        <v>0</v>
      </c>
      <c r="AY204" s="172" cm="1">
        <f t="array" aca="1" ref="AY204" ca="1">IF(OR($D204&lt;&gt;"Serviço",AND(AUTOEVENTO="Manual",$M204=$A$15),$M204&gt;(ROW(PLE.lastrow)-ROW(PLE.firstrow))),0,
           IF(OFFSET(PLE!$G$15,$M204-$A$15,AY$13)="",10^12,OFFSET(PLE!$G$15,$M204-$A$15,AY$13)))</f>
        <v>0</v>
      </c>
      <c r="AZ204" s="172" cm="1">
        <f t="array" aca="1" ref="AZ204" ca="1">IF(OR($D204&lt;&gt;"Serviço",AND(AUTOEVENTO="Manual",$M204=$A$15),$M204&gt;(ROW(PLE.lastrow)-ROW(PLE.firstrow))),0,
           IF(OFFSET(PLE!$G$15,$M204-$A$15,AZ$13)="",10^12,OFFSET(PLE!$G$15,$M204-$A$15,AZ$13)))</f>
        <v>0</v>
      </c>
      <c r="BA204" s="172" cm="1">
        <f t="array" aca="1" ref="BA204" ca="1">IF(OR($D204&lt;&gt;"Serviço",AND(AUTOEVENTO="Manual",$M204=$A$15),$M204&gt;(ROW(PLE.lastrow)-ROW(PLE.firstrow))),0,
           IF(OFFSET(PLE!$G$15,$M204-$A$15,BA$13)="",10^12,OFFSET(PLE!$G$15,$M204-$A$15,BA$13)))</f>
        <v>0</v>
      </c>
      <c r="BB204" s="172" cm="1">
        <f t="array" aca="1" ref="BB204" ca="1">IF(OR($D204&lt;&gt;"Serviço",AND(AUTOEVENTO="Manual",$M204=$A$15),$M204&gt;(ROW(PLE.lastrow)-ROW(PLE.firstrow))),0,
           IF(OFFSET(PLE!$G$15,$M204-$A$15,BB$13)="",10^12,OFFSET(PLE!$G$15,$M204-$A$15,BB$13)))</f>
        <v>0</v>
      </c>
      <c r="BC204" s="172" cm="1">
        <f t="array" aca="1" ref="BC204" ca="1">IF(OR($D204&lt;&gt;"Serviço",AND(AUTOEVENTO="Manual",$M204=$A$15),$M204&gt;(ROW(PLE.lastrow)-ROW(PLE.firstrow))),0,
           IF(OFFSET(PLE!$G$15,$M204-$A$15,BC$13)="",10^12,OFFSET(PLE!$G$15,$M204-$A$15,BC$13)))</f>
        <v>0</v>
      </c>
      <c r="BD204" s="172" cm="1">
        <f t="array" aca="1" ref="BD204" ca="1">IF(OR($D204&lt;&gt;"Serviço",AND(AUTOEVENTO="Manual",$M204=$A$15),$M204&gt;(ROW(PLE.lastrow)-ROW(PLE.firstrow))),0,
           IF(OFFSET(PLE!$G$15,$M204-$A$15,BD$13)="",10^12,OFFSET(PLE!$G$15,$M204-$A$15,BD$13)))</f>
        <v>0</v>
      </c>
      <c r="BE204" s="172" cm="1">
        <f t="array" aca="1" ref="BE204" ca="1">IF(OR($D204&lt;&gt;"Serviço",AND(AUTOEVENTO="Manual",$M204=$A$15),$M204&gt;(ROW(PLE.lastrow)-ROW(PLE.firstrow))),0,
           IF(OFFSET(PLE!$G$15,$M204-$A$15,BE$13)="",10^12,OFFSET(PLE!$G$15,$M204-$A$15,BE$13)))</f>
        <v>0</v>
      </c>
      <c r="BF204" s="172" cm="1">
        <f t="array" aca="1" ref="BF204" ca="1">IF(OR($D204&lt;&gt;"Serviço",AND(AUTOEVENTO="Manual",$M204=$A$15),$M204&gt;(ROW(PLE.lastrow)-ROW(PLE.firstrow))),0,
           IF(OFFSET(PLE!$G$15,$M204-$A$15,BF$13)="",10^12,OFFSET(PLE!$G$15,$M204-$A$15,BF$13)))</f>
        <v>0</v>
      </c>
      <c r="BG204" s="172" cm="1">
        <f t="array" aca="1" ref="BG204" ca="1">IF(OR($D204&lt;&gt;"Serviço",AND(AUTOEVENTO="Manual",$M204=$A$15),$M204&gt;(ROW(PLE.lastrow)-ROW(PLE.firstrow))),0,
           IF(OFFSET(PLE!$G$15,$M204-$A$15,BG$13)="",10^12,OFFSET(PLE!$G$15,$M204-$A$15,BG$13)))</f>
        <v>0</v>
      </c>
    </row>
    <row r="205" spans="1:59" ht="25.5" x14ac:dyDescent="0.2">
      <c r="A205" s="7" t="str">
        <f t="shared" ca="1" si="8"/>
        <v>178</v>
      </c>
      <c r="B205" s="7" t="str">
        <f ca="1">OFFSET(ORÇAMENTO!C$15,$L205,0)</f>
        <v>S</v>
      </c>
      <c r="C205" s="7" t="str">
        <f ca="1">OFFSET(ORÇAMENTO!L$15,$L205,0)</f>
        <v>F</v>
      </c>
      <c r="D205" s="116" t="str">
        <f ca="1">OFFSET(ORÇAMENTO!N$15,$L205,0)</f>
        <v>Serviço</v>
      </c>
      <c r="E205" s="117" t="str">
        <f ca="1">OFFSET(ORÇAMENTO!O$15,$L205,0)</f>
        <v>1.10.3.1.1.</v>
      </c>
      <c r="F205" s="163" t="str">
        <f ca="1">OFFSET(ORÇAMENTO!R$15,$L205,0)</f>
        <v>CONTRAPISO COM ARGAMASSA AUTONIVELANTE, APLICADO SOBRE LAJE, NÃO ADERIDO, ESPESSURA 4CM. AF_07/2021</v>
      </c>
      <c r="G205" s="164" t="str">
        <f ca="1">IF($D205&lt;&gt;"Serviço","",OFFSET(ORÇAMENTO!S$15,$L205,0))</f>
        <v>M2</v>
      </c>
      <c r="H205" s="122" cm="1">
        <f t="array" aca="1" ref="H205" ca="1">IF($D205&lt;&gt;"Serviço",0,IF(ACOMPANHAMENTO="BM",ROUND(OFFSET(ORÇAMENTO!AJ$15,$L205,0),15-13*ORÇAMENTO!$AF$7),IF(IFERROR(CÁLCULO.FrentesPreenchidas,0)=0,0,SUM(ROUND(OFFSET($P205,0,1,1,CÁLCULO.FrentesPreenchidas),15-13*ORÇAMENTO!$AF$7)))))</f>
        <v>453.84</v>
      </c>
      <c r="I205" s="468"/>
      <c r="J205" s="651" t="str" cm="1">
        <f t="array" aca="1" ref="J205" ca="1">IF(OR(B205&lt;&gt;"S",CÁLCULO.FrentesPreenchidas=0),"",IF(AND(ACOMPANHAMENTO="PLE",AUTOEVENTO="Manual",OR(H205&gt;0,ORÇAMENTO!AC205="QUANT."),OR(K205="",M205=0,N205="")),"►E",IF(AND(ACOMPANHAMENTO="PLE",ORÇAMENTO!AC205="QUANT."),"►Q",IF(AND(ACOMPANHAMENTO="PLE",H205&lt;&gt;SUMPRODUCT(($Q$1:$AA$1=1)*ROUND(Q205:AA205,15))),"►S",IF(AND(COUNTIF($P$11:$AA$11,"▼")=0,H205&gt;0,I205=""),"◄M","")))))</f>
        <v/>
      </c>
      <c r="K205" s="652"/>
      <c r="L205" s="165">
        <f t="shared" ca="1" si="9"/>
        <v>190</v>
      </c>
      <c r="M205" s="166">
        <f ca="1">IF($D205&lt;&gt;"Serviço","",
          IF(AUTOEVENTO="manual",$A205,
                IF(ISERROR(MATCH($A205,$A$15:OFFSET($A205,-1,0),0)),MAX($M$15:OFFSET(M205,-1,0))+1,
                      INDEX($M$15:OFFSET(M205,-1,0),MATCH($A205,$A$15:OFFSET($A205,-1,0),0)))))</f>
        <v>10</v>
      </c>
      <c r="N205" s="167" t="str">
        <f ca="1">IF($D205&lt;&gt;"Serviço","",
         IF(AUTOEVENTO="Manual",
                IF($A205=0,"&lt;-- defina o número do agrupador",
                       OFFSET(EVENTOS!$D$15,$A205-$A$15,0)),
                OFFSET($F$15,$A205,0)))</f>
        <v>REVESTIMENTOS</v>
      </c>
      <c r="O205" s="168"/>
      <c r="Q205" s="168"/>
      <c r="R205" s="169"/>
      <c r="S205" s="169"/>
      <c r="T205" s="169"/>
      <c r="U205" s="169"/>
      <c r="V205" s="169"/>
      <c r="W205" s="169"/>
      <c r="X205" s="169"/>
      <c r="Y205" s="169"/>
      <c r="Z205" s="170"/>
      <c r="AB205" s="453">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3">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3">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3">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3">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3">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3">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3">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3">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3">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1">
        <f ca="1">IF(OR($D205&lt;&gt;"Serviço",AND(AUTOEVENTO="Manual",$M205=$A$15)),0,
         IF(OFFSET(CRONOPLE!$F$15,$M205-$A$15,AM$13)=0,10^12,OFFSET(CRONOPLE!$F$15,$M205-$A$15,AM$13)))</f>
        <v>1000000000000</v>
      </c>
      <c r="AN205" s="171">
        <f ca="1">IF(OR($D205&lt;&gt;"Serviço",AND(AUTOEVENTO="Manual",$M205=$A$15)),0,
         IF(OFFSET(CRONOPLE!$F$15,$M205-$A$15,AN$13)=0,10^12,OFFSET(CRONOPLE!$F$15,$M205-$A$15,AN$13)))</f>
        <v>1000000000000</v>
      </c>
      <c r="AO205" s="171">
        <f ca="1">IF(OR($D205&lt;&gt;"Serviço",AND(AUTOEVENTO="Manual",$M205=$A$15)),0,
         IF(OFFSET(CRONOPLE!$F$15,$M205-$A$15,AO$13)=0,10^12,OFFSET(CRONOPLE!$F$15,$M205-$A$15,AO$13)))</f>
        <v>1000000000000</v>
      </c>
      <c r="AP205" s="171">
        <f ca="1">IF(OR($D205&lt;&gt;"Serviço",AND(AUTOEVENTO="Manual",$M205=$A$15)),0,
         IF(OFFSET(CRONOPLE!$F$15,$M205-$A$15,AP$13)=0,10^12,OFFSET(CRONOPLE!$F$15,$M205-$A$15,AP$13)))</f>
        <v>1000000000000</v>
      </c>
      <c r="AQ205" s="171">
        <f ca="1">IF(OR($D205&lt;&gt;"Serviço",AND(AUTOEVENTO="Manual",$M205=$A$15)),0,
         IF(OFFSET(CRONOPLE!$F$15,$M205-$A$15,AQ$13)=0,10^12,OFFSET(CRONOPLE!$F$15,$M205-$A$15,AQ$13)))</f>
        <v>1000000000000</v>
      </c>
      <c r="AR205" s="171">
        <f ca="1">IF(OR($D205&lt;&gt;"Serviço",AND(AUTOEVENTO="Manual",$M205=$A$15)),0,
         IF(OFFSET(CRONOPLE!$F$15,$M205-$A$15,AR$13)=0,10^12,OFFSET(CRONOPLE!$F$15,$M205-$A$15,AR$13)))</f>
        <v>1000000000000</v>
      </c>
      <c r="AS205" s="171">
        <f ca="1">IF(OR($D205&lt;&gt;"Serviço",AND(AUTOEVENTO="Manual",$M205=$A$15)),0,
         IF(OFFSET(CRONOPLE!$F$15,$M205-$A$15,AS$13)=0,10^12,OFFSET(CRONOPLE!$F$15,$M205-$A$15,AS$13)))</f>
        <v>1000000000000</v>
      </c>
      <c r="AT205" s="171">
        <f ca="1">IF(OR($D205&lt;&gt;"Serviço",AND(AUTOEVENTO="Manual",$M205=$A$15)),0,
         IF(OFFSET(CRONOPLE!$F$15,$M205-$A$15,AT$13)=0,10^12,OFFSET(CRONOPLE!$F$15,$M205-$A$15,AT$13)))</f>
        <v>1000000000000</v>
      </c>
      <c r="AU205" s="171">
        <f ca="1">IF(OR($D205&lt;&gt;"Serviço",AND(AUTOEVENTO="Manual",$M205=$A$15)),0,
         IF(OFFSET(CRONOPLE!$F$15,$M205-$A$15,AU$13)=0,10^12,OFFSET(CRONOPLE!$F$15,$M205-$A$15,AU$13)))</f>
        <v>1000000000000</v>
      </c>
      <c r="AV205" s="171">
        <f ca="1">IF(OR($D205&lt;&gt;"Serviço",AND(AUTOEVENTO="Manual",$M205=$A$15)),0,
         IF(OFFSET(CRONOPLE!$F$15,$M205-$A$15,AV$13)=0,10^12,OFFSET(CRONOPLE!$F$15,$M205-$A$15,AV$13)))</f>
        <v>1000000000000</v>
      </c>
      <c r="AX205" s="172" cm="1">
        <f t="array" aca="1" ref="AX205" ca="1">IF(OR($D205&lt;&gt;"Serviço",AND(AUTOEVENTO="Manual",$M205=$A$15),$M205&gt;(ROW(PLE.lastrow)-ROW(PLE.firstrow))),0,
           IF(OFFSET(PLE!$G$15,$M205-$A$15,AX$13)="",10^12,OFFSET(PLE!$G$15,$M205-$A$15,AX$13)))</f>
        <v>1000000000000</v>
      </c>
      <c r="AY205" s="172" cm="1">
        <f t="array" aca="1" ref="AY205" ca="1">IF(OR($D205&lt;&gt;"Serviço",AND(AUTOEVENTO="Manual",$M205=$A$15),$M205&gt;(ROW(PLE.lastrow)-ROW(PLE.firstrow))),0,
           IF(OFFSET(PLE!$G$15,$M205-$A$15,AY$13)="",10^12,OFFSET(PLE!$G$15,$M205-$A$15,AY$13)))</f>
        <v>1000000000000</v>
      </c>
      <c r="AZ205" s="172" cm="1">
        <f t="array" aca="1" ref="AZ205" ca="1">IF(OR($D205&lt;&gt;"Serviço",AND(AUTOEVENTO="Manual",$M205=$A$15),$M205&gt;(ROW(PLE.lastrow)-ROW(PLE.firstrow))),0,
           IF(OFFSET(PLE!$G$15,$M205-$A$15,AZ$13)="",10^12,OFFSET(PLE!$G$15,$M205-$A$15,AZ$13)))</f>
        <v>1000000000000</v>
      </c>
      <c r="BA205" s="172" cm="1">
        <f t="array" aca="1" ref="BA205" ca="1">IF(OR($D205&lt;&gt;"Serviço",AND(AUTOEVENTO="Manual",$M205=$A$15),$M205&gt;(ROW(PLE.lastrow)-ROW(PLE.firstrow))),0,
           IF(OFFSET(PLE!$G$15,$M205-$A$15,BA$13)="",10^12,OFFSET(PLE!$G$15,$M205-$A$15,BA$13)))</f>
        <v>1000000000000</v>
      </c>
      <c r="BB205" s="172" cm="1">
        <f t="array" aca="1" ref="BB205" ca="1">IF(OR($D205&lt;&gt;"Serviço",AND(AUTOEVENTO="Manual",$M205=$A$15),$M205&gt;(ROW(PLE.lastrow)-ROW(PLE.firstrow))),0,
           IF(OFFSET(PLE!$G$15,$M205-$A$15,BB$13)="",10^12,OFFSET(PLE!$G$15,$M205-$A$15,BB$13)))</f>
        <v>1000000000000</v>
      </c>
      <c r="BC205" s="172" cm="1">
        <f t="array" aca="1" ref="BC205" ca="1">IF(OR($D205&lt;&gt;"Serviço",AND(AUTOEVENTO="Manual",$M205=$A$15),$M205&gt;(ROW(PLE.lastrow)-ROW(PLE.firstrow))),0,
           IF(OFFSET(PLE!$G$15,$M205-$A$15,BC$13)="",10^12,OFFSET(PLE!$G$15,$M205-$A$15,BC$13)))</f>
        <v>1000000000000</v>
      </c>
      <c r="BD205" s="172" cm="1">
        <f t="array" aca="1" ref="BD205" ca="1">IF(OR($D205&lt;&gt;"Serviço",AND(AUTOEVENTO="Manual",$M205=$A$15),$M205&gt;(ROW(PLE.lastrow)-ROW(PLE.firstrow))),0,
           IF(OFFSET(PLE!$G$15,$M205-$A$15,BD$13)="",10^12,OFFSET(PLE!$G$15,$M205-$A$15,BD$13)))</f>
        <v>1000000000000</v>
      </c>
      <c r="BE205" s="172" cm="1">
        <f t="array" aca="1" ref="BE205" ca="1">IF(OR($D205&lt;&gt;"Serviço",AND(AUTOEVENTO="Manual",$M205=$A$15),$M205&gt;(ROW(PLE.lastrow)-ROW(PLE.firstrow))),0,
           IF(OFFSET(PLE!$G$15,$M205-$A$15,BE$13)="",10^12,OFFSET(PLE!$G$15,$M205-$A$15,BE$13)))</f>
        <v>1000000000000</v>
      </c>
      <c r="BF205" s="172" cm="1">
        <f t="array" aca="1" ref="BF205" ca="1">IF(OR($D205&lt;&gt;"Serviço",AND(AUTOEVENTO="Manual",$M205=$A$15),$M205&gt;(ROW(PLE.lastrow)-ROW(PLE.firstrow))),0,
           IF(OFFSET(PLE!$G$15,$M205-$A$15,BF$13)="",10^12,OFFSET(PLE!$G$15,$M205-$A$15,BF$13)))</f>
        <v>1000000000000</v>
      </c>
      <c r="BG205" s="172" cm="1">
        <f t="array" aca="1" ref="BG205" ca="1">IF(OR($D205&lt;&gt;"Serviço",AND(AUTOEVENTO="Manual",$M205=$A$15),$M205&gt;(ROW(PLE.lastrow)-ROW(PLE.firstrow))),0,
           IF(OFFSET(PLE!$G$15,$M205-$A$15,BG$13)="",10^12,OFFSET(PLE!$G$15,$M205-$A$15,BG$13)))</f>
        <v>1000000000000</v>
      </c>
    </row>
    <row r="206" spans="1:59" ht="12.75" x14ac:dyDescent="0.2">
      <c r="A206" s="7" t="str">
        <f t="shared" ca="1" si="8"/>
        <v>178</v>
      </c>
      <c r="B206" s="7">
        <f ca="1">OFFSET(ORÇAMENTO!C$15,$L206,0)</f>
        <v>4</v>
      </c>
      <c r="C206" s="7" t="str">
        <f ca="1">OFFSET(ORÇAMENTO!L$15,$L206,0)</f>
        <v>F</v>
      </c>
      <c r="D206" s="116" t="str">
        <f ca="1">OFFSET(ORÇAMENTO!N$15,$L206,0)</f>
        <v>Nível 4</v>
      </c>
      <c r="E206" s="117" t="str">
        <f ca="1">OFFSET(ORÇAMENTO!O$15,$L206,0)</f>
        <v>1.10.3.2.</v>
      </c>
      <c r="F206" s="163" t="str">
        <f ca="1">OFFSET(ORÇAMENTO!R$15,$L206,0)</f>
        <v>PISOS - SOBRE ATERRO</v>
      </c>
      <c r="G206" s="164" t="str">
        <f ca="1">IF($D206&lt;&gt;"Serviço","",OFFSET(ORÇAMENTO!S$15,$L206,0))</f>
        <v/>
      </c>
      <c r="H206" s="122" cm="1">
        <f t="array" aca="1" ref="H206" ca="1">IF($D206&lt;&gt;"Serviço",0,IF(ACOMPANHAMENTO="BM",ROUND(OFFSET(ORÇAMENTO!AJ$15,$L206,0),15-13*ORÇAMENTO!$AF$7),IF(IFERROR(CÁLCULO.FrentesPreenchidas,0)=0,0,SUM(ROUND(OFFSET($P206,0,1,1,CÁLCULO.FrentesPreenchidas),15-13*ORÇAMENTO!$AF$7)))))</f>
        <v>0</v>
      </c>
      <c r="I206" s="468"/>
      <c r="J206" s="651" t="str" cm="1">
        <f t="array" aca="1" ref="J206" ca="1">IF(OR(B206&lt;&gt;"S",CÁLCULO.FrentesPreenchidas=0),"",IF(AND(ACOMPANHAMENTO="PLE",AUTOEVENTO="Manual",OR(H206&gt;0,ORÇAMENTO!AC206="QUANT."),OR(K206="",M206=0,N206="")),"►E",IF(AND(ACOMPANHAMENTO="PLE",ORÇAMENTO!AC206="QUANT."),"►Q",IF(AND(ACOMPANHAMENTO="PLE",H206&lt;&gt;SUMPRODUCT(($Q$1:$AA$1=1)*ROUND(Q206:AA206,15))),"►S",IF(AND(COUNTIF($P$11:$AA$11,"▼")=0,H206&gt;0,I206=""),"◄M","")))))</f>
        <v/>
      </c>
      <c r="K206" s="652"/>
      <c r="L206" s="165">
        <f t="shared" ca="1" si="9"/>
        <v>191</v>
      </c>
      <c r="M206" s="166" t="str">
        <f ca="1">IF($D206&lt;&gt;"Serviço","",
          IF(AUTOEVENTO="manual",$A206,
                IF(ISERROR(MATCH($A206,$A$15:OFFSET($A206,-1,0),0)),MAX($M$15:OFFSET(M206,-1,0))+1,
                      INDEX($M$15:OFFSET(M206,-1,0),MATCH($A206,$A$15:OFFSET($A206,-1,0),0)))))</f>
        <v/>
      </c>
      <c r="N206" s="167" t="str">
        <f ca="1">IF($D206&lt;&gt;"Serviço","",
         IF(AUTOEVENTO="Manual",
                IF($A206=0,"&lt;-- defina o número do agrupador",
                       OFFSET(EVENTOS!$D$15,$A206-$A$15,0)),
                OFFSET($F$15,$A206,0)))</f>
        <v/>
      </c>
      <c r="O206" s="168"/>
      <c r="Q206" s="168"/>
      <c r="R206" s="169"/>
      <c r="S206" s="169"/>
      <c r="T206" s="169"/>
      <c r="U206" s="169"/>
      <c r="V206" s="169"/>
      <c r="W206" s="169"/>
      <c r="X206" s="169"/>
      <c r="Y206" s="169"/>
      <c r="Z206" s="170"/>
      <c r="AB206" s="453">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3">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3">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3">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3">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3">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3">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3">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3">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3">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1">
        <f ca="1">IF(OR($D206&lt;&gt;"Serviço",AND(AUTOEVENTO="Manual",$M206=$A$15)),0,
         IF(OFFSET(CRONOPLE!$F$15,$M206-$A$15,AM$13)=0,10^12,OFFSET(CRONOPLE!$F$15,$M206-$A$15,AM$13)))</f>
        <v>0</v>
      </c>
      <c r="AN206" s="171">
        <f ca="1">IF(OR($D206&lt;&gt;"Serviço",AND(AUTOEVENTO="Manual",$M206=$A$15)),0,
         IF(OFFSET(CRONOPLE!$F$15,$M206-$A$15,AN$13)=0,10^12,OFFSET(CRONOPLE!$F$15,$M206-$A$15,AN$13)))</f>
        <v>0</v>
      </c>
      <c r="AO206" s="171">
        <f ca="1">IF(OR($D206&lt;&gt;"Serviço",AND(AUTOEVENTO="Manual",$M206=$A$15)),0,
         IF(OFFSET(CRONOPLE!$F$15,$M206-$A$15,AO$13)=0,10^12,OFFSET(CRONOPLE!$F$15,$M206-$A$15,AO$13)))</f>
        <v>0</v>
      </c>
      <c r="AP206" s="171">
        <f ca="1">IF(OR($D206&lt;&gt;"Serviço",AND(AUTOEVENTO="Manual",$M206=$A$15)),0,
         IF(OFFSET(CRONOPLE!$F$15,$M206-$A$15,AP$13)=0,10^12,OFFSET(CRONOPLE!$F$15,$M206-$A$15,AP$13)))</f>
        <v>0</v>
      </c>
      <c r="AQ206" s="171">
        <f ca="1">IF(OR($D206&lt;&gt;"Serviço",AND(AUTOEVENTO="Manual",$M206=$A$15)),0,
         IF(OFFSET(CRONOPLE!$F$15,$M206-$A$15,AQ$13)=0,10^12,OFFSET(CRONOPLE!$F$15,$M206-$A$15,AQ$13)))</f>
        <v>0</v>
      </c>
      <c r="AR206" s="171">
        <f ca="1">IF(OR($D206&lt;&gt;"Serviço",AND(AUTOEVENTO="Manual",$M206=$A$15)),0,
         IF(OFFSET(CRONOPLE!$F$15,$M206-$A$15,AR$13)=0,10^12,OFFSET(CRONOPLE!$F$15,$M206-$A$15,AR$13)))</f>
        <v>0</v>
      </c>
      <c r="AS206" s="171">
        <f ca="1">IF(OR($D206&lt;&gt;"Serviço",AND(AUTOEVENTO="Manual",$M206=$A$15)),0,
         IF(OFFSET(CRONOPLE!$F$15,$M206-$A$15,AS$13)=0,10^12,OFFSET(CRONOPLE!$F$15,$M206-$A$15,AS$13)))</f>
        <v>0</v>
      </c>
      <c r="AT206" s="171">
        <f ca="1">IF(OR($D206&lt;&gt;"Serviço",AND(AUTOEVENTO="Manual",$M206=$A$15)),0,
         IF(OFFSET(CRONOPLE!$F$15,$M206-$A$15,AT$13)=0,10^12,OFFSET(CRONOPLE!$F$15,$M206-$A$15,AT$13)))</f>
        <v>0</v>
      </c>
      <c r="AU206" s="171">
        <f ca="1">IF(OR($D206&lt;&gt;"Serviço",AND(AUTOEVENTO="Manual",$M206=$A$15)),0,
         IF(OFFSET(CRONOPLE!$F$15,$M206-$A$15,AU$13)=0,10^12,OFFSET(CRONOPLE!$F$15,$M206-$A$15,AU$13)))</f>
        <v>0</v>
      </c>
      <c r="AV206" s="171">
        <f ca="1">IF(OR($D206&lt;&gt;"Serviço",AND(AUTOEVENTO="Manual",$M206=$A$15)),0,
         IF(OFFSET(CRONOPLE!$F$15,$M206-$A$15,AV$13)=0,10^12,OFFSET(CRONOPLE!$F$15,$M206-$A$15,AV$13)))</f>
        <v>0</v>
      </c>
      <c r="AX206" s="172" cm="1">
        <f t="array" aca="1" ref="AX206" ca="1">IF(OR($D206&lt;&gt;"Serviço",AND(AUTOEVENTO="Manual",$M206=$A$15),$M206&gt;(ROW(PLE.lastrow)-ROW(PLE.firstrow))),0,
           IF(OFFSET(PLE!$G$15,$M206-$A$15,AX$13)="",10^12,OFFSET(PLE!$G$15,$M206-$A$15,AX$13)))</f>
        <v>0</v>
      </c>
      <c r="AY206" s="172" cm="1">
        <f t="array" aca="1" ref="AY206" ca="1">IF(OR($D206&lt;&gt;"Serviço",AND(AUTOEVENTO="Manual",$M206=$A$15),$M206&gt;(ROW(PLE.lastrow)-ROW(PLE.firstrow))),0,
           IF(OFFSET(PLE!$G$15,$M206-$A$15,AY$13)="",10^12,OFFSET(PLE!$G$15,$M206-$A$15,AY$13)))</f>
        <v>0</v>
      </c>
      <c r="AZ206" s="172" cm="1">
        <f t="array" aca="1" ref="AZ206" ca="1">IF(OR($D206&lt;&gt;"Serviço",AND(AUTOEVENTO="Manual",$M206=$A$15),$M206&gt;(ROW(PLE.lastrow)-ROW(PLE.firstrow))),0,
           IF(OFFSET(PLE!$G$15,$M206-$A$15,AZ$13)="",10^12,OFFSET(PLE!$G$15,$M206-$A$15,AZ$13)))</f>
        <v>0</v>
      </c>
      <c r="BA206" s="172" cm="1">
        <f t="array" aca="1" ref="BA206" ca="1">IF(OR($D206&lt;&gt;"Serviço",AND(AUTOEVENTO="Manual",$M206=$A$15),$M206&gt;(ROW(PLE.lastrow)-ROW(PLE.firstrow))),0,
           IF(OFFSET(PLE!$G$15,$M206-$A$15,BA$13)="",10^12,OFFSET(PLE!$G$15,$M206-$A$15,BA$13)))</f>
        <v>0</v>
      </c>
      <c r="BB206" s="172" cm="1">
        <f t="array" aca="1" ref="BB206" ca="1">IF(OR($D206&lt;&gt;"Serviço",AND(AUTOEVENTO="Manual",$M206=$A$15),$M206&gt;(ROW(PLE.lastrow)-ROW(PLE.firstrow))),0,
           IF(OFFSET(PLE!$G$15,$M206-$A$15,BB$13)="",10^12,OFFSET(PLE!$G$15,$M206-$A$15,BB$13)))</f>
        <v>0</v>
      </c>
      <c r="BC206" s="172" cm="1">
        <f t="array" aca="1" ref="BC206" ca="1">IF(OR($D206&lt;&gt;"Serviço",AND(AUTOEVENTO="Manual",$M206=$A$15),$M206&gt;(ROW(PLE.lastrow)-ROW(PLE.firstrow))),0,
           IF(OFFSET(PLE!$G$15,$M206-$A$15,BC$13)="",10^12,OFFSET(PLE!$G$15,$M206-$A$15,BC$13)))</f>
        <v>0</v>
      </c>
      <c r="BD206" s="172" cm="1">
        <f t="array" aca="1" ref="BD206" ca="1">IF(OR($D206&lt;&gt;"Serviço",AND(AUTOEVENTO="Manual",$M206=$A$15),$M206&gt;(ROW(PLE.lastrow)-ROW(PLE.firstrow))),0,
           IF(OFFSET(PLE!$G$15,$M206-$A$15,BD$13)="",10^12,OFFSET(PLE!$G$15,$M206-$A$15,BD$13)))</f>
        <v>0</v>
      </c>
      <c r="BE206" s="172" cm="1">
        <f t="array" aca="1" ref="BE206" ca="1">IF(OR($D206&lt;&gt;"Serviço",AND(AUTOEVENTO="Manual",$M206=$A$15),$M206&gt;(ROW(PLE.lastrow)-ROW(PLE.firstrow))),0,
           IF(OFFSET(PLE!$G$15,$M206-$A$15,BE$13)="",10^12,OFFSET(PLE!$G$15,$M206-$A$15,BE$13)))</f>
        <v>0</v>
      </c>
      <c r="BF206" s="172" cm="1">
        <f t="array" aca="1" ref="BF206" ca="1">IF(OR($D206&lt;&gt;"Serviço",AND(AUTOEVENTO="Manual",$M206=$A$15),$M206&gt;(ROW(PLE.lastrow)-ROW(PLE.firstrow))),0,
           IF(OFFSET(PLE!$G$15,$M206-$A$15,BF$13)="",10^12,OFFSET(PLE!$G$15,$M206-$A$15,BF$13)))</f>
        <v>0</v>
      </c>
      <c r="BG206" s="172" cm="1">
        <f t="array" aca="1" ref="BG206" ca="1">IF(OR($D206&lt;&gt;"Serviço",AND(AUTOEVENTO="Manual",$M206=$A$15),$M206&gt;(ROW(PLE.lastrow)-ROW(PLE.firstrow))),0,
           IF(OFFSET(PLE!$G$15,$M206-$A$15,BG$13)="",10^12,OFFSET(PLE!$G$15,$M206-$A$15,BG$13)))</f>
        <v>0</v>
      </c>
    </row>
    <row r="207" spans="1:59" ht="38.25" x14ac:dyDescent="0.2">
      <c r="A207" s="7" t="str">
        <f t="shared" ca="1" si="8"/>
        <v>178</v>
      </c>
      <c r="B207" s="7" t="str">
        <f ca="1">OFFSET(ORÇAMENTO!C$15,$L207,0)</f>
        <v>S</v>
      </c>
      <c r="C207" s="7" t="str">
        <f ca="1">OFFSET(ORÇAMENTO!L$15,$L207,0)</f>
        <v>F</v>
      </c>
      <c r="D207" s="116" t="str">
        <f ca="1">OFFSET(ORÇAMENTO!N$15,$L207,0)</f>
        <v>Serviço</v>
      </c>
      <c r="E207" s="117" t="str">
        <f ca="1">OFFSET(ORÇAMENTO!O$15,$L207,0)</f>
        <v>1.10.3.2.1.</v>
      </c>
      <c r="F207" s="163" t="str">
        <f ca="1">OFFSET(ORÇAMENTO!R$15,$L207,0)</f>
        <v>COMPACTAÇÃO MECÂNICA DE SOLO PARA EXECUÇÃO DE RADIER, PISO DE CONCRETO OU LAJE SOBRE SOLO, COM COMPACTADOR DE SOLOS A PERCUSSÃO. AF_09/2021</v>
      </c>
      <c r="G207" s="164" t="str">
        <f ca="1">IF($D207&lt;&gt;"Serviço","",OFFSET(ORÇAMENTO!S$15,$L207,0))</f>
        <v>M2</v>
      </c>
      <c r="H207" s="122" cm="1">
        <f t="array" aca="1" ref="H207" ca="1">IF($D207&lt;&gt;"Serviço",0,IF(ACOMPANHAMENTO="BM",ROUND(OFFSET(ORÇAMENTO!AJ$15,$L207,0),15-13*ORÇAMENTO!$AF$7),IF(IFERROR(CÁLCULO.FrentesPreenchidas,0)=0,0,SUM(ROUND(OFFSET($P207,0,1,1,CÁLCULO.FrentesPreenchidas),15-13*ORÇAMENTO!$AF$7)))))</f>
        <v>680.76</v>
      </c>
      <c r="I207" s="468"/>
      <c r="J207" s="651" t="str" cm="1">
        <f t="array" aca="1" ref="J207" ca="1">IF(OR(B207&lt;&gt;"S",CÁLCULO.FrentesPreenchidas=0),"",IF(AND(ACOMPANHAMENTO="PLE",AUTOEVENTO="Manual",OR(H207&gt;0,ORÇAMENTO!AC207="QUANT."),OR(K207="",M207=0,N207="")),"►E",IF(AND(ACOMPANHAMENTO="PLE",ORÇAMENTO!AC207="QUANT."),"►Q",IF(AND(ACOMPANHAMENTO="PLE",H207&lt;&gt;SUMPRODUCT(($Q$1:$AA$1=1)*ROUND(Q207:AA207,15))),"►S",IF(AND(COUNTIF($P$11:$AA$11,"▼")=0,H207&gt;0,I207=""),"◄M","")))))</f>
        <v/>
      </c>
      <c r="K207" s="652"/>
      <c r="L207" s="165">
        <f t="shared" ca="1" si="9"/>
        <v>192</v>
      </c>
      <c r="M207" s="166">
        <f ca="1">IF($D207&lt;&gt;"Serviço","",
          IF(AUTOEVENTO="manual",$A207,
                IF(ISERROR(MATCH($A207,$A$15:OFFSET($A207,-1,0),0)),MAX($M$15:OFFSET(M207,-1,0))+1,
                      INDEX($M$15:OFFSET(M207,-1,0),MATCH($A207,$A$15:OFFSET($A207,-1,0),0)))))</f>
        <v>10</v>
      </c>
      <c r="N207" s="167" t="str">
        <f ca="1">IF($D207&lt;&gt;"Serviço","",
         IF(AUTOEVENTO="Manual",
                IF($A207=0,"&lt;-- defina o número do agrupador",
                       OFFSET(EVENTOS!$D$15,$A207-$A$15,0)),
                OFFSET($F$15,$A207,0)))</f>
        <v>REVESTIMENTOS</v>
      </c>
      <c r="O207" s="168"/>
      <c r="Q207" s="168"/>
      <c r="R207" s="169"/>
      <c r="S207" s="169"/>
      <c r="T207" s="169"/>
      <c r="U207" s="169"/>
      <c r="V207" s="169"/>
      <c r="W207" s="169"/>
      <c r="X207" s="169"/>
      <c r="Y207" s="169"/>
      <c r="Z207" s="170"/>
      <c r="AB207" s="453">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3">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3">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3">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3">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3">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3">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3">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3">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3">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1">
        <f ca="1">IF(OR($D207&lt;&gt;"Serviço",AND(AUTOEVENTO="Manual",$M207=$A$15)),0,
         IF(OFFSET(CRONOPLE!$F$15,$M207-$A$15,AM$13)=0,10^12,OFFSET(CRONOPLE!$F$15,$M207-$A$15,AM$13)))</f>
        <v>1000000000000</v>
      </c>
      <c r="AN207" s="171">
        <f ca="1">IF(OR($D207&lt;&gt;"Serviço",AND(AUTOEVENTO="Manual",$M207=$A$15)),0,
         IF(OFFSET(CRONOPLE!$F$15,$M207-$A$15,AN$13)=0,10^12,OFFSET(CRONOPLE!$F$15,$M207-$A$15,AN$13)))</f>
        <v>1000000000000</v>
      </c>
      <c r="AO207" s="171">
        <f ca="1">IF(OR($D207&lt;&gt;"Serviço",AND(AUTOEVENTO="Manual",$M207=$A$15)),0,
         IF(OFFSET(CRONOPLE!$F$15,$M207-$A$15,AO$13)=0,10^12,OFFSET(CRONOPLE!$F$15,$M207-$A$15,AO$13)))</f>
        <v>1000000000000</v>
      </c>
      <c r="AP207" s="171">
        <f ca="1">IF(OR($D207&lt;&gt;"Serviço",AND(AUTOEVENTO="Manual",$M207=$A$15)),0,
         IF(OFFSET(CRONOPLE!$F$15,$M207-$A$15,AP$13)=0,10^12,OFFSET(CRONOPLE!$F$15,$M207-$A$15,AP$13)))</f>
        <v>1000000000000</v>
      </c>
      <c r="AQ207" s="171">
        <f ca="1">IF(OR($D207&lt;&gt;"Serviço",AND(AUTOEVENTO="Manual",$M207=$A$15)),0,
         IF(OFFSET(CRONOPLE!$F$15,$M207-$A$15,AQ$13)=0,10^12,OFFSET(CRONOPLE!$F$15,$M207-$A$15,AQ$13)))</f>
        <v>1000000000000</v>
      </c>
      <c r="AR207" s="171">
        <f ca="1">IF(OR($D207&lt;&gt;"Serviço",AND(AUTOEVENTO="Manual",$M207=$A$15)),0,
         IF(OFFSET(CRONOPLE!$F$15,$M207-$A$15,AR$13)=0,10^12,OFFSET(CRONOPLE!$F$15,$M207-$A$15,AR$13)))</f>
        <v>1000000000000</v>
      </c>
      <c r="AS207" s="171">
        <f ca="1">IF(OR($D207&lt;&gt;"Serviço",AND(AUTOEVENTO="Manual",$M207=$A$15)),0,
         IF(OFFSET(CRONOPLE!$F$15,$M207-$A$15,AS$13)=0,10^12,OFFSET(CRONOPLE!$F$15,$M207-$A$15,AS$13)))</f>
        <v>1000000000000</v>
      </c>
      <c r="AT207" s="171">
        <f ca="1">IF(OR($D207&lt;&gt;"Serviço",AND(AUTOEVENTO="Manual",$M207=$A$15)),0,
         IF(OFFSET(CRONOPLE!$F$15,$M207-$A$15,AT$13)=0,10^12,OFFSET(CRONOPLE!$F$15,$M207-$A$15,AT$13)))</f>
        <v>1000000000000</v>
      </c>
      <c r="AU207" s="171">
        <f ca="1">IF(OR($D207&lt;&gt;"Serviço",AND(AUTOEVENTO="Manual",$M207=$A$15)),0,
         IF(OFFSET(CRONOPLE!$F$15,$M207-$A$15,AU$13)=0,10^12,OFFSET(CRONOPLE!$F$15,$M207-$A$15,AU$13)))</f>
        <v>1000000000000</v>
      </c>
      <c r="AV207" s="171">
        <f ca="1">IF(OR($D207&lt;&gt;"Serviço",AND(AUTOEVENTO="Manual",$M207=$A$15)),0,
         IF(OFFSET(CRONOPLE!$F$15,$M207-$A$15,AV$13)=0,10^12,OFFSET(CRONOPLE!$F$15,$M207-$A$15,AV$13)))</f>
        <v>1000000000000</v>
      </c>
      <c r="AX207" s="172" cm="1">
        <f t="array" aca="1" ref="AX207" ca="1">IF(OR($D207&lt;&gt;"Serviço",AND(AUTOEVENTO="Manual",$M207=$A$15),$M207&gt;(ROW(PLE.lastrow)-ROW(PLE.firstrow))),0,
           IF(OFFSET(PLE!$G$15,$M207-$A$15,AX$13)="",10^12,OFFSET(PLE!$G$15,$M207-$A$15,AX$13)))</f>
        <v>1000000000000</v>
      </c>
      <c r="AY207" s="172" cm="1">
        <f t="array" aca="1" ref="AY207" ca="1">IF(OR($D207&lt;&gt;"Serviço",AND(AUTOEVENTO="Manual",$M207=$A$15),$M207&gt;(ROW(PLE.lastrow)-ROW(PLE.firstrow))),0,
           IF(OFFSET(PLE!$G$15,$M207-$A$15,AY$13)="",10^12,OFFSET(PLE!$G$15,$M207-$A$15,AY$13)))</f>
        <v>1000000000000</v>
      </c>
      <c r="AZ207" s="172" cm="1">
        <f t="array" aca="1" ref="AZ207" ca="1">IF(OR($D207&lt;&gt;"Serviço",AND(AUTOEVENTO="Manual",$M207=$A$15),$M207&gt;(ROW(PLE.lastrow)-ROW(PLE.firstrow))),0,
           IF(OFFSET(PLE!$G$15,$M207-$A$15,AZ$13)="",10^12,OFFSET(PLE!$G$15,$M207-$A$15,AZ$13)))</f>
        <v>1000000000000</v>
      </c>
      <c r="BA207" s="172" cm="1">
        <f t="array" aca="1" ref="BA207" ca="1">IF(OR($D207&lt;&gt;"Serviço",AND(AUTOEVENTO="Manual",$M207=$A$15),$M207&gt;(ROW(PLE.lastrow)-ROW(PLE.firstrow))),0,
           IF(OFFSET(PLE!$G$15,$M207-$A$15,BA$13)="",10^12,OFFSET(PLE!$G$15,$M207-$A$15,BA$13)))</f>
        <v>1000000000000</v>
      </c>
      <c r="BB207" s="172" cm="1">
        <f t="array" aca="1" ref="BB207" ca="1">IF(OR($D207&lt;&gt;"Serviço",AND(AUTOEVENTO="Manual",$M207=$A$15),$M207&gt;(ROW(PLE.lastrow)-ROW(PLE.firstrow))),0,
           IF(OFFSET(PLE!$G$15,$M207-$A$15,BB$13)="",10^12,OFFSET(PLE!$G$15,$M207-$A$15,BB$13)))</f>
        <v>1000000000000</v>
      </c>
      <c r="BC207" s="172" cm="1">
        <f t="array" aca="1" ref="BC207" ca="1">IF(OR($D207&lt;&gt;"Serviço",AND(AUTOEVENTO="Manual",$M207=$A$15),$M207&gt;(ROW(PLE.lastrow)-ROW(PLE.firstrow))),0,
           IF(OFFSET(PLE!$G$15,$M207-$A$15,BC$13)="",10^12,OFFSET(PLE!$G$15,$M207-$A$15,BC$13)))</f>
        <v>1000000000000</v>
      </c>
      <c r="BD207" s="172" cm="1">
        <f t="array" aca="1" ref="BD207" ca="1">IF(OR($D207&lt;&gt;"Serviço",AND(AUTOEVENTO="Manual",$M207=$A$15),$M207&gt;(ROW(PLE.lastrow)-ROW(PLE.firstrow))),0,
           IF(OFFSET(PLE!$G$15,$M207-$A$15,BD$13)="",10^12,OFFSET(PLE!$G$15,$M207-$A$15,BD$13)))</f>
        <v>1000000000000</v>
      </c>
      <c r="BE207" s="172" cm="1">
        <f t="array" aca="1" ref="BE207" ca="1">IF(OR($D207&lt;&gt;"Serviço",AND(AUTOEVENTO="Manual",$M207=$A$15),$M207&gt;(ROW(PLE.lastrow)-ROW(PLE.firstrow))),0,
           IF(OFFSET(PLE!$G$15,$M207-$A$15,BE$13)="",10^12,OFFSET(PLE!$G$15,$M207-$A$15,BE$13)))</f>
        <v>1000000000000</v>
      </c>
      <c r="BF207" s="172" cm="1">
        <f t="array" aca="1" ref="BF207" ca="1">IF(OR($D207&lt;&gt;"Serviço",AND(AUTOEVENTO="Manual",$M207=$A$15),$M207&gt;(ROW(PLE.lastrow)-ROW(PLE.firstrow))),0,
           IF(OFFSET(PLE!$G$15,$M207-$A$15,BF$13)="",10^12,OFFSET(PLE!$G$15,$M207-$A$15,BF$13)))</f>
        <v>1000000000000</v>
      </c>
      <c r="BG207" s="172" cm="1">
        <f t="array" aca="1" ref="BG207" ca="1">IF(OR($D207&lt;&gt;"Serviço",AND(AUTOEVENTO="Manual",$M207=$A$15),$M207&gt;(ROW(PLE.lastrow)-ROW(PLE.firstrow))),0,
           IF(OFFSET(PLE!$G$15,$M207-$A$15,BG$13)="",10^12,OFFSET(PLE!$G$15,$M207-$A$15,BG$13)))</f>
        <v>1000000000000</v>
      </c>
    </row>
    <row r="208" spans="1:59" ht="38.25" x14ac:dyDescent="0.2">
      <c r="A208" s="7" t="str">
        <f t="shared" ca="1" si="8"/>
        <v>178</v>
      </c>
      <c r="B208" s="7" t="str">
        <f ca="1">OFFSET(ORÇAMENTO!C$15,$L208,0)</f>
        <v>S</v>
      </c>
      <c r="C208" s="7" t="str">
        <f ca="1">OFFSET(ORÇAMENTO!L$15,$L208,0)</f>
        <v>F</v>
      </c>
      <c r="D208" s="116" t="str">
        <f ca="1">OFFSET(ORÇAMENTO!N$15,$L208,0)</f>
        <v>Serviço</v>
      </c>
      <c r="E208" s="117" t="str">
        <f ca="1">OFFSET(ORÇAMENTO!O$15,$L208,0)</f>
        <v>1.10.3.2.2.</v>
      </c>
      <c r="F208" s="163" t="str">
        <f ca="1">OFFSET(ORÇAMENTO!R$15,$L208,0)</f>
        <v>LASTRO COM MATERIAL GRANULAR (PEDRA BRITADA N.2), APLICADO EM PISOS OU LAJES SOBRE SOLO, ESPESSURA DE *10 CM*. AF_01/2024</v>
      </c>
      <c r="G208" s="164" t="str">
        <f ca="1">IF($D208&lt;&gt;"Serviço","",OFFSET(ORÇAMENTO!S$15,$L208,0))</f>
        <v>M3</v>
      </c>
      <c r="H208" s="122" cm="1">
        <f t="array" aca="1" ref="H208" ca="1">IF($D208&lt;&gt;"Serviço",0,IF(ACOMPANHAMENTO="BM",ROUND(OFFSET(ORÇAMENTO!AJ$15,$L208,0),15-13*ORÇAMENTO!$AF$7),IF(IFERROR(CÁLCULO.FrentesPreenchidas,0)=0,0,SUM(ROUND(OFFSET($P208,0,1,1,CÁLCULO.FrentesPreenchidas),15-13*ORÇAMENTO!$AF$7)))))</f>
        <v>113.46</v>
      </c>
      <c r="I208" s="468"/>
      <c r="J208" s="651" t="str" cm="1">
        <f t="array" aca="1" ref="J208" ca="1">IF(OR(B208&lt;&gt;"S",CÁLCULO.FrentesPreenchidas=0),"",IF(AND(ACOMPANHAMENTO="PLE",AUTOEVENTO="Manual",OR(H208&gt;0,ORÇAMENTO!AC208="QUANT."),OR(K208="",M208=0,N208="")),"►E",IF(AND(ACOMPANHAMENTO="PLE",ORÇAMENTO!AC208="QUANT."),"►Q",IF(AND(ACOMPANHAMENTO="PLE",H208&lt;&gt;SUMPRODUCT(($Q$1:$AA$1=1)*ROUND(Q208:AA208,15))),"►S",IF(AND(COUNTIF($P$11:$AA$11,"▼")=0,H208&gt;0,I208=""),"◄M","")))))</f>
        <v/>
      </c>
      <c r="K208" s="652"/>
      <c r="L208" s="165">
        <f t="shared" ca="1" si="9"/>
        <v>193</v>
      </c>
      <c r="M208" s="166">
        <f ca="1">IF($D208&lt;&gt;"Serviço","",
          IF(AUTOEVENTO="manual",$A208,
                IF(ISERROR(MATCH($A208,$A$15:OFFSET($A208,-1,0),0)),MAX($M$15:OFFSET(M208,-1,0))+1,
                      INDEX($M$15:OFFSET(M208,-1,0),MATCH($A208,$A$15:OFFSET($A208,-1,0),0)))))</f>
        <v>10</v>
      </c>
      <c r="N208" s="167" t="str">
        <f ca="1">IF($D208&lt;&gt;"Serviço","",
         IF(AUTOEVENTO="Manual",
                IF($A208=0,"&lt;-- defina o número do agrupador",
                       OFFSET(EVENTOS!$D$15,$A208-$A$15,0)),
                OFFSET($F$15,$A208,0)))</f>
        <v>REVESTIMENTOS</v>
      </c>
      <c r="O208" s="168"/>
      <c r="Q208" s="168"/>
      <c r="R208" s="169"/>
      <c r="S208" s="169"/>
      <c r="T208" s="169"/>
      <c r="U208" s="169"/>
      <c r="V208" s="169"/>
      <c r="W208" s="169"/>
      <c r="X208" s="169"/>
      <c r="Y208" s="169"/>
      <c r="Z208" s="170"/>
      <c r="AB208" s="453">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3">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3">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3">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3">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3">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3">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3">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3">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3">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1">
        <f ca="1">IF(OR($D208&lt;&gt;"Serviço",AND(AUTOEVENTO="Manual",$M208=$A$15)),0,
         IF(OFFSET(CRONOPLE!$F$15,$M208-$A$15,AM$13)=0,10^12,OFFSET(CRONOPLE!$F$15,$M208-$A$15,AM$13)))</f>
        <v>1000000000000</v>
      </c>
      <c r="AN208" s="171">
        <f ca="1">IF(OR($D208&lt;&gt;"Serviço",AND(AUTOEVENTO="Manual",$M208=$A$15)),0,
         IF(OFFSET(CRONOPLE!$F$15,$M208-$A$15,AN$13)=0,10^12,OFFSET(CRONOPLE!$F$15,$M208-$A$15,AN$13)))</f>
        <v>1000000000000</v>
      </c>
      <c r="AO208" s="171">
        <f ca="1">IF(OR($D208&lt;&gt;"Serviço",AND(AUTOEVENTO="Manual",$M208=$A$15)),0,
         IF(OFFSET(CRONOPLE!$F$15,$M208-$A$15,AO$13)=0,10^12,OFFSET(CRONOPLE!$F$15,$M208-$A$15,AO$13)))</f>
        <v>1000000000000</v>
      </c>
      <c r="AP208" s="171">
        <f ca="1">IF(OR($D208&lt;&gt;"Serviço",AND(AUTOEVENTO="Manual",$M208=$A$15)),0,
         IF(OFFSET(CRONOPLE!$F$15,$M208-$A$15,AP$13)=0,10^12,OFFSET(CRONOPLE!$F$15,$M208-$A$15,AP$13)))</f>
        <v>1000000000000</v>
      </c>
      <c r="AQ208" s="171">
        <f ca="1">IF(OR($D208&lt;&gt;"Serviço",AND(AUTOEVENTO="Manual",$M208=$A$15)),0,
         IF(OFFSET(CRONOPLE!$F$15,$M208-$A$15,AQ$13)=0,10^12,OFFSET(CRONOPLE!$F$15,$M208-$A$15,AQ$13)))</f>
        <v>1000000000000</v>
      </c>
      <c r="AR208" s="171">
        <f ca="1">IF(OR($D208&lt;&gt;"Serviço",AND(AUTOEVENTO="Manual",$M208=$A$15)),0,
         IF(OFFSET(CRONOPLE!$F$15,$M208-$A$15,AR$13)=0,10^12,OFFSET(CRONOPLE!$F$15,$M208-$A$15,AR$13)))</f>
        <v>1000000000000</v>
      </c>
      <c r="AS208" s="171">
        <f ca="1">IF(OR($D208&lt;&gt;"Serviço",AND(AUTOEVENTO="Manual",$M208=$A$15)),0,
         IF(OFFSET(CRONOPLE!$F$15,$M208-$A$15,AS$13)=0,10^12,OFFSET(CRONOPLE!$F$15,$M208-$A$15,AS$13)))</f>
        <v>1000000000000</v>
      </c>
      <c r="AT208" s="171">
        <f ca="1">IF(OR($D208&lt;&gt;"Serviço",AND(AUTOEVENTO="Manual",$M208=$A$15)),0,
         IF(OFFSET(CRONOPLE!$F$15,$M208-$A$15,AT$13)=0,10^12,OFFSET(CRONOPLE!$F$15,$M208-$A$15,AT$13)))</f>
        <v>1000000000000</v>
      </c>
      <c r="AU208" s="171">
        <f ca="1">IF(OR($D208&lt;&gt;"Serviço",AND(AUTOEVENTO="Manual",$M208=$A$15)),0,
         IF(OFFSET(CRONOPLE!$F$15,$M208-$A$15,AU$13)=0,10^12,OFFSET(CRONOPLE!$F$15,$M208-$A$15,AU$13)))</f>
        <v>1000000000000</v>
      </c>
      <c r="AV208" s="171">
        <f ca="1">IF(OR($D208&lt;&gt;"Serviço",AND(AUTOEVENTO="Manual",$M208=$A$15)),0,
         IF(OFFSET(CRONOPLE!$F$15,$M208-$A$15,AV$13)=0,10^12,OFFSET(CRONOPLE!$F$15,$M208-$A$15,AV$13)))</f>
        <v>1000000000000</v>
      </c>
      <c r="AX208" s="172" cm="1">
        <f t="array" aca="1" ref="AX208" ca="1">IF(OR($D208&lt;&gt;"Serviço",AND(AUTOEVENTO="Manual",$M208=$A$15),$M208&gt;(ROW(PLE.lastrow)-ROW(PLE.firstrow))),0,
           IF(OFFSET(PLE!$G$15,$M208-$A$15,AX$13)="",10^12,OFFSET(PLE!$G$15,$M208-$A$15,AX$13)))</f>
        <v>1000000000000</v>
      </c>
      <c r="AY208" s="172" cm="1">
        <f t="array" aca="1" ref="AY208" ca="1">IF(OR($D208&lt;&gt;"Serviço",AND(AUTOEVENTO="Manual",$M208=$A$15),$M208&gt;(ROW(PLE.lastrow)-ROW(PLE.firstrow))),0,
           IF(OFFSET(PLE!$G$15,$M208-$A$15,AY$13)="",10^12,OFFSET(PLE!$G$15,$M208-$A$15,AY$13)))</f>
        <v>1000000000000</v>
      </c>
      <c r="AZ208" s="172" cm="1">
        <f t="array" aca="1" ref="AZ208" ca="1">IF(OR($D208&lt;&gt;"Serviço",AND(AUTOEVENTO="Manual",$M208=$A$15),$M208&gt;(ROW(PLE.lastrow)-ROW(PLE.firstrow))),0,
           IF(OFFSET(PLE!$G$15,$M208-$A$15,AZ$13)="",10^12,OFFSET(PLE!$G$15,$M208-$A$15,AZ$13)))</f>
        <v>1000000000000</v>
      </c>
      <c r="BA208" s="172" cm="1">
        <f t="array" aca="1" ref="BA208" ca="1">IF(OR($D208&lt;&gt;"Serviço",AND(AUTOEVENTO="Manual",$M208=$A$15),$M208&gt;(ROW(PLE.lastrow)-ROW(PLE.firstrow))),0,
           IF(OFFSET(PLE!$G$15,$M208-$A$15,BA$13)="",10^12,OFFSET(PLE!$G$15,$M208-$A$15,BA$13)))</f>
        <v>1000000000000</v>
      </c>
      <c r="BB208" s="172" cm="1">
        <f t="array" aca="1" ref="BB208" ca="1">IF(OR($D208&lt;&gt;"Serviço",AND(AUTOEVENTO="Manual",$M208=$A$15),$M208&gt;(ROW(PLE.lastrow)-ROW(PLE.firstrow))),0,
           IF(OFFSET(PLE!$G$15,$M208-$A$15,BB$13)="",10^12,OFFSET(PLE!$G$15,$M208-$A$15,BB$13)))</f>
        <v>1000000000000</v>
      </c>
      <c r="BC208" s="172" cm="1">
        <f t="array" aca="1" ref="BC208" ca="1">IF(OR($D208&lt;&gt;"Serviço",AND(AUTOEVENTO="Manual",$M208=$A$15),$M208&gt;(ROW(PLE.lastrow)-ROW(PLE.firstrow))),0,
           IF(OFFSET(PLE!$G$15,$M208-$A$15,BC$13)="",10^12,OFFSET(PLE!$G$15,$M208-$A$15,BC$13)))</f>
        <v>1000000000000</v>
      </c>
      <c r="BD208" s="172" cm="1">
        <f t="array" aca="1" ref="BD208" ca="1">IF(OR($D208&lt;&gt;"Serviço",AND(AUTOEVENTO="Manual",$M208=$A$15),$M208&gt;(ROW(PLE.lastrow)-ROW(PLE.firstrow))),0,
           IF(OFFSET(PLE!$G$15,$M208-$A$15,BD$13)="",10^12,OFFSET(PLE!$G$15,$M208-$A$15,BD$13)))</f>
        <v>1000000000000</v>
      </c>
      <c r="BE208" s="172" cm="1">
        <f t="array" aca="1" ref="BE208" ca="1">IF(OR($D208&lt;&gt;"Serviço",AND(AUTOEVENTO="Manual",$M208=$A$15),$M208&gt;(ROW(PLE.lastrow)-ROW(PLE.firstrow))),0,
           IF(OFFSET(PLE!$G$15,$M208-$A$15,BE$13)="",10^12,OFFSET(PLE!$G$15,$M208-$A$15,BE$13)))</f>
        <v>1000000000000</v>
      </c>
      <c r="BF208" s="172" cm="1">
        <f t="array" aca="1" ref="BF208" ca="1">IF(OR($D208&lt;&gt;"Serviço",AND(AUTOEVENTO="Manual",$M208=$A$15),$M208&gt;(ROW(PLE.lastrow)-ROW(PLE.firstrow))),0,
           IF(OFFSET(PLE!$G$15,$M208-$A$15,BF$13)="",10^12,OFFSET(PLE!$G$15,$M208-$A$15,BF$13)))</f>
        <v>1000000000000</v>
      </c>
      <c r="BG208" s="172" cm="1">
        <f t="array" aca="1" ref="BG208" ca="1">IF(OR($D208&lt;&gt;"Serviço",AND(AUTOEVENTO="Manual",$M208=$A$15),$M208&gt;(ROW(PLE.lastrow)-ROW(PLE.firstrow))),0,
           IF(OFFSET(PLE!$G$15,$M208-$A$15,BG$13)="",10^12,OFFSET(PLE!$G$15,$M208-$A$15,BG$13)))</f>
        <v>1000000000000</v>
      </c>
    </row>
    <row r="209" spans="1:59" ht="25.5" x14ac:dyDescent="0.2">
      <c r="A209" s="7" t="str">
        <f t="shared" ca="1" si="8"/>
        <v>178</v>
      </c>
      <c r="B209" s="7" t="str">
        <f ca="1">OFFSET(ORÇAMENTO!C$15,$L209,0)</f>
        <v>S</v>
      </c>
      <c r="C209" s="7" t="str">
        <f ca="1">OFFSET(ORÇAMENTO!L$15,$L209,0)</f>
        <v>F</v>
      </c>
      <c r="D209" s="116" t="str">
        <f ca="1">OFFSET(ORÇAMENTO!N$15,$L209,0)</f>
        <v>Serviço</v>
      </c>
      <c r="E209" s="117" t="str">
        <f ca="1">OFFSET(ORÇAMENTO!O$15,$L209,0)</f>
        <v>1.10.3.2.3.</v>
      </c>
      <c r="F209" s="163" t="str">
        <f ca="1">OFFSET(ORÇAMENTO!R$15,$L209,0)</f>
        <v>APLICAÇÃO DE LONA PLÁSTICA PARA EXECUÇÃO DE PAVIMENTOS DE CONCRETO. AF_04/2022</v>
      </c>
      <c r="G209" s="164" t="str">
        <f ca="1">IF($D209&lt;&gt;"Serviço","",OFFSET(ORÇAMENTO!S$15,$L209,0))</f>
        <v>M2</v>
      </c>
      <c r="H209" s="122" cm="1">
        <f t="array" aca="1" ref="H209" ca="1">IF($D209&lt;&gt;"Serviço",0,IF(ACOMPANHAMENTO="BM",ROUND(OFFSET(ORÇAMENTO!AJ$15,$L209,0),15-13*ORÇAMENTO!$AF$7),IF(IFERROR(CÁLCULO.FrentesPreenchidas,0)=0,0,SUM(ROUND(OFFSET($P209,0,1,1,CÁLCULO.FrentesPreenchidas),15-13*ORÇAMENTO!$AF$7)))))</f>
        <v>680.76</v>
      </c>
      <c r="I209" s="468"/>
      <c r="J209" s="651" t="str" cm="1">
        <f t="array" aca="1" ref="J209" ca="1">IF(OR(B209&lt;&gt;"S",CÁLCULO.FrentesPreenchidas=0),"",IF(AND(ACOMPANHAMENTO="PLE",AUTOEVENTO="Manual",OR(H209&gt;0,ORÇAMENTO!AC209="QUANT."),OR(K209="",M209=0,N209="")),"►E",IF(AND(ACOMPANHAMENTO="PLE",ORÇAMENTO!AC209="QUANT."),"►Q",IF(AND(ACOMPANHAMENTO="PLE",H209&lt;&gt;SUMPRODUCT(($Q$1:$AA$1=1)*ROUND(Q209:AA209,15))),"►S",IF(AND(COUNTIF($P$11:$AA$11,"▼")=0,H209&gt;0,I209=""),"◄M","")))))</f>
        <v/>
      </c>
      <c r="K209" s="652"/>
      <c r="L209" s="165">
        <f t="shared" ca="1" si="9"/>
        <v>194</v>
      </c>
      <c r="M209" s="166">
        <f ca="1">IF($D209&lt;&gt;"Serviço","",
          IF(AUTOEVENTO="manual",$A209,
                IF(ISERROR(MATCH($A209,$A$15:OFFSET($A209,-1,0),0)),MAX($M$15:OFFSET(M209,-1,0))+1,
                      INDEX($M$15:OFFSET(M209,-1,0),MATCH($A209,$A$15:OFFSET($A209,-1,0),0)))))</f>
        <v>10</v>
      </c>
      <c r="N209" s="167" t="str">
        <f ca="1">IF($D209&lt;&gt;"Serviço","",
         IF(AUTOEVENTO="Manual",
                IF($A209=0,"&lt;-- defina o número do agrupador",
                       OFFSET(EVENTOS!$D$15,$A209-$A$15,0)),
                OFFSET($F$15,$A209,0)))</f>
        <v>REVESTIMENTOS</v>
      </c>
      <c r="O209" s="168"/>
      <c r="Q209" s="168"/>
      <c r="R209" s="169"/>
      <c r="S209" s="169"/>
      <c r="T209" s="169"/>
      <c r="U209" s="169"/>
      <c r="V209" s="169"/>
      <c r="W209" s="169"/>
      <c r="X209" s="169"/>
      <c r="Y209" s="169"/>
      <c r="Z209" s="170"/>
      <c r="AB209" s="453">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3">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3">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3">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3">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3">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3">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3">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3">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3">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1">
        <f ca="1">IF(OR($D209&lt;&gt;"Serviço",AND(AUTOEVENTO="Manual",$M209=$A$15)),0,
         IF(OFFSET(CRONOPLE!$F$15,$M209-$A$15,AM$13)=0,10^12,OFFSET(CRONOPLE!$F$15,$M209-$A$15,AM$13)))</f>
        <v>1000000000000</v>
      </c>
      <c r="AN209" s="171">
        <f ca="1">IF(OR($D209&lt;&gt;"Serviço",AND(AUTOEVENTO="Manual",$M209=$A$15)),0,
         IF(OFFSET(CRONOPLE!$F$15,$M209-$A$15,AN$13)=0,10^12,OFFSET(CRONOPLE!$F$15,$M209-$A$15,AN$13)))</f>
        <v>1000000000000</v>
      </c>
      <c r="AO209" s="171">
        <f ca="1">IF(OR($D209&lt;&gt;"Serviço",AND(AUTOEVENTO="Manual",$M209=$A$15)),0,
         IF(OFFSET(CRONOPLE!$F$15,$M209-$A$15,AO$13)=0,10^12,OFFSET(CRONOPLE!$F$15,$M209-$A$15,AO$13)))</f>
        <v>1000000000000</v>
      </c>
      <c r="AP209" s="171">
        <f ca="1">IF(OR($D209&lt;&gt;"Serviço",AND(AUTOEVENTO="Manual",$M209=$A$15)),0,
         IF(OFFSET(CRONOPLE!$F$15,$M209-$A$15,AP$13)=0,10^12,OFFSET(CRONOPLE!$F$15,$M209-$A$15,AP$13)))</f>
        <v>1000000000000</v>
      </c>
      <c r="AQ209" s="171">
        <f ca="1">IF(OR($D209&lt;&gt;"Serviço",AND(AUTOEVENTO="Manual",$M209=$A$15)),0,
         IF(OFFSET(CRONOPLE!$F$15,$M209-$A$15,AQ$13)=0,10^12,OFFSET(CRONOPLE!$F$15,$M209-$A$15,AQ$13)))</f>
        <v>1000000000000</v>
      </c>
      <c r="AR209" s="171">
        <f ca="1">IF(OR($D209&lt;&gt;"Serviço",AND(AUTOEVENTO="Manual",$M209=$A$15)),0,
         IF(OFFSET(CRONOPLE!$F$15,$M209-$A$15,AR$13)=0,10^12,OFFSET(CRONOPLE!$F$15,$M209-$A$15,AR$13)))</f>
        <v>1000000000000</v>
      </c>
      <c r="AS209" s="171">
        <f ca="1">IF(OR($D209&lt;&gt;"Serviço",AND(AUTOEVENTO="Manual",$M209=$A$15)),0,
         IF(OFFSET(CRONOPLE!$F$15,$M209-$A$15,AS$13)=0,10^12,OFFSET(CRONOPLE!$F$15,$M209-$A$15,AS$13)))</f>
        <v>1000000000000</v>
      </c>
      <c r="AT209" s="171">
        <f ca="1">IF(OR($D209&lt;&gt;"Serviço",AND(AUTOEVENTO="Manual",$M209=$A$15)),0,
         IF(OFFSET(CRONOPLE!$F$15,$M209-$A$15,AT$13)=0,10^12,OFFSET(CRONOPLE!$F$15,$M209-$A$15,AT$13)))</f>
        <v>1000000000000</v>
      </c>
      <c r="AU209" s="171">
        <f ca="1">IF(OR($D209&lt;&gt;"Serviço",AND(AUTOEVENTO="Manual",$M209=$A$15)),0,
         IF(OFFSET(CRONOPLE!$F$15,$M209-$A$15,AU$13)=0,10^12,OFFSET(CRONOPLE!$F$15,$M209-$A$15,AU$13)))</f>
        <v>1000000000000</v>
      </c>
      <c r="AV209" s="171">
        <f ca="1">IF(OR($D209&lt;&gt;"Serviço",AND(AUTOEVENTO="Manual",$M209=$A$15)),0,
         IF(OFFSET(CRONOPLE!$F$15,$M209-$A$15,AV$13)=0,10^12,OFFSET(CRONOPLE!$F$15,$M209-$A$15,AV$13)))</f>
        <v>1000000000000</v>
      </c>
      <c r="AX209" s="172" cm="1">
        <f t="array" aca="1" ref="AX209" ca="1">IF(OR($D209&lt;&gt;"Serviço",AND(AUTOEVENTO="Manual",$M209=$A$15),$M209&gt;(ROW(PLE.lastrow)-ROW(PLE.firstrow))),0,
           IF(OFFSET(PLE!$G$15,$M209-$A$15,AX$13)="",10^12,OFFSET(PLE!$G$15,$M209-$A$15,AX$13)))</f>
        <v>1000000000000</v>
      </c>
      <c r="AY209" s="172" cm="1">
        <f t="array" aca="1" ref="AY209" ca="1">IF(OR($D209&lt;&gt;"Serviço",AND(AUTOEVENTO="Manual",$M209=$A$15),$M209&gt;(ROW(PLE.lastrow)-ROW(PLE.firstrow))),0,
           IF(OFFSET(PLE!$G$15,$M209-$A$15,AY$13)="",10^12,OFFSET(PLE!$G$15,$M209-$A$15,AY$13)))</f>
        <v>1000000000000</v>
      </c>
      <c r="AZ209" s="172" cm="1">
        <f t="array" aca="1" ref="AZ209" ca="1">IF(OR($D209&lt;&gt;"Serviço",AND(AUTOEVENTO="Manual",$M209=$A$15),$M209&gt;(ROW(PLE.lastrow)-ROW(PLE.firstrow))),0,
           IF(OFFSET(PLE!$G$15,$M209-$A$15,AZ$13)="",10^12,OFFSET(PLE!$G$15,$M209-$A$15,AZ$13)))</f>
        <v>1000000000000</v>
      </c>
      <c r="BA209" s="172" cm="1">
        <f t="array" aca="1" ref="BA209" ca="1">IF(OR($D209&lt;&gt;"Serviço",AND(AUTOEVENTO="Manual",$M209=$A$15),$M209&gt;(ROW(PLE.lastrow)-ROW(PLE.firstrow))),0,
           IF(OFFSET(PLE!$G$15,$M209-$A$15,BA$13)="",10^12,OFFSET(PLE!$G$15,$M209-$A$15,BA$13)))</f>
        <v>1000000000000</v>
      </c>
      <c r="BB209" s="172" cm="1">
        <f t="array" aca="1" ref="BB209" ca="1">IF(OR($D209&lt;&gt;"Serviço",AND(AUTOEVENTO="Manual",$M209=$A$15),$M209&gt;(ROW(PLE.lastrow)-ROW(PLE.firstrow))),0,
           IF(OFFSET(PLE!$G$15,$M209-$A$15,BB$13)="",10^12,OFFSET(PLE!$G$15,$M209-$A$15,BB$13)))</f>
        <v>1000000000000</v>
      </c>
      <c r="BC209" s="172" cm="1">
        <f t="array" aca="1" ref="BC209" ca="1">IF(OR($D209&lt;&gt;"Serviço",AND(AUTOEVENTO="Manual",$M209=$A$15),$M209&gt;(ROW(PLE.lastrow)-ROW(PLE.firstrow))),0,
           IF(OFFSET(PLE!$G$15,$M209-$A$15,BC$13)="",10^12,OFFSET(PLE!$G$15,$M209-$A$15,BC$13)))</f>
        <v>1000000000000</v>
      </c>
      <c r="BD209" s="172" cm="1">
        <f t="array" aca="1" ref="BD209" ca="1">IF(OR($D209&lt;&gt;"Serviço",AND(AUTOEVENTO="Manual",$M209=$A$15),$M209&gt;(ROW(PLE.lastrow)-ROW(PLE.firstrow))),0,
           IF(OFFSET(PLE!$G$15,$M209-$A$15,BD$13)="",10^12,OFFSET(PLE!$G$15,$M209-$A$15,BD$13)))</f>
        <v>1000000000000</v>
      </c>
      <c r="BE209" s="172" cm="1">
        <f t="array" aca="1" ref="BE209" ca="1">IF(OR($D209&lt;&gt;"Serviço",AND(AUTOEVENTO="Manual",$M209=$A$15),$M209&gt;(ROW(PLE.lastrow)-ROW(PLE.firstrow))),0,
           IF(OFFSET(PLE!$G$15,$M209-$A$15,BE$13)="",10^12,OFFSET(PLE!$G$15,$M209-$A$15,BE$13)))</f>
        <v>1000000000000</v>
      </c>
      <c r="BF209" s="172" cm="1">
        <f t="array" aca="1" ref="BF209" ca="1">IF(OR($D209&lt;&gt;"Serviço",AND(AUTOEVENTO="Manual",$M209=$A$15),$M209&gt;(ROW(PLE.lastrow)-ROW(PLE.firstrow))),0,
           IF(OFFSET(PLE!$G$15,$M209-$A$15,BF$13)="",10^12,OFFSET(PLE!$G$15,$M209-$A$15,BF$13)))</f>
        <v>1000000000000</v>
      </c>
      <c r="BG209" s="172" cm="1">
        <f t="array" aca="1" ref="BG209" ca="1">IF(OR($D209&lt;&gt;"Serviço",AND(AUTOEVENTO="Manual",$M209=$A$15),$M209&gt;(ROW(PLE.lastrow)-ROW(PLE.firstrow))),0,
           IF(OFFSET(PLE!$G$15,$M209-$A$15,BG$13)="",10^12,OFFSET(PLE!$G$15,$M209-$A$15,BG$13)))</f>
        <v>1000000000000</v>
      </c>
    </row>
    <row r="210" spans="1:59" ht="51" x14ac:dyDescent="0.2">
      <c r="A210" s="7" t="str">
        <f t="shared" ca="1" si="8"/>
        <v>178</v>
      </c>
      <c r="B210" s="7" t="str">
        <f ca="1">OFFSET(ORÇAMENTO!C$15,$L210,0)</f>
        <v>S</v>
      </c>
      <c r="C210" s="7" t="str">
        <f ca="1">OFFSET(ORÇAMENTO!L$15,$L210,0)</f>
        <v>F</v>
      </c>
      <c r="D210" s="116" t="str">
        <f ca="1">OFFSET(ORÇAMENTO!N$15,$L210,0)</f>
        <v>Serviço</v>
      </c>
      <c r="E210" s="117" t="str">
        <f ca="1">OFFSET(ORÇAMENTO!O$15,$L210,0)</f>
        <v>1.10.3.2.4.</v>
      </c>
      <c r="F210" s="163" t="str">
        <f ca="1">OFFSET(ORÇAMENTO!R$15,$L210,0)</f>
        <v>CONTRAPISO EM ARGAMASSA TRAÇO 1:4 (CIMENTO E AREIA), PREPARO MECÂNICO COM BETONEIRA 400 L, APLICADO EM ÁREAS SECAS SOBRE LAJE, NÃO ADERIDO, ACABAMENTO NÃO REFORÇADO, ESPESSURA 6CM. AF_07/2021</v>
      </c>
      <c r="G210" s="164" t="str">
        <f ca="1">IF($D210&lt;&gt;"Serviço","",OFFSET(ORÇAMENTO!S$15,$L210,0))</f>
        <v>M2</v>
      </c>
      <c r="H210" s="122" cm="1">
        <f t="array" aca="1" ref="H210" ca="1">IF($D210&lt;&gt;"Serviço",0,IF(ACOMPANHAMENTO="BM",ROUND(OFFSET(ORÇAMENTO!AJ$15,$L210,0),15-13*ORÇAMENTO!$AF$7),IF(IFERROR(CÁLCULO.FrentesPreenchidas,0)=0,0,SUM(ROUND(OFFSET($P210,0,1,1,CÁLCULO.FrentesPreenchidas),15-13*ORÇAMENTO!$AF$7)))))</f>
        <v>680.76</v>
      </c>
      <c r="I210" s="468"/>
      <c r="J210" s="651" t="str" cm="1">
        <f t="array" aca="1" ref="J210" ca="1">IF(OR(B210&lt;&gt;"S",CÁLCULO.FrentesPreenchidas=0),"",IF(AND(ACOMPANHAMENTO="PLE",AUTOEVENTO="Manual",OR(H210&gt;0,ORÇAMENTO!AC210="QUANT."),OR(K210="",M210=0,N210="")),"►E",IF(AND(ACOMPANHAMENTO="PLE",ORÇAMENTO!AC210="QUANT."),"►Q",IF(AND(ACOMPANHAMENTO="PLE",H210&lt;&gt;SUMPRODUCT(($Q$1:$AA$1=1)*ROUND(Q210:AA210,15))),"►S",IF(AND(COUNTIF($P$11:$AA$11,"▼")=0,H210&gt;0,I210=""),"◄M","")))))</f>
        <v/>
      </c>
      <c r="K210" s="652"/>
      <c r="L210" s="165">
        <f t="shared" ca="1" si="9"/>
        <v>195</v>
      </c>
      <c r="M210" s="166">
        <f ca="1">IF($D210&lt;&gt;"Serviço","",
          IF(AUTOEVENTO="manual",$A210,
                IF(ISERROR(MATCH($A210,$A$15:OFFSET($A210,-1,0),0)),MAX($M$15:OFFSET(M210,-1,0))+1,
                      INDEX($M$15:OFFSET(M210,-1,0),MATCH($A210,$A$15:OFFSET($A210,-1,0),0)))))</f>
        <v>10</v>
      </c>
      <c r="N210" s="167" t="str">
        <f ca="1">IF($D210&lt;&gt;"Serviço","",
         IF(AUTOEVENTO="Manual",
                IF($A210=0,"&lt;-- defina o número do agrupador",
                       OFFSET(EVENTOS!$D$15,$A210-$A$15,0)),
                OFFSET($F$15,$A210,0)))</f>
        <v>REVESTIMENTOS</v>
      </c>
      <c r="O210" s="168"/>
      <c r="Q210" s="168"/>
      <c r="R210" s="169"/>
      <c r="S210" s="169"/>
      <c r="T210" s="169"/>
      <c r="U210" s="169"/>
      <c r="V210" s="169"/>
      <c r="W210" s="169"/>
      <c r="X210" s="169"/>
      <c r="Y210" s="169"/>
      <c r="Z210" s="170"/>
      <c r="AB210" s="453">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3">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3">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3">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3">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3">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3">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3">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3">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3">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1">
        <f ca="1">IF(OR($D210&lt;&gt;"Serviço",AND(AUTOEVENTO="Manual",$M210=$A$15)),0,
         IF(OFFSET(CRONOPLE!$F$15,$M210-$A$15,AM$13)=0,10^12,OFFSET(CRONOPLE!$F$15,$M210-$A$15,AM$13)))</f>
        <v>1000000000000</v>
      </c>
      <c r="AN210" s="171">
        <f ca="1">IF(OR($D210&lt;&gt;"Serviço",AND(AUTOEVENTO="Manual",$M210=$A$15)),0,
         IF(OFFSET(CRONOPLE!$F$15,$M210-$A$15,AN$13)=0,10^12,OFFSET(CRONOPLE!$F$15,$M210-$A$15,AN$13)))</f>
        <v>1000000000000</v>
      </c>
      <c r="AO210" s="171">
        <f ca="1">IF(OR($D210&lt;&gt;"Serviço",AND(AUTOEVENTO="Manual",$M210=$A$15)),0,
         IF(OFFSET(CRONOPLE!$F$15,$M210-$A$15,AO$13)=0,10^12,OFFSET(CRONOPLE!$F$15,$M210-$A$15,AO$13)))</f>
        <v>1000000000000</v>
      </c>
      <c r="AP210" s="171">
        <f ca="1">IF(OR($D210&lt;&gt;"Serviço",AND(AUTOEVENTO="Manual",$M210=$A$15)),0,
         IF(OFFSET(CRONOPLE!$F$15,$M210-$A$15,AP$13)=0,10^12,OFFSET(CRONOPLE!$F$15,$M210-$A$15,AP$13)))</f>
        <v>1000000000000</v>
      </c>
      <c r="AQ210" s="171">
        <f ca="1">IF(OR($D210&lt;&gt;"Serviço",AND(AUTOEVENTO="Manual",$M210=$A$15)),0,
         IF(OFFSET(CRONOPLE!$F$15,$M210-$A$15,AQ$13)=0,10^12,OFFSET(CRONOPLE!$F$15,$M210-$A$15,AQ$13)))</f>
        <v>1000000000000</v>
      </c>
      <c r="AR210" s="171">
        <f ca="1">IF(OR($D210&lt;&gt;"Serviço",AND(AUTOEVENTO="Manual",$M210=$A$15)),0,
         IF(OFFSET(CRONOPLE!$F$15,$M210-$A$15,AR$13)=0,10^12,OFFSET(CRONOPLE!$F$15,$M210-$A$15,AR$13)))</f>
        <v>1000000000000</v>
      </c>
      <c r="AS210" s="171">
        <f ca="1">IF(OR($D210&lt;&gt;"Serviço",AND(AUTOEVENTO="Manual",$M210=$A$15)),0,
         IF(OFFSET(CRONOPLE!$F$15,$M210-$A$15,AS$13)=0,10^12,OFFSET(CRONOPLE!$F$15,$M210-$A$15,AS$13)))</f>
        <v>1000000000000</v>
      </c>
      <c r="AT210" s="171">
        <f ca="1">IF(OR($D210&lt;&gt;"Serviço",AND(AUTOEVENTO="Manual",$M210=$A$15)),0,
         IF(OFFSET(CRONOPLE!$F$15,$M210-$A$15,AT$13)=0,10^12,OFFSET(CRONOPLE!$F$15,$M210-$A$15,AT$13)))</f>
        <v>1000000000000</v>
      </c>
      <c r="AU210" s="171">
        <f ca="1">IF(OR($D210&lt;&gt;"Serviço",AND(AUTOEVENTO="Manual",$M210=$A$15)),0,
         IF(OFFSET(CRONOPLE!$F$15,$M210-$A$15,AU$13)=0,10^12,OFFSET(CRONOPLE!$F$15,$M210-$A$15,AU$13)))</f>
        <v>1000000000000</v>
      </c>
      <c r="AV210" s="171">
        <f ca="1">IF(OR($D210&lt;&gt;"Serviço",AND(AUTOEVENTO="Manual",$M210=$A$15)),0,
         IF(OFFSET(CRONOPLE!$F$15,$M210-$A$15,AV$13)=0,10^12,OFFSET(CRONOPLE!$F$15,$M210-$A$15,AV$13)))</f>
        <v>1000000000000</v>
      </c>
      <c r="AX210" s="172" cm="1">
        <f t="array" aca="1" ref="AX210" ca="1">IF(OR($D210&lt;&gt;"Serviço",AND(AUTOEVENTO="Manual",$M210=$A$15),$M210&gt;(ROW(PLE.lastrow)-ROW(PLE.firstrow))),0,
           IF(OFFSET(PLE!$G$15,$M210-$A$15,AX$13)="",10^12,OFFSET(PLE!$G$15,$M210-$A$15,AX$13)))</f>
        <v>1000000000000</v>
      </c>
      <c r="AY210" s="172" cm="1">
        <f t="array" aca="1" ref="AY210" ca="1">IF(OR($D210&lt;&gt;"Serviço",AND(AUTOEVENTO="Manual",$M210=$A$15),$M210&gt;(ROW(PLE.lastrow)-ROW(PLE.firstrow))),0,
           IF(OFFSET(PLE!$G$15,$M210-$A$15,AY$13)="",10^12,OFFSET(PLE!$G$15,$M210-$A$15,AY$13)))</f>
        <v>1000000000000</v>
      </c>
      <c r="AZ210" s="172" cm="1">
        <f t="array" aca="1" ref="AZ210" ca="1">IF(OR($D210&lt;&gt;"Serviço",AND(AUTOEVENTO="Manual",$M210=$A$15),$M210&gt;(ROW(PLE.lastrow)-ROW(PLE.firstrow))),0,
           IF(OFFSET(PLE!$G$15,$M210-$A$15,AZ$13)="",10^12,OFFSET(PLE!$G$15,$M210-$A$15,AZ$13)))</f>
        <v>1000000000000</v>
      </c>
      <c r="BA210" s="172" cm="1">
        <f t="array" aca="1" ref="BA210" ca="1">IF(OR($D210&lt;&gt;"Serviço",AND(AUTOEVENTO="Manual",$M210=$A$15),$M210&gt;(ROW(PLE.lastrow)-ROW(PLE.firstrow))),0,
           IF(OFFSET(PLE!$G$15,$M210-$A$15,BA$13)="",10^12,OFFSET(PLE!$G$15,$M210-$A$15,BA$13)))</f>
        <v>1000000000000</v>
      </c>
      <c r="BB210" s="172" cm="1">
        <f t="array" aca="1" ref="BB210" ca="1">IF(OR($D210&lt;&gt;"Serviço",AND(AUTOEVENTO="Manual",$M210=$A$15),$M210&gt;(ROW(PLE.lastrow)-ROW(PLE.firstrow))),0,
           IF(OFFSET(PLE!$G$15,$M210-$A$15,BB$13)="",10^12,OFFSET(PLE!$G$15,$M210-$A$15,BB$13)))</f>
        <v>1000000000000</v>
      </c>
      <c r="BC210" s="172" cm="1">
        <f t="array" aca="1" ref="BC210" ca="1">IF(OR($D210&lt;&gt;"Serviço",AND(AUTOEVENTO="Manual",$M210=$A$15),$M210&gt;(ROW(PLE.lastrow)-ROW(PLE.firstrow))),0,
           IF(OFFSET(PLE!$G$15,$M210-$A$15,BC$13)="",10^12,OFFSET(PLE!$G$15,$M210-$A$15,BC$13)))</f>
        <v>1000000000000</v>
      </c>
      <c r="BD210" s="172" cm="1">
        <f t="array" aca="1" ref="BD210" ca="1">IF(OR($D210&lt;&gt;"Serviço",AND(AUTOEVENTO="Manual",$M210=$A$15),$M210&gt;(ROW(PLE.lastrow)-ROW(PLE.firstrow))),0,
           IF(OFFSET(PLE!$G$15,$M210-$A$15,BD$13)="",10^12,OFFSET(PLE!$G$15,$M210-$A$15,BD$13)))</f>
        <v>1000000000000</v>
      </c>
      <c r="BE210" s="172" cm="1">
        <f t="array" aca="1" ref="BE210" ca="1">IF(OR($D210&lt;&gt;"Serviço",AND(AUTOEVENTO="Manual",$M210=$A$15),$M210&gt;(ROW(PLE.lastrow)-ROW(PLE.firstrow))),0,
           IF(OFFSET(PLE!$G$15,$M210-$A$15,BE$13)="",10^12,OFFSET(PLE!$G$15,$M210-$A$15,BE$13)))</f>
        <v>1000000000000</v>
      </c>
      <c r="BF210" s="172" cm="1">
        <f t="array" aca="1" ref="BF210" ca="1">IF(OR($D210&lt;&gt;"Serviço",AND(AUTOEVENTO="Manual",$M210=$A$15),$M210&gt;(ROW(PLE.lastrow)-ROW(PLE.firstrow))),0,
           IF(OFFSET(PLE!$G$15,$M210-$A$15,BF$13)="",10^12,OFFSET(PLE!$G$15,$M210-$A$15,BF$13)))</f>
        <v>1000000000000</v>
      </c>
      <c r="BG210" s="172" cm="1">
        <f t="array" aca="1" ref="BG210" ca="1">IF(OR($D210&lt;&gt;"Serviço",AND(AUTOEVENTO="Manual",$M210=$A$15),$M210&gt;(ROW(PLE.lastrow)-ROW(PLE.firstrow))),0,
           IF(OFFSET(PLE!$G$15,$M210-$A$15,BG$13)="",10^12,OFFSET(PLE!$G$15,$M210-$A$15,BG$13)))</f>
        <v>1000000000000</v>
      </c>
    </row>
    <row r="211" spans="1:59" ht="12.75" x14ac:dyDescent="0.2">
      <c r="A211" s="7" t="str">
        <f t="shared" ca="1" si="8"/>
        <v>178</v>
      </c>
      <c r="B211" s="7">
        <f ca="1">OFFSET(ORÇAMENTO!C$15,$L211,0)</f>
        <v>4</v>
      </c>
      <c r="C211" s="7" t="str">
        <f ca="1">OFFSET(ORÇAMENTO!L$15,$L211,0)</f>
        <v>F</v>
      </c>
      <c r="D211" s="116" t="str">
        <f ca="1">OFFSET(ORÇAMENTO!N$15,$L211,0)</f>
        <v>Nível 4</v>
      </c>
      <c r="E211" s="117" t="str">
        <f ca="1">OFFSET(ORÇAMENTO!O$15,$L211,0)</f>
        <v>1.10.3.3.</v>
      </c>
      <c r="F211" s="163" t="str">
        <f ca="1">OFFSET(ORÇAMENTO!R$15,$L211,0)</f>
        <v>PAREDES - ARGAMASSADOS</v>
      </c>
      <c r="G211" s="164" t="str">
        <f ca="1">IF($D211&lt;&gt;"Serviço","",OFFSET(ORÇAMENTO!S$15,$L211,0))</f>
        <v/>
      </c>
      <c r="H211" s="122" cm="1">
        <f t="array" aca="1" ref="H211" ca="1">IF($D211&lt;&gt;"Serviço",0,IF(ACOMPANHAMENTO="BM",ROUND(OFFSET(ORÇAMENTO!AJ$15,$L211,0),15-13*ORÇAMENTO!$AF$7),IF(IFERROR(CÁLCULO.FrentesPreenchidas,0)=0,0,SUM(ROUND(OFFSET($P211,0,1,1,CÁLCULO.FrentesPreenchidas),15-13*ORÇAMENTO!$AF$7)))))</f>
        <v>0</v>
      </c>
      <c r="I211" s="468"/>
      <c r="J211" s="651" t="str" cm="1">
        <f t="array" aca="1" ref="J211" ca="1">IF(OR(B211&lt;&gt;"S",CÁLCULO.FrentesPreenchidas=0),"",IF(AND(ACOMPANHAMENTO="PLE",AUTOEVENTO="Manual",OR(H211&gt;0,ORÇAMENTO!AC211="QUANT."),OR(K211="",M211=0,N211="")),"►E",IF(AND(ACOMPANHAMENTO="PLE",ORÇAMENTO!AC211="QUANT."),"►Q",IF(AND(ACOMPANHAMENTO="PLE",H211&lt;&gt;SUMPRODUCT(($Q$1:$AA$1=1)*ROUND(Q211:AA211,15))),"►S",IF(AND(COUNTIF($P$11:$AA$11,"▼")=0,H211&gt;0,I211=""),"◄M","")))))</f>
        <v/>
      </c>
      <c r="K211" s="652"/>
      <c r="L211" s="165">
        <f t="shared" ca="1" si="9"/>
        <v>196</v>
      </c>
      <c r="M211" s="166" t="str">
        <f ca="1">IF($D211&lt;&gt;"Serviço","",
          IF(AUTOEVENTO="manual",$A211,
                IF(ISERROR(MATCH($A211,$A$15:OFFSET($A211,-1,0),0)),MAX($M$15:OFFSET(M211,-1,0))+1,
                      INDEX($M$15:OFFSET(M211,-1,0),MATCH($A211,$A$15:OFFSET($A211,-1,0),0)))))</f>
        <v/>
      </c>
      <c r="N211" s="167" t="str">
        <f ca="1">IF($D211&lt;&gt;"Serviço","",
         IF(AUTOEVENTO="Manual",
                IF($A211=0,"&lt;-- defina o número do agrupador",
                       OFFSET(EVENTOS!$D$15,$A211-$A$15,0)),
                OFFSET($F$15,$A211,0)))</f>
        <v/>
      </c>
      <c r="O211" s="168"/>
      <c r="Q211" s="168"/>
      <c r="R211" s="169"/>
      <c r="S211" s="169"/>
      <c r="T211" s="169"/>
      <c r="U211" s="169"/>
      <c r="V211" s="169"/>
      <c r="W211" s="169"/>
      <c r="X211" s="169"/>
      <c r="Y211" s="169"/>
      <c r="Z211" s="170"/>
      <c r="AB211" s="453">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3">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3">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3">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3">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3">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3">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3">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3">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3">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1">
        <f ca="1">IF(OR($D211&lt;&gt;"Serviço",AND(AUTOEVENTO="Manual",$M211=$A$15)),0,
         IF(OFFSET(CRONOPLE!$F$15,$M211-$A$15,AM$13)=0,10^12,OFFSET(CRONOPLE!$F$15,$M211-$A$15,AM$13)))</f>
        <v>0</v>
      </c>
      <c r="AN211" s="171">
        <f ca="1">IF(OR($D211&lt;&gt;"Serviço",AND(AUTOEVENTO="Manual",$M211=$A$15)),0,
         IF(OFFSET(CRONOPLE!$F$15,$M211-$A$15,AN$13)=0,10^12,OFFSET(CRONOPLE!$F$15,$M211-$A$15,AN$13)))</f>
        <v>0</v>
      </c>
      <c r="AO211" s="171">
        <f ca="1">IF(OR($D211&lt;&gt;"Serviço",AND(AUTOEVENTO="Manual",$M211=$A$15)),0,
         IF(OFFSET(CRONOPLE!$F$15,$M211-$A$15,AO$13)=0,10^12,OFFSET(CRONOPLE!$F$15,$M211-$A$15,AO$13)))</f>
        <v>0</v>
      </c>
      <c r="AP211" s="171">
        <f ca="1">IF(OR($D211&lt;&gt;"Serviço",AND(AUTOEVENTO="Manual",$M211=$A$15)),0,
         IF(OFFSET(CRONOPLE!$F$15,$M211-$A$15,AP$13)=0,10^12,OFFSET(CRONOPLE!$F$15,$M211-$A$15,AP$13)))</f>
        <v>0</v>
      </c>
      <c r="AQ211" s="171">
        <f ca="1">IF(OR($D211&lt;&gt;"Serviço",AND(AUTOEVENTO="Manual",$M211=$A$15)),0,
         IF(OFFSET(CRONOPLE!$F$15,$M211-$A$15,AQ$13)=0,10^12,OFFSET(CRONOPLE!$F$15,$M211-$A$15,AQ$13)))</f>
        <v>0</v>
      </c>
      <c r="AR211" s="171">
        <f ca="1">IF(OR($D211&lt;&gt;"Serviço",AND(AUTOEVENTO="Manual",$M211=$A$15)),0,
         IF(OFFSET(CRONOPLE!$F$15,$M211-$A$15,AR$13)=0,10^12,OFFSET(CRONOPLE!$F$15,$M211-$A$15,AR$13)))</f>
        <v>0</v>
      </c>
      <c r="AS211" s="171">
        <f ca="1">IF(OR($D211&lt;&gt;"Serviço",AND(AUTOEVENTO="Manual",$M211=$A$15)),0,
         IF(OFFSET(CRONOPLE!$F$15,$M211-$A$15,AS$13)=0,10^12,OFFSET(CRONOPLE!$F$15,$M211-$A$15,AS$13)))</f>
        <v>0</v>
      </c>
      <c r="AT211" s="171">
        <f ca="1">IF(OR($D211&lt;&gt;"Serviço",AND(AUTOEVENTO="Manual",$M211=$A$15)),0,
         IF(OFFSET(CRONOPLE!$F$15,$M211-$A$15,AT$13)=0,10^12,OFFSET(CRONOPLE!$F$15,$M211-$A$15,AT$13)))</f>
        <v>0</v>
      </c>
      <c r="AU211" s="171">
        <f ca="1">IF(OR($D211&lt;&gt;"Serviço",AND(AUTOEVENTO="Manual",$M211=$A$15)),0,
         IF(OFFSET(CRONOPLE!$F$15,$M211-$A$15,AU$13)=0,10^12,OFFSET(CRONOPLE!$F$15,$M211-$A$15,AU$13)))</f>
        <v>0</v>
      </c>
      <c r="AV211" s="171">
        <f ca="1">IF(OR($D211&lt;&gt;"Serviço",AND(AUTOEVENTO="Manual",$M211=$A$15)),0,
         IF(OFFSET(CRONOPLE!$F$15,$M211-$A$15,AV$13)=0,10^12,OFFSET(CRONOPLE!$F$15,$M211-$A$15,AV$13)))</f>
        <v>0</v>
      </c>
      <c r="AX211" s="172" cm="1">
        <f t="array" aca="1" ref="AX211" ca="1">IF(OR($D211&lt;&gt;"Serviço",AND(AUTOEVENTO="Manual",$M211=$A$15),$M211&gt;(ROW(PLE.lastrow)-ROW(PLE.firstrow))),0,
           IF(OFFSET(PLE!$G$15,$M211-$A$15,AX$13)="",10^12,OFFSET(PLE!$G$15,$M211-$A$15,AX$13)))</f>
        <v>0</v>
      </c>
      <c r="AY211" s="172" cm="1">
        <f t="array" aca="1" ref="AY211" ca="1">IF(OR($D211&lt;&gt;"Serviço",AND(AUTOEVENTO="Manual",$M211=$A$15),$M211&gt;(ROW(PLE.lastrow)-ROW(PLE.firstrow))),0,
           IF(OFFSET(PLE!$G$15,$M211-$A$15,AY$13)="",10^12,OFFSET(PLE!$G$15,$M211-$A$15,AY$13)))</f>
        <v>0</v>
      </c>
      <c r="AZ211" s="172" cm="1">
        <f t="array" aca="1" ref="AZ211" ca="1">IF(OR($D211&lt;&gt;"Serviço",AND(AUTOEVENTO="Manual",$M211=$A$15),$M211&gt;(ROW(PLE.lastrow)-ROW(PLE.firstrow))),0,
           IF(OFFSET(PLE!$G$15,$M211-$A$15,AZ$13)="",10^12,OFFSET(PLE!$G$15,$M211-$A$15,AZ$13)))</f>
        <v>0</v>
      </c>
      <c r="BA211" s="172" cm="1">
        <f t="array" aca="1" ref="BA211" ca="1">IF(OR($D211&lt;&gt;"Serviço",AND(AUTOEVENTO="Manual",$M211=$A$15),$M211&gt;(ROW(PLE.lastrow)-ROW(PLE.firstrow))),0,
           IF(OFFSET(PLE!$G$15,$M211-$A$15,BA$13)="",10^12,OFFSET(PLE!$G$15,$M211-$A$15,BA$13)))</f>
        <v>0</v>
      </c>
      <c r="BB211" s="172" cm="1">
        <f t="array" aca="1" ref="BB211" ca="1">IF(OR($D211&lt;&gt;"Serviço",AND(AUTOEVENTO="Manual",$M211=$A$15),$M211&gt;(ROW(PLE.lastrow)-ROW(PLE.firstrow))),0,
           IF(OFFSET(PLE!$G$15,$M211-$A$15,BB$13)="",10^12,OFFSET(PLE!$G$15,$M211-$A$15,BB$13)))</f>
        <v>0</v>
      </c>
      <c r="BC211" s="172" cm="1">
        <f t="array" aca="1" ref="BC211" ca="1">IF(OR($D211&lt;&gt;"Serviço",AND(AUTOEVENTO="Manual",$M211=$A$15),$M211&gt;(ROW(PLE.lastrow)-ROW(PLE.firstrow))),0,
           IF(OFFSET(PLE!$G$15,$M211-$A$15,BC$13)="",10^12,OFFSET(PLE!$G$15,$M211-$A$15,BC$13)))</f>
        <v>0</v>
      </c>
      <c r="BD211" s="172" cm="1">
        <f t="array" aca="1" ref="BD211" ca="1">IF(OR($D211&lt;&gt;"Serviço",AND(AUTOEVENTO="Manual",$M211=$A$15),$M211&gt;(ROW(PLE.lastrow)-ROW(PLE.firstrow))),0,
           IF(OFFSET(PLE!$G$15,$M211-$A$15,BD$13)="",10^12,OFFSET(PLE!$G$15,$M211-$A$15,BD$13)))</f>
        <v>0</v>
      </c>
      <c r="BE211" s="172" cm="1">
        <f t="array" aca="1" ref="BE211" ca="1">IF(OR($D211&lt;&gt;"Serviço",AND(AUTOEVENTO="Manual",$M211=$A$15),$M211&gt;(ROW(PLE.lastrow)-ROW(PLE.firstrow))),0,
           IF(OFFSET(PLE!$G$15,$M211-$A$15,BE$13)="",10^12,OFFSET(PLE!$G$15,$M211-$A$15,BE$13)))</f>
        <v>0</v>
      </c>
      <c r="BF211" s="172" cm="1">
        <f t="array" aca="1" ref="BF211" ca="1">IF(OR($D211&lt;&gt;"Serviço",AND(AUTOEVENTO="Manual",$M211=$A$15),$M211&gt;(ROW(PLE.lastrow)-ROW(PLE.firstrow))),0,
           IF(OFFSET(PLE!$G$15,$M211-$A$15,BF$13)="",10^12,OFFSET(PLE!$G$15,$M211-$A$15,BF$13)))</f>
        <v>0</v>
      </c>
      <c r="BG211" s="172" cm="1">
        <f t="array" aca="1" ref="BG211" ca="1">IF(OR($D211&lt;&gt;"Serviço",AND(AUTOEVENTO="Manual",$M211=$A$15),$M211&gt;(ROW(PLE.lastrow)-ROW(PLE.firstrow))),0,
           IF(OFFSET(PLE!$G$15,$M211-$A$15,BG$13)="",10^12,OFFSET(PLE!$G$15,$M211-$A$15,BG$13)))</f>
        <v>0</v>
      </c>
    </row>
    <row r="212" spans="1:59" ht="38.25" x14ac:dyDescent="0.2">
      <c r="A212" s="7" t="str">
        <f t="shared" ca="1" si="8"/>
        <v>178</v>
      </c>
      <c r="B212" s="7" t="str">
        <f ca="1">OFFSET(ORÇAMENTO!C$15,$L212,0)</f>
        <v>S</v>
      </c>
      <c r="C212" s="7" t="str">
        <f ca="1">OFFSET(ORÇAMENTO!L$15,$L212,0)</f>
        <v>F</v>
      </c>
      <c r="D212" s="116" t="str">
        <f ca="1">OFFSET(ORÇAMENTO!N$15,$L212,0)</f>
        <v>Serviço</v>
      </c>
      <c r="E212" s="117" t="str">
        <f ca="1">OFFSET(ORÇAMENTO!O$15,$L212,0)</f>
        <v>1.10.3.3.1.</v>
      </c>
      <c r="F212" s="163" t="str">
        <f ca="1">OFFSET(ORÇAMENTO!R$15,$L212,0)</f>
        <v>CHAPISCO APLICADO EM ALVENARIAS E ESTRUTURAS DE CONCRETO INTERNAS, COM COLHER DE PEDREIRO. ARGAMASSA TRAÇO 1:3 COM PREPARO EM BETONEIRA 400L. AF_10/2022</v>
      </c>
      <c r="G212" s="164" t="str">
        <f ca="1">IF($D212&lt;&gt;"Serviço","",OFFSET(ORÇAMENTO!S$15,$L212,0))</f>
        <v>M2</v>
      </c>
      <c r="H212" s="122" cm="1">
        <f t="array" aca="1" ref="H212" ca="1">IF($D212&lt;&gt;"Serviço",0,IF(ACOMPANHAMENTO="BM",ROUND(OFFSET(ORÇAMENTO!AJ$15,$L212,0),15-13*ORÇAMENTO!$AF$7),IF(IFERROR(CÁLCULO.FrentesPreenchidas,0)=0,0,SUM(ROUND(OFFSET($P212,0,1,1,CÁLCULO.FrentesPreenchidas),15-13*ORÇAMENTO!$AF$7)))))</f>
        <v>3766.5</v>
      </c>
      <c r="I212" s="468"/>
      <c r="J212" s="651" t="str" cm="1">
        <f t="array" aca="1" ref="J212" ca="1">IF(OR(B212&lt;&gt;"S",CÁLCULO.FrentesPreenchidas=0),"",IF(AND(ACOMPANHAMENTO="PLE",AUTOEVENTO="Manual",OR(H212&gt;0,ORÇAMENTO!AC212="QUANT."),OR(K212="",M212=0,N212="")),"►E",IF(AND(ACOMPANHAMENTO="PLE",ORÇAMENTO!AC212="QUANT."),"►Q",IF(AND(ACOMPANHAMENTO="PLE",H212&lt;&gt;SUMPRODUCT(($Q$1:$AA$1=1)*ROUND(Q212:AA212,15))),"►S",IF(AND(COUNTIF($P$11:$AA$11,"▼")=0,H212&gt;0,I212=""),"◄M","")))))</f>
        <v/>
      </c>
      <c r="K212" s="652"/>
      <c r="L212" s="165">
        <f t="shared" ca="1" si="9"/>
        <v>197</v>
      </c>
      <c r="M212" s="166">
        <f ca="1">IF($D212&lt;&gt;"Serviço","",
          IF(AUTOEVENTO="manual",$A212,
                IF(ISERROR(MATCH($A212,$A$15:OFFSET($A212,-1,0),0)),MAX($M$15:OFFSET(M212,-1,0))+1,
                      INDEX($M$15:OFFSET(M212,-1,0),MATCH($A212,$A$15:OFFSET($A212,-1,0),0)))))</f>
        <v>10</v>
      </c>
      <c r="N212" s="167" t="str">
        <f ca="1">IF($D212&lt;&gt;"Serviço","",
         IF(AUTOEVENTO="Manual",
                IF($A212=0,"&lt;-- defina o número do agrupador",
                       OFFSET(EVENTOS!$D$15,$A212-$A$15,0)),
                OFFSET($F$15,$A212,0)))</f>
        <v>REVESTIMENTOS</v>
      </c>
      <c r="O212" s="168"/>
      <c r="Q212" s="168"/>
      <c r="R212" s="169"/>
      <c r="S212" s="169"/>
      <c r="T212" s="169"/>
      <c r="U212" s="169"/>
      <c r="V212" s="169"/>
      <c r="W212" s="169"/>
      <c r="X212" s="169"/>
      <c r="Y212" s="169"/>
      <c r="Z212" s="170"/>
      <c r="AB212" s="453">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3">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3">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3">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3">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3">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3">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3">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3">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3">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1">
        <f ca="1">IF(OR($D212&lt;&gt;"Serviço",AND(AUTOEVENTO="Manual",$M212=$A$15)),0,
         IF(OFFSET(CRONOPLE!$F$15,$M212-$A$15,AM$13)=0,10^12,OFFSET(CRONOPLE!$F$15,$M212-$A$15,AM$13)))</f>
        <v>1000000000000</v>
      </c>
      <c r="AN212" s="171">
        <f ca="1">IF(OR($D212&lt;&gt;"Serviço",AND(AUTOEVENTO="Manual",$M212=$A$15)),0,
         IF(OFFSET(CRONOPLE!$F$15,$M212-$A$15,AN$13)=0,10^12,OFFSET(CRONOPLE!$F$15,$M212-$A$15,AN$13)))</f>
        <v>1000000000000</v>
      </c>
      <c r="AO212" s="171">
        <f ca="1">IF(OR($D212&lt;&gt;"Serviço",AND(AUTOEVENTO="Manual",$M212=$A$15)),0,
         IF(OFFSET(CRONOPLE!$F$15,$M212-$A$15,AO$13)=0,10^12,OFFSET(CRONOPLE!$F$15,$M212-$A$15,AO$13)))</f>
        <v>1000000000000</v>
      </c>
      <c r="AP212" s="171">
        <f ca="1">IF(OR($D212&lt;&gt;"Serviço",AND(AUTOEVENTO="Manual",$M212=$A$15)),0,
         IF(OFFSET(CRONOPLE!$F$15,$M212-$A$15,AP$13)=0,10^12,OFFSET(CRONOPLE!$F$15,$M212-$A$15,AP$13)))</f>
        <v>1000000000000</v>
      </c>
      <c r="AQ212" s="171">
        <f ca="1">IF(OR($D212&lt;&gt;"Serviço",AND(AUTOEVENTO="Manual",$M212=$A$15)),0,
         IF(OFFSET(CRONOPLE!$F$15,$M212-$A$15,AQ$13)=0,10^12,OFFSET(CRONOPLE!$F$15,$M212-$A$15,AQ$13)))</f>
        <v>1000000000000</v>
      </c>
      <c r="AR212" s="171">
        <f ca="1">IF(OR($D212&lt;&gt;"Serviço",AND(AUTOEVENTO="Manual",$M212=$A$15)),0,
         IF(OFFSET(CRONOPLE!$F$15,$M212-$A$15,AR$13)=0,10^12,OFFSET(CRONOPLE!$F$15,$M212-$A$15,AR$13)))</f>
        <v>1000000000000</v>
      </c>
      <c r="AS212" s="171">
        <f ca="1">IF(OR($D212&lt;&gt;"Serviço",AND(AUTOEVENTO="Manual",$M212=$A$15)),0,
         IF(OFFSET(CRONOPLE!$F$15,$M212-$A$15,AS$13)=0,10^12,OFFSET(CRONOPLE!$F$15,$M212-$A$15,AS$13)))</f>
        <v>1000000000000</v>
      </c>
      <c r="AT212" s="171">
        <f ca="1">IF(OR($D212&lt;&gt;"Serviço",AND(AUTOEVENTO="Manual",$M212=$A$15)),0,
         IF(OFFSET(CRONOPLE!$F$15,$M212-$A$15,AT$13)=0,10^12,OFFSET(CRONOPLE!$F$15,$M212-$A$15,AT$13)))</f>
        <v>1000000000000</v>
      </c>
      <c r="AU212" s="171">
        <f ca="1">IF(OR($D212&lt;&gt;"Serviço",AND(AUTOEVENTO="Manual",$M212=$A$15)),0,
         IF(OFFSET(CRONOPLE!$F$15,$M212-$A$15,AU$13)=0,10^12,OFFSET(CRONOPLE!$F$15,$M212-$A$15,AU$13)))</f>
        <v>1000000000000</v>
      </c>
      <c r="AV212" s="171">
        <f ca="1">IF(OR($D212&lt;&gt;"Serviço",AND(AUTOEVENTO="Manual",$M212=$A$15)),0,
         IF(OFFSET(CRONOPLE!$F$15,$M212-$A$15,AV$13)=0,10^12,OFFSET(CRONOPLE!$F$15,$M212-$A$15,AV$13)))</f>
        <v>1000000000000</v>
      </c>
      <c r="AX212" s="172" cm="1">
        <f t="array" aca="1" ref="AX212" ca="1">IF(OR($D212&lt;&gt;"Serviço",AND(AUTOEVENTO="Manual",$M212=$A$15),$M212&gt;(ROW(PLE.lastrow)-ROW(PLE.firstrow))),0,
           IF(OFFSET(PLE!$G$15,$M212-$A$15,AX$13)="",10^12,OFFSET(PLE!$G$15,$M212-$A$15,AX$13)))</f>
        <v>1000000000000</v>
      </c>
      <c r="AY212" s="172" cm="1">
        <f t="array" aca="1" ref="AY212" ca="1">IF(OR($D212&lt;&gt;"Serviço",AND(AUTOEVENTO="Manual",$M212=$A$15),$M212&gt;(ROW(PLE.lastrow)-ROW(PLE.firstrow))),0,
           IF(OFFSET(PLE!$G$15,$M212-$A$15,AY$13)="",10^12,OFFSET(PLE!$G$15,$M212-$A$15,AY$13)))</f>
        <v>1000000000000</v>
      </c>
      <c r="AZ212" s="172" cm="1">
        <f t="array" aca="1" ref="AZ212" ca="1">IF(OR($D212&lt;&gt;"Serviço",AND(AUTOEVENTO="Manual",$M212=$A$15),$M212&gt;(ROW(PLE.lastrow)-ROW(PLE.firstrow))),0,
           IF(OFFSET(PLE!$G$15,$M212-$A$15,AZ$13)="",10^12,OFFSET(PLE!$G$15,$M212-$A$15,AZ$13)))</f>
        <v>1000000000000</v>
      </c>
      <c r="BA212" s="172" cm="1">
        <f t="array" aca="1" ref="BA212" ca="1">IF(OR($D212&lt;&gt;"Serviço",AND(AUTOEVENTO="Manual",$M212=$A$15),$M212&gt;(ROW(PLE.lastrow)-ROW(PLE.firstrow))),0,
           IF(OFFSET(PLE!$G$15,$M212-$A$15,BA$13)="",10^12,OFFSET(PLE!$G$15,$M212-$A$15,BA$13)))</f>
        <v>1000000000000</v>
      </c>
      <c r="BB212" s="172" cm="1">
        <f t="array" aca="1" ref="BB212" ca="1">IF(OR($D212&lt;&gt;"Serviço",AND(AUTOEVENTO="Manual",$M212=$A$15),$M212&gt;(ROW(PLE.lastrow)-ROW(PLE.firstrow))),0,
           IF(OFFSET(PLE!$G$15,$M212-$A$15,BB$13)="",10^12,OFFSET(PLE!$G$15,$M212-$A$15,BB$13)))</f>
        <v>1000000000000</v>
      </c>
      <c r="BC212" s="172" cm="1">
        <f t="array" aca="1" ref="BC212" ca="1">IF(OR($D212&lt;&gt;"Serviço",AND(AUTOEVENTO="Manual",$M212=$A$15),$M212&gt;(ROW(PLE.lastrow)-ROW(PLE.firstrow))),0,
           IF(OFFSET(PLE!$G$15,$M212-$A$15,BC$13)="",10^12,OFFSET(PLE!$G$15,$M212-$A$15,BC$13)))</f>
        <v>1000000000000</v>
      </c>
      <c r="BD212" s="172" cm="1">
        <f t="array" aca="1" ref="BD212" ca="1">IF(OR($D212&lt;&gt;"Serviço",AND(AUTOEVENTO="Manual",$M212=$A$15),$M212&gt;(ROW(PLE.lastrow)-ROW(PLE.firstrow))),0,
           IF(OFFSET(PLE!$G$15,$M212-$A$15,BD$13)="",10^12,OFFSET(PLE!$G$15,$M212-$A$15,BD$13)))</f>
        <v>1000000000000</v>
      </c>
      <c r="BE212" s="172" cm="1">
        <f t="array" aca="1" ref="BE212" ca="1">IF(OR($D212&lt;&gt;"Serviço",AND(AUTOEVENTO="Manual",$M212=$A$15),$M212&gt;(ROW(PLE.lastrow)-ROW(PLE.firstrow))),0,
           IF(OFFSET(PLE!$G$15,$M212-$A$15,BE$13)="",10^12,OFFSET(PLE!$G$15,$M212-$A$15,BE$13)))</f>
        <v>1000000000000</v>
      </c>
      <c r="BF212" s="172" cm="1">
        <f t="array" aca="1" ref="BF212" ca="1">IF(OR($D212&lt;&gt;"Serviço",AND(AUTOEVENTO="Manual",$M212=$A$15),$M212&gt;(ROW(PLE.lastrow)-ROW(PLE.firstrow))),0,
           IF(OFFSET(PLE!$G$15,$M212-$A$15,BF$13)="",10^12,OFFSET(PLE!$G$15,$M212-$A$15,BF$13)))</f>
        <v>1000000000000</v>
      </c>
      <c r="BG212" s="172" cm="1">
        <f t="array" aca="1" ref="BG212" ca="1">IF(OR($D212&lt;&gt;"Serviço",AND(AUTOEVENTO="Manual",$M212=$A$15),$M212&gt;(ROW(PLE.lastrow)-ROW(PLE.firstrow))),0,
           IF(OFFSET(PLE!$G$15,$M212-$A$15,BG$13)="",10^12,OFFSET(PLE!$G$15,$M212-$A$15,BG$13)))</f>
        <v>1000000000000</v>
      </c>
    </row>
    <row r="213" spans="1:59" ht="51" x14ac:dyDescent="0.2">
      <c r="A213" s="7" t="str">
        <f ca="1">IFERROR(IF(AUTOEVENTO="Manual",IF(K213&lt;&gt;"",MIN(VALUE(LEFT(K213,FIND(".",K213)-1)),COUNTA(EVENTOS.Lista)),0),IF(OR($B213&gt;AUTOEVENTO,$B213="S",$B213=0),SUBSTITUTE(OFFSET($A213,-1,0),IF($D213="Serviço",".",""),""),$L213&amp;".")),0)</f>
        <v>178</v>
      </c>
      <c r="B213" s="7" t="str">
        <f ca="1">OFFSET(ORÇAMENTO!C$15,$L213,0)</f>
        <v>S</v>
      </c>
      <c r="C213" s="7" t="str">
        <f ca="1">OFFSET(ORÇAMENTO!L$15,$L213,0)</f>
        <v>F</v>
      </c>
      <c r="D213" s="116" t="str">
        <f ca="1">OFFSET(ORÇAMENTO!N$15,$L213,0)</f>
        <v>Serviço</v>
      </c>
      <c r="E213" s="117" t="str">
        <f ca="1">OFFSET(ORÇAMENTO!O$15,$L213,0)</f>
        <v>1.10.3.3.2.</v>
      </c>
      <c r="F213" s="163" t="str">
        <f ca="1">OFFSET(ORÇAMENTO!R$15,$L213,0)</f>
        <v>MASSA ÚNICA, EM ARGAMASSA TRAÇO 1:2:8, PREPARO MECÂNICO, APLICADA MANUALMENTE EM PAREDES INTERNAS DE AMBIENTES COM ÁREA ENTRE 5M² E 10M², E = 17,5MM, COM TALISCAS. AF_03/2024</v>
      </c>
      <c r="G213" s="164" t="str">
        <f ca="1">IF($D213&lt;&gt;"Serviço","",OFFSET(ORÇAMENTO!S$15,$L213,0))</f>
        <v>M2</v>
      </c>
      <c r="H213" s="122" cm="1">
        <f t="array" aca="1" ref="H213" ca="1">IF($D213&lt;&gt;"Serviço",0,IF(ACOMPANHAMENTO="BM",ROUND(OFFSET(ORÇAMENTO!AJ$15,$L213,0),15-13*ORÇAMENTO!$AF$7),IF(IFERROR(CÁLCULO.FrentesPreenchidas,0)=0,0,SUM(ROUND(OFFSET($P213,0,1,1,CÁLCULO.FrentesPreenchidas),15-13*ORÇAMENTO!$AF$7)))))</f>
        <v>3766.5</v>
      </c>
      <c r="I213" s="468"/>
      <c r="J213" s="651" t="str" cm="1">
        <f t="array" aca="1" ref="J213" ca="1">IF(OR(B213&lt;&gt;"S",CÁLCULO.FrentesPreenchidas=0),"",IF(AND(ACOMPANHAMENTO="PLE",AUTOEVENTO="Manual",OR(H213&gt;0,ORÇAMENTO!AC213="QUANT."),OR(K213="",M213=0,N213="")),"►E",IF(AND(ACOMPANHAMENTO="PLE",ORÇAMENTO!AC213="QUANT."),"►Q",IF(AND(ACOMPANHAMENTO="PLE",H213&lt;&gt;SUMPRODUCT(($Q$1:$AA$1=1)*ROUND(Q213:AA213,15))),"►S",IF(AND(COUNTIF($P$11:$AA$11,"▼")=0,H213&gt;0,I213=""),"◄M","")))))</f>
        <v/>
      </c>
      <c r="K213" s="652"/>
      <c r="L213" s="165">
        <f ca="1">OFFSET(L213,-1,0)+1</f>
        <v>198</v>
      </c>
      <c r="M213" s="166">
        <f ca="1">IF($D213&lt;&gt;"Serviço","",
          IF(AUTOEVENTO="manual",$A213,
                IF(ISERROR(MATCH($A213,$A$15:OFFSET($A213,-1,0),0)),MAX($M$15:OFFSET(M213,-1,0))+1,
                      INDEX($M$15:OFFSET(M213,-1,0),MATCH($A213,$A$15:OFFSET($A213,-1,0),0)))))</f>
        <v>10</v>
      </c>
      <c r="N213" s="167" t="str">
        <f ca="1">IF($D213&lt;&gt;"Serviço","",
         IF(AUTOEVENTO="Manual",
                IF($A213=0,"&lt;-- defina o número do agrupador",
                       OFFSET(EVENTOS!$D$15,$A213-$A$15,0)),
                OFFSET($F$15,$A213,0)))</f>
        <v>REVESTIMENTOS</v>
      </c>
      <c r="O213" s="168"/>
      <c r="Q213" s="168"/>
      <c r="R213" s="169"/>
      <c r="S213" s="169"/>
      <c r="T213" s="169"/>
      <c r="U213" s="169"/>
      <c r="V213" s="169"/>
      <c r="W213" s="169"/>
      <c r="X213" s="169"/>
      <c r="Y213" s="169"/>
      <c r="Z213" s="170"/>
      <c r="AB213" s="453">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3">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3">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3">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3">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3">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3">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3">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3">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3">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1">
        <f ca="1">IF(OR($D213&lt;&gt;"Serviço",AND(AUTOEVENTO="Manual",$M213=$A$15)),0,
         IF(OFFSET(CRONOPLE!$F$15,$M213-$A$15,AM$13)=0,10^12,OFFSET(CRONOPLE!$F$15,$M213-$A$15,AM$13)))</f>
        <v>1000000000000</v>
      </c>
      <c r="AN213" s="171">
        <f ca="1">IF(OR($D213&lt;&gt;"Serviço",AND(AUTOEVENTO="Manual",$M213=$A$15)),0,
         IF(OFFSET(CRONOPLE!$F$15,$M213-$A$15,AN$13)=0,10^12,OFFSET(CRONOPLE!$F$15,$M213-$A$15,AN$13)))</f>
        <v>1000000000000</v>
      </c>
      <c r="AO213" s="171">
        <f ca="1">IF(OR($D213&lt;&gt;"Serviço",AND(AUTOEVENTO="Manual",$M213=$A$15)),0,
         IF(OFFSET(CRONOPLE!$F$15,$M213-$A$15,AO$13)=0,10^12,OFFSET(CRONOPLE!$F$15,$M213-$A$15,AO$13)))</f>
        <v>1000000000000</v>
      </c>
      <c r="AP213" s="171">
        <f ca="1">IF(OR($D213&lt;&gt;"Serviço",AND(AUTOEVENTO="Manual",$M213=$A$15)),0,
         IF(OFFSET(CRONOPLE!$F$15,$M213-$A$15,AP$13)=0,10^12,OFFSET(CRONOPLE!$F$15,$M213-$A$15,AP$13)))</f>
        <v>1000000000000</v>
      </c>
      <c r="AQ213" s="171">
        <f ca="1">IF(OR($D213&lt;&gt;"Serviço",AND(AUTOEVENTO="Manual",$M213=$A$15)),0,
         IF(OFFSET(CRONOPLE!$F$15,$M213-$A$15,AQ$13)=0,10^12,OFFSET(CRONOPLE!$F$15,$M213-$A$15,AQ$13)))</f>
        <v>1000000000000</v>
      </c>
      <c r="AR213" s="171">
        <f ca="1">IF(OR($D213&lt;&gt;"Serviço",AND(AUTOEVENTO="Manual",$M213=$A$15)),0,
         IF(OFFSET(CRONOPLE!$F$15,$M213-$A$15,AR$13)=0,10^12,OFFSET(CRONOPLE!$F$15,$M213-$A$15,AR$13)))</f>
        <v>1000000000000</v>
      </c>
      <c r="AS213" s="171">
        <f ca="1">IF(OR($D213&lt;&gt;"Serviço",AND(AUTOEVENTO="Manual",$M213=$A$15)),0,
         IF(OFFSET(CRONOPLE!$F$15,$M213-$A$15,AS$13)=0,10^12,OFFSET(CRONOPLE!$F$15,$M213-$A$15,AS$13)))</f>
        <v>1000000000000</v>
      </c>
      <c r="AT213" s="171">
        <f ca="1">IF(OR($D213&lt;&gt;"Serviço",AND(AUTOEVENTO="Manual",$M213=$A$15)),0,
         IF(OFFSET(CRONOPLE!$F$15,$M213-$A$15,AT$13)=0,10^12,OFFSET(CRONOPLE!$F$15,$M213-$A$15,AT$13)))</f>
        <v>1000000000000</v>
      </c>
      <c r="AU213" s="171">
        <f ca="1">IF(OR($D213&lt;&gt;"Serviço",AND(AUTOEVENTO="Manual",$M213=$A$15)),0,
         IF(OFFSET(CRONOPLE!$F$15,$M213-$A$15,AU$13)=0,10^12,OFFSET(CRONOPLE!$F$15,$M213-$A$15,AU$13)))</f>
        <v>1000000000000</v>
      </c>
      <c r="AV213" s="171">
        <f ca="1">IF(OR($D213&lt;&gt;"Serviço",AND(AUTOEVENTO="Manual",$M213=$A$15)),0,
         IF(OFFSET(CRONOPLE!$F$15,$M213-$A$15,AV$13)=0,10^12,OFFSET(CRONOPLE!$F$15,$M213-$A$15,AV$13)))</f>
        <v>1000000000000</v>
      </c>
      <c r="AX213" s="172" cm="1">
        <f t="array" aca="1" ref="AX213" ca="1">IF(OR($D213&lt;&gt;"Serviço",AND(AUTOEVENTO="Manual",$M213=$A$15),$M213&gt;(ROW(PLE.lastrow)-ROW(PLE.firstrow))),0,
           IF(OFFSET(PLE!$G$15,$M213-$A$15,AX$13)="",10^12,OFFSET(PLE!$G$15,$M213-$A$15,AX$13)))</f>
        <v>1000000000000</v>
      </c>
      <c r="AY213" s="172" cm="1">
        <f t="array" aca="1" ref="AY213" ca="1">IF(OR($D213&lt;&gt;"Serviço",AND(AUTOEVENTO="Manual",$M213=$A$15),$M213&gt;(ROW(PLE.lastrow)-ROW(PLE.firstrow))),0,
           IF(OFFSET(PLE!$G$15,$M213-$A$15,AY$13)="",10^12,OFFSET(PLE!$G$15,$M213-$A$15,AY$13)))</f>
        <v>1000000000000</v>
      </c>
      <c r="AZ213" s="172" cm="1">
        <f t="array" aca="1" ref="AZ213" ca="1">IF(OR($D213&lt;&gt;"Serviço",AND(AUTOEVENTO="Manual",$M213=$A$15),$M213&gt;(ROW(PLE.lastrow)-ROW(PLE.firstrow))),0,
           IF(OFFSET(PLE!$G$15,$M213-$A$15,AZ$13)="",10^12,OFFSET(PLE!$G$15,$M213-$A$15,AZ$13)))</f>
        <v>1000000000000</v>
      </c>
      <c r="BA213" s="172" cm="1">
        <f t="array" aca="1" ref="BA213" ca="1">IF(OR($D213&lt;&gt;"Serviço",AND(AUTOEVENTO="Manual",$M213=$A$15),$M213&gt;(ROW(PLE.lastrow)-ROW(PLE.firstrow))),0,
           IF(OFFSET(PLE!$G$15,$M213-$A$15,BA$13)="",10^12,OFFSET(PLE!$G$15,$M213-$A$15,BA$13)))</f>
        <v>1000000000000</v>
      </c>
      <c r="BB213" s="172" cm="1">
        <f t="array" aca="1" ref="BB213" ca="1">IF(OR($D213&lt;&gt;"Serviço",AND(AUTOEVENTO="Manual",$M213=$A$15),$M213&gt;(ROW(PLE.lastrow)-ROW(PLE.firstrow))),0,
           IF(OFFSET(PLE!$G$15,$M213-$A$15,BB$13)="",10^12,OFFSET(PLE!$G$15,$M213-$A$15,BB$13)))</f>
        <v>1000000000000</v>
      </c>
      <c r="BC213" s="172" cm="1">
        <f t="array" aca="1" ref="BC213" ca="1">IF(OR($D213&lt;&gt;"Serviço",AND(AUTOEVENTO="Manual",$M213=$A$15),$M213&gt;(ROW(PLE.lastrow)-ROW(PLE.firstrow))),0,
           IF(OFFSET(PLE!$G$15,$M213-$A$15,BC$13)="",10^12,OFFSET(PLE!$G$15,$M213-$A$15,BC$13)))</f>
        <v>1000000000000</v>
      </c>
      <c r="BD213" s="172" cm="1">
        <f t="array" aca="1" ref="BD213" ca="1">IF(OR($D213&lt;&gt;"Serviço",AND(AUTOEVENTO="Manual",$M213=$A$15),$M213&gt;(ROW(PLE.lastrow)-ROW(PLE.firstrow))),0,
           IF(OFFSET(PLE!$G$15,$M213-$A$15,BD$13)="",10^12,OFFSET(PLE!$G$15,$M213-$A$15,BD$13)))</f>
        <v>1000000000000</v>
      </c>
      <c r="BE213" s="172" cm="1">
        <f t="array" aca="1" ref="BE213" ca="1">IF(OR($D213&lt;&gt;"Serviço",AND(AUTOEVENTO="Manual",$M213=$A$15),$M213&gt;(ROW(PLE.lastrow)-ROW(PLE.firstrow))),0,
           IF(OFFSET(PLE!$G$15,$M213-$A$15,BE$13)="",10^12,OFFSET(PLE!$G$15,$M213-$A$15,BE$13)))</f>
        <v>1000000000000</v>
      </c>
      <c r="BF213" s="172" cm="1">
        <f t="array" aca="1" ref="BF213" ca="1">IF(OR($D213&lt;&gt;"Serviço",AND(AUTOEVENTO="Manual",$M213=$A$15),$M213&gt;(ROW(PLE.lastrow)-ROW(PLE.firstrow))),0,
           IF(OFFSET(PLE!$G$15,$M213-$A$15,BF$13)="",10^12,OFFSET(PLE!$G$15,$M213-$A$15,BF$13)))</f>
        <v>1000000000000</v>
      </c>
      <c r="BG213" s="172" cm="1">
        <f t="array" aca="1" ref="BG213" ca="1">IF(OR($D213&lt;&gt;"Serviço",AND(AUTOEVENTO="Manual",$M213=$A$15),$M213&gt;(ROW(PLE.lastrow)-ROW(PLE.firstrow))),0,
           IF(OFFSET(PLE!$G$15,$M213-$A$15,BG$13)="",10^12,OFFSET(PLE!$G$15,$M213-$A$15,BG$13)))</f>
        <v>1000000000000</v>
      </c>
    </row>
    <row r="214" spans="1:59" ht="12.75" x14ac:dyDescent="0.2">
      <c r="A214" s="7" t="str">
        <f t="shared" ca="1" si="8"/>
        <v>178</v>
      </c>
      <c r="B214" s="7">
        <f ca="1">OFFSET(ORÇAMENTO!C$15,$L214,0)</f>
        <v>4</v>
      </c>
      <c r="C214" s="7" t="str">
        <f ca="1">OFFSET(ORÇAMENTO!L$15,$L214,0)</f>
        <v>F</v>
      </c>
      <c r="D214" s="116" t="str">
        <f ca="1">OFFSET(ORÇAMENTO!N$15,$L214,0)</f>
        <v>Nível 4</v>
      </c>
      <c r="E214" s="117" t="str">
        <f ca="1">OFFSET(ORÇAMENTO!O$15,$L214,0)</f>
        <v>1.10.3.4.</v>
      </c>
      <c r="F214" s="163" t="str">
        <f ca="1">OFFSET(ORÇAMENTO!R$15,$L214,0)</f>
        <v>PISOS - CERÂMICOS</v>
      </c>
      <c r="G214" s="164" t="str">
        <f ca="1">IF($D214&lt;&gt;"Serviço","",OFFSET(ORÇAMENTO!S$15,$L214,0))</f>
        <v/>
      </c>
      <c r="H214" s="122" cm="1">
        <f t="array" aca="1" ref="H214" ca="1">IF($D214&lt;&gt;"Serviço",0,IF(ACOMPANHAMENTO="BM",ROUND(OFFSET(ORÇAMENTO!AJ$15,$L214,0),15-13*ORÇAMENTO!$AF$7),IF(IFERROR(CÁLCULO.FrentesPreenchidas,0)=0,0,SUM(ROUND(OFFSET($P214,0,1,1,CÁLCULO.FrentesPreenchidas),15-13*ORÇAMENTO!$AF$7)))))</f>
        <v>0</v>
      </c>
      <c r="I214" s="468"/>
      <c r="J214" s="651" t="str" cm="1">
        <f t="array" aca="1" ref="J214" ca="1">IF(OR(B214&lt;&gt;"S",CÁLCULO.FrentesPreenchidas=0),"",IF(AND(ACOMPANHAMENTO="PLE",AUTOEVENTO="Manual",OR(H214&gt;0,ORÇAMENTO!AC214="QUANT."),OR(K214="",M214=0,N214="")),"►E",IF(AND(ACOMPANHAMENTO="PLE",ORÇAMENTO!AC214="QUANT."),"►Q",IF(AND(ACOMPANHAMENTO="PLE",H214&lt;&gt;SUMPRODUCT(($Q$1:$AA$1=1)*ROUND(Q214:AA214,15))),"►S",IF(AND(COUNTIF($P$11:$AA$11,"▼")=0,H214&gt;0,I214=""),"◄M","")))))</f>
        <v/>
      </c>
      <c r="K214" s="652"/>
      <c r="L214" s="165">
        <f t="shared" ca="1" si="9"/>
        <v>199</v>
      </c>
      <c r="M214" s="166" t="str">
        <f ca="1">IF($D214&lt;&gt;"Serviço","",
          IF(AUTOEVENTO="manual",$A214,
                IF(ISERROR(MATCH($A214,$A$15:OFFSET($A214,-1,0),0)),MAX($M$15:OFFSET(M214,-1,0))+1,
                      INDEX($M$15:OFFSET(M214,-1,0),MATCH($A214,$A$15:OFFSET($A214,-1,0),0)))))</f>
        <v/>
      </c>
      <c r="N214" s="167" t="str">
        <f ca="1">IF($D214&lt;&gt;"Serviço","",
         IF(AUTOEVENTO="Manual",
                IF($A214=0,"&lt;-- defina o número do agrupador",
                       OFFSET(EVENTOS!$D$15,$A214-$A$15,0)),
                OFFSET($F$15,$A214,0)))</f>
        <v/>
      </c>
      <c r="O214" s="168"/>
      <c r="Q214" s="168"/>
      <c r="R214" s="169"/>
      <c r="S214" s="169"/>
      <c r="T214" s="169"/>
      <c r="U214" s="169"/>
      <c r="V214" s="169"/>
      <c r="W214" s="169"/>
      <c r="X214" s="169"/>
      <c r="Y214" s="169"/>
      <c r="Z214" s="170"/>
      <c r="AB214" s="453">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3">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3">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3">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3">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3">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3">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3">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3">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3">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1">
        <f ca="1">IF(OR($D214&lt;&gt;"Serviço",AND(AUTOEVENTO="Manual",$M214=$A$15)),0,
         IF(OFFSET(CRONOPLE!$F$15,$M214-$A$15,AM$13)=0,10^12,OFFSET(CRONOPLE!$F$15,$M214-$A$15,AM$13)))</f>
        <v>0</v>
      </c>
      <c r="AN214" s="171">
        <f ca="1">IF(OR($D214&lt;&gt;"Serviço",AND(AUTOEVENTO="Manual",$M214=$A$15)),0,
         IF(OFFSET(CRONOPLE!$F$15,$M214-$A$15,AN$13)=0,10^12,OFFSET(CRONOPLE!$F$15,$M214-$A$15,AN$13)))</f>
        <v>0</v>
      </c>
      <c r="AO214" s="171">
        <f ca="1">IF(OR($D214&lt;&gt;"Serviço",AND(AUTOEVENTO="Manual",$M214=$A$15)),0,
         IF(OFFSET(CRONOPLE!$F$15,$M214-$A$15,AO$13)=0,10^12,OFFSET(CRONOPLE!$F$15,$M214-$A$15,AO$13)))</f>
        <v>0</v>
      </c>
      <c r="AP214" s="171">
        <f ca="1">IF(OR($D214&lt;&gt;"Serviço",AND(AUTOEVENTO="Manual",$M214=$A$15)),0,
         IF(OFFSET(CRONOPLE!$F$15,$M214-$A$15,AP$13)=0,10^12,OFFSET(CRONOPLE!$F$15,$M214-$A$15,AP$13)))</f>
        <v>0</v>
      </c>
      <c r="AQ214" s="171">
        <f ca="1">IF(OR($D214&lt;&gt;"Serviço",AND(AUTOEVENTO="Manual",$M214=$A$15)),0,
         IF(OFFSET(CRONOPLE!$F$15,$M214-$A$15,AQ$13)=0,10^12,OFFSET(CRONOPLE!$F$15,$M214-$A$15,AQ$13)))</f>
        <v>0</v>
      </c>
      <c r="AR214" s="171">
        <f ca="1">IF(OR($D214&lt;&gt;"Serviço",AND(AUTOEVENTO="Manual",$M214=$A$15)),0,
         IF(OFFSET(CRONOPLE!$F$15,$M214-$A$15,AR$13)=0,10^12,OFFSET(CRONOPLE!$F$15,$M214-$A$15,AR$13)))</f>
        <v>0</v>
      </c>
      <c r="AS214" s="171">
        <f ca="1">IF(OR($D214&lt;&gt;"Serviço",AND(AUTOEVENTO="Manual",$M214=$A$15)),0,
         IF(OFFSET(CRONOPLE!$F$15,$M214-$A$15,AS$13)=0,10^12,OFFSET(CRONOPLE!$F$15,$M214-$A$15,AS$13)))</f>
        <v>0</v>
      </c>
      <c r="AT214" s="171">
        <f ca="1">IF(OR($D214&lt;&gt;"Serviço",AND(AUTOEVENTO="Manual",$M214=$A$15)),0,
         IF(OFFSET(CRONOPLE!$F$15,$M214-$A$15,AT$13)=0,10^12,OFFSET(CRONOPLE!$F$15,$M214-$A$15,AT$13)))</f>
        <v>0</v>
      </c>
      <c r="AU214" s="171">
        <f ca="1">IF(OR($D214&lt;&gt;"Serviço",AND(AUTOEVENTO="Manual",$M214=$A$15)),0,
         IF(OFFSET(CRONOPLE!$F$15,$M214-$A$15,AU$13)=0,10^12,OFFSET(CRONOPLE!$F$15,$M214-$A$15,AU$13)))</f>
        <v>0</v>
      </c>
      <c r="AV214" s="171">
        <f ca="1">IF(OR($D214&lt;&gt;"Serviço",AND(AUTOEVENTO="Manual",$M214=$A$15)),0,
         IF(OFFSET(CRONOPLE!$F$15,$M214-$A$15,AV$13)=0,10^12,OFFSET(CRONOPLE!$F$15,$M214-$A$15,AV$13)))</f>
        <v>0</v>
      </c>
      <c r="AX214" s="172" cm="1">
        <f t="array" aca="1" ref="AX214" ca="1">IF(OR($D214&lt;&gt;"Serviço",AND(AUTOEVENTO="Manual",$M214=$A$15),$M214&gt;(ROW(PLE.lastrow)-ROW(PLE.firstrow))),0,
           IF(OFFSET(PLE!$G$15,$M214-$A$15,AX$13)="",10^12,OFFSET(PLE!$G$15,$M214-$A$15,AX$13)))</f>
        <v>0</v>
      </c>
      <c r="AY214" s="172" cm="1">
        <f t="array" aca="1" ref="AY214" ca="1">IF(OR($D214&lt;&gt;"Serviço",AND(AUTOEVENTO="Manual",$M214=$A$15),$M214&gt;(ROW(PLE.lastrow)-ROW(PLE.firstrow))),0,
           IF(OFFSET(PLE!$G$15,$M214-$A$15,AY$13)="",10^12,OFFSET(PLE!$G$15,$M214-$A$15,AY$13)))</f>
        <v>0</v>
      </c>
      <c r="AZ214" s="172" cm="1">
        <f t="array" aca="1" ref="AZ214" ca="1">IF(OR($D214&lt;&gt;"Serviço",AND(AUTOEVENTO="Manual",$M214=$A$15),$M214&gt;(ROW(PLE.lastrow)-ROW(PLE.firstrow))),0,
           IF(OFFSET(PLE!$G$15,$M214-$A$15,AZ$13)="",10^12,OFFSET(PLE!$G$15,$M214-$A$15,AZ$13)))</f>
        <v>0</v>
      </c>
      <c r="BA214" s="172" cm="1">
        <f t="array" aca="1" ref="BA214" ca="1">IF(OR($D214&lt;&gt;"Serviço",AND(AUTOEVENTO="Manual",$M214=$A$15),$M214&gt;(ROW(PLE.lastrow)-ROW(PLE.firstrow))),0,
           IF(OFFSET(PLE!$G$15,$M214-$A$15,BA$13)="",10^12,OFFSET(PLE!$G$15,$M214-$A$15,BA$13)))</f>
        <v>0</v>
      </c>
      <c r="BB214" s="172" cm="1">
        <f t="array" aca="1" ref="BB214" ca="1">IF(OR($D214&lt;&gt;"Serviço",AND(AUTOEVENTO="Manual",$M214=$A$15),$M214&gt;(ROW(PLE.lastrow)-ROW(PLE.firstrow))),0,
           IF(OFFSET(PLE!$G$15,$M214-$A$15,BB$13)="",10^12,OFFSET(PLE!$G$15,$M214-$A$15,BB$13)))</f>
        <v>0</v>
      </c>
      <c r="BC214" s="172" cm="1">
        <f t="array" aca="1" ref="BC214" ca="1">IF(OR($D214&lt;&gt;"Serviço",AND(AUTOEVENTO="Manual",$M214=$A$15),$M214&gt;(ROW(PLE.lastrow)-ROW(PLE.firstrow))),0,
           IF(OFFSET(PLE!$G$15,$M214-$A$15,BC$13)="",10^12,OFFSET(PLE!$G$15,$M214-$A$15,BC$13)))</f>
        <v>0</v>
      </c>
      <c r="BD214" s="172" cm="1">
        <f t="array" aca="1" ref="BD214" ca="1">IF(OR($D214&lt;&gt;"Serviço",AND(AUTOEVENTO="Manual",$M214=$A$15),$M214&gt;(ROW(PLE.lastrow)-ROW(PLE.firstrow))),0,
           IF(OFFSET(PLE!$G$15,$M214-$A$15,BD$13)="",10^12,OFFSET(PLE!$G$15,$M214-$A$15,BD$13)))</f>
        <v>0</v>
      </c>
      <c r="BE214" s="172" cm="1">
        <f t="array" aca="1" ref="BE214" ca="1">IF(OR($D214&lt;&gt;"Serviço",AND(AUTOEVENTO="Manual",$M214=$A$15),$M214&gt;(ROW(PLE.lastrow)-ROW(PLE.firstrow))),0,
           IF(OFFSET(PLE!$G$15,$M214-$A$15,BE$13)="",10^12,OFFSET(PLE!$G$15,$M214-$A$15,BE$13)))</f>
        <v>0</v>
      </c>
      <c r="BF214" s="172" cm="1">
        <f t="array" aca="1" ref="BF214" ca="1">IF(OR($D214&lt;&gt;"Serviço",AND(AUTOEVENTO="Manual",$M214=$A$15),$M214&gt;(ROW(PLE.lastrow)-ROW(PLE.firstrow))),0,
           IF(OFFSET(PLE!$G$15,$M214-$A$15,BF$13)="",10^12,OFFSET(PLE!$G$15,$M214-$A$15,BF$13)))</f>
        <v>0</v>
      </c>
      <c r="BG214" s="172" cm="1">
        <f t="array" aca="1" ref="BG214" ca="1">IF(OR($D214&lt;&gt;"Serviço",AND(AUTOEVENTO="Manual",$M214=$A$15),$M214&gt;(ROW(PLE.lastrow)-ROW(PLE.firstrow))),0,
           IF(OFFSET(PLE!$G$15,$M214-$A$15,BG$13)="",10^12,OFFSET(PLE!$G$15,$M214-$A$15,BG$13)))</f>
        <v>0</v>
      </c>
    </row>
    <row r="215" spans="1:59" ht="38.25" x14ac:dyDescent="0.2">
      <c r="A215" s="7" t="str">
        <f t="shared" ca="1" si="8"/>
        <v>178</v>
      </c>
      <c r="B215" s="7" t="str">
        <f ca="1">OFFSET(ORÇAMENTO!C$15,$L215,0)</f>
        <v>S</v>
      </c>
      <c r="C215" s="7" t="str">
        <f ca="1">OFFSET(ORÇAMENTO!L$15,$L215,0)</f>
        <v>F</v>
      </c>
      <c r="D215" s="116" t="str">
        <f ca="1">OFFSET(ORÇAMENTO!N$15,$L215,0)</f>
        <v>Serviço</v>
      </c>
      <c r="E215" s="117" t="str">
        <f ca="1">OFFSET(ORÇAMENTO!O$15,$L215,0)</f>
        <v>1.10.3.4.1.</v>
      </c>
      <c r="F215" s="163" t="str">
        <f ca="1">OFFSET(ORÇAMENTO!R$15,$L215,0)</f>
        <v>REVESTIMENTO CERÂMICO PARA PISO COM PLACAS TIPO ESMALTADA DE DIMENSÕES 35X35 CM APLICADA EM AMBIENTES DE ÁREA MAIOR QUE 10 M2. AF_02/2023_PE</v>
      </c>
      <c r="G215" s="164" t="str">
        <f ca="1">IF($D215&lt;&gt;"Serviço","",OFFSET(ORÇAMENTO!S$15,$L215,0))</f>
        <v>M2</v>
      </c>
      <c r="H215" s="122" cm="1">
        <f t="array" aca="1" ref="H215" ca="1">IF($D215&lt;&gt;"Serviço",0,IF(ACOMPANHAMENTO="BM",ROUND(OFFSET(ORÇAMENTO!AJ$15,$L215,0),15-13*ORÇAMENTO!$AF$7),IF(IFERROR(CÁLCULO.FrentesPreenchidas,0)=0,0,SUM(ROUND(OFFSET($P215,0,1,1,CÁLCULO.FrentesPreenchidas),15-13*ORÇAMENTO!$AF$7)))))</f>
        <v>1160.7</v>
      </c>
      <c r="I215" s="468"/>
      <c r="J215" s="651" t="str" cm="1">
        <f t="array" aca="1" ref="J215" ca="1">IF(OR(B215&lt;&gt;"S",CÁLCULO.FrentesPreenchidas=0),"",IF(AND(ACOMPANHAMENTO="PLE",AUTOEVENTO="Manual",OR(H215&gt;0,ORÇAMENTO!AC215="QUANT."),OR(K215="",M215=0,N215="")),"►E",IF(AND(ACOMPANHAMENTO="PLE",ORÇAMENTO!AC215="QUANT."),"►Q",IF(AND(ACOMPANHAMENTO="PLE",H215&lt;&gt;SUMPRODUCT(($Q$1:$AA$1=1)*ROUND(Q215:AA215,15))),"►S",IF(AND(COUNTIF($P$11:$AA$11,"▼")=0,H215&gt;0,I215=""),"◄M","")))))</f>
        <v/>
      </c>
      <c r="K215" s="652"/>
      <c r="L215" s="165">
        <f t="shared" ca="1" si="9"/>
        <v>200</v>
      </c>
      <c r="M215" s="166">
        <f ca="1">IF($D215&lt;&gt;"Serviço","",
          IF(AUTOEVENTO="manual",$A215,
                IF(ISERROR(MATCH($A215,$A$15:OFFSET($A215,-1,0),0)),MAX($M$15:OFFSET(M215,-1,0))+1,
                      INDEX($M$15:OFFSET(M215,-1,0),MATCH($A215,$A$15:OFFSET($A215,-1,0),0)))))</f>
        <v>10</v>
      </c>
      <c r="N215" s="167" t="str">
        <f ca="1">IF($D215&lt;&gt;"Serviço","",
         IF(AUTOEVENTO="Manual",
                IF($A215=0,"&lt;-- defina o número do agrupador",
                       OFFSET(EVENTOS!$D$15,$A215-$A$15,0)),
                OFFSET($F$15,$A215,0)))</f>
        <v>REVESTIMENTOS</v>
      </c>
      <c r="O215" s="168"/>
      <c r="Q215" s="168"/>
      <c r="R215" s="169"/>
      <c r="S215" s="169"/>
      <c r="T215" s="169"/>
      <c r="U215" s="169"/>
      <c r="V215" s="169"/>
      <c r="W215" s="169"/>
      <c r="X215" s="169"/>
      <c r="Y215" s="169"/>
      <c r="Z215" s="170"/>
      <c r="AB215" s="453">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3">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3">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3">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3">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3">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3">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3">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3">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3">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1">
        <f ca="1">IF(OR($D215&lt;&gt;"Serviço",AND(AUTOEVENTO="Manual",$M215=$A$15)),0,
         IF(OFFSET(CRONOPLE!$F$15,$M215-$A$15,AM$13)=0,10^12,OFFSET(CRONOPLE!$F$15,$M215-$A$15,AM$13)))</f>
        <v>1000000000000</v>
      </c>
      <c r="AN215" s="171">
        <f ca="1">IF(OR($D215&lt;&gt;"Serviço",AND(AUTOEVENTO="Manual",$M215=$A$15)),0,
         IF(OFFSET(CRONOPLE!$F$15,$M215-$A$15,AN$13)=0,10^12,OFFSET(CRONOPLE!$F$15,$M215-$A$15,AN$13)))</f>
        <v>1000000000000</v>
      </c>
      <c r="AO215" s="171">
        <f ca="1">IF(OR($D215&lt;&gt;"Serviço",AND(AUTOEVENTO="Manual",$M215=$A$15)),0,
         IF(OFFSET(CRONOPLE!$F$15,$M215-$A$15,AO$13)=0,10^12,OFFSET(CRONOPLE!$F$15,$M215-$A$15,AO$13)))</f>
        <v>1000000000000</v>
      </c>
      <c r="AP215" s="171">
        <f ca="1">IF(OR($D215&lt;&gt;"Serviço",AND(AUTOEVENTO="Manual",$M215=$A$15)),0,
         IF(OFFSET(CRONOPLE!$F$15,$M215-$A$15,AP$13)=0,10^12,OFFSET(CRONOPLE!$F$15,$M215-$A$15,AP$13)))</f>
        <v>1000000000000</v>
      </c>
      <c r="AQ215" s="171">
        <f ca="1">IF(OR($D215&lt;&gt;"Serviço",AND(AUTOEVENTO="Manual",$M215=$A$15)),0,
         IF(OFFSET(CRONOPLE!$F$15,$M215-$A$15,AQ$13)=0,10^12,OFFSET(CRONOPLE!$F$15,$M215-$A$15,AQ$13)))</f>
        <v>1000000000000</v>
      </c>
      <c r="AR215" s="171">
        <f ca="1">IF(OR($D215&lt;&gt;"Serviço",AND(AUTOEVENTO="Manual",$M215=$A$15)),0,
         IF(OFFSET(CRONOPLE!$F$15,$M215-$A$15,AR$13)=0,10^12,OFFSET(CRONOPLE!$F$15,$M215-$A$15,AR$13)))</f>
        <v>1000000000000</v>
      </c>
      <c r="AS215" s="171">
        <f ca="1">IF(OR($D215&lt;&gt;"Serviço",AND(AUTOEVENTO="Manual",$M215=$A$15)),0,
         IF(OFFSET(CRONOPLE!$F$15,$M215-$A$15,AS$13)=0,10^12,OFFSET(CRONOPLE!$F$15,$M215-$A$15,AS$13)))</f>
        <v>1000000000000</v>
      </c>
      <c r="AT215" s="171">
        <f ca="1">IF(OR($D215&lt;&gt;"Serviço",AND(AUTOEVENTO="Manual",$M215=$A$15)),0,
         IF(OFFSET(CRONOPLE!$F$15,$M215-$A$15,AT$13)=0,10^12,OFFSET(CRONOPLE!$F$15,$M215-$A$15,AT$13)))</f>
        <v>1000000000000</v>
      </c>
      <c r="AU215" s="171">
        <f ca="1">IF(OR($D215&lt;&gt;"Serviço",AND(AUTOEVENTO="Manual",$M215=$A$15)),0,
         IF(OFFSET(CRONOPLE!$F$15,$M215-$A$15,AU$13)=0,10^12,OFFSET(CRONOPLE!$F$15,$M215-$A$15,AU$13)))</f>
        <v>1000000000000</v>
      </c>
      <c r="AV215" s="171">
        <f ca="1">IF(OR($D215&lt;&gt;"Serviço",AND(AUTOEVENTO="Manual",$M215=$A$15)),0,
         IF(OFFSET(CRONOPLE!$F$15,$M215-$A$15,AV$13)=0,10^12,OFFSET(CRONOPLE!$F$15,$M215-$A$15,AV$13)))</f>
        <v>1000000000000</v>
      </c>
      <c r="AX215" s="172" cm="1">
        <f t="array" aca="1" ref="AX215" ca="1">IF(OR($D215&lt;&gt;"Serviço",AND(AUTOEVENTO="Manual",$M215=$A$15),$M215&gt;(ROW(PLE.lastrow)-ROW(PLE.firstrow))),0,
           IF(OFFSET(PLE!$G$15,$M215-$A$15,AX$13)="",10^12,OFFSET(PLE!$G$15,$M215-$A$15,AX$13)))</f>
        <v>1000000000000</v>
      </c>
      <c r="AY215" s="172" cm="1">
        <f t="array" aca="1" ref="AY215" ca="1">IF(OR($D215&lt;&gt;"Serviço",AND(AUTOEVENTO="Manual",$M215=$A$15),$M215&gt;(ROW(PLE.lastrow)-ROW(PLE.firstrow))),0,
           IF(OFFSET(PLE!$G$15,$M215-$A$15,AY$13)="",10^12,OFFSET(PLE!$G$15,$M215-$A$15,AY$13)))</f>
        <v>1000000000000</v>
      </c>
      <c r="AZ215" s="172" cm="1">
        <f t="array" aca="1" ref="AZ215" ca="1">IF(OR($D215&lt;&gt;"Serviço",AND(AUTOEVENTO="Manual",$M215=$A$15),$M215&gt;(ROW(PLE.lastrow)-ROW(PLE.firstrow))),0,
           IF(OFFSET(PLE!$G$15,$M215-$A$15,AZ$13)="",10^12,OFFSET(PLE!$G$15,$M215-$A$15,AZ$13)))</f>
        <v>1000000000000</v>
      </c>
      <c r="BA215" s="172" cm="1">
        <f t="array" aca="1" ref="BA215" ca="1">IF(OR($D215&lt;&gt;"Serviço",AND(AUTOEVENTO="Manual",$M215=$A$15),$M215&gt;(ROW(PLE.lastrow)-ROW(PLE.firstrow))),0,
           IF(OFFSET(PLE!$G$15,$M215-$A$15,BA$13)="",10^12,OFFSET(PLE!$G$15,$M215-$A$15,BA$13)))</f>
        <v>1000000000000</v>
      </c>
      <c r="BB215" s="172" cm="1">
        <f t="array" aca="1" ref="BB215" ca="1">IF(OR($D215&lt;&gt;"Serviço",AND(AUTOEVENTO="Manual",$M215=$A$15),$M215&gt;(ROW(PLE.lastrow)-ROW(PLE.firstrow))),0,
           IF(OFFSET(PLE!$G$15,$M215-$A$15,BB$13)="",10^12,OFFSET(PLE!$G$15,$M215-$A$15,BB$13)))</f>
        <v>1000000000000</v>
      </c>
      <c r="BC215" s="172" cm="1">
        <f t="array" aca="1" ref="BC215" ca="1">IF(OR($D215&lt;&gt;"Serviço",AND(AUTOEVENTO="Manual",$M215=$A$15),$M215&gt;(ROW(PLE.lastrow)-ROW(PLE.firstrow))),0,
           IF(OFFSET(PLE!$G$15,$M215-$A$15,BC$13)="",10^12,OFFSET(PLE!$G$15,$M215-$A$15,BC$13)))</f>
        <v>1000000000000</v>
      </c>
      <c r="BD215" s="172" cm="1">
        <f t="array" aca="1" ref="BD215" ca="1">IF(OR($D215&lt;&gt;"Serviço",AND(AUTOEVENTO="Manual",$M215=$A$15),$M215&gt;(ROW(PLE.lastrow)-ROW(PLE.firstrow))),0,
           IF(OFFSET(PLE!$G$15,$M215-$A$15,BD$13)="",10^12,OFFSET(PLE!$G$15,$M215-$A$15,BD$13)))</f>
        <v>1000000000000</v>
      </c>
      <c r="BE215" s="172" cm="1">
        <f t="array" aca="1" ref="BE215" ca="1">IF(OR($D215&lt;&gt;"Serviço",AND(AUTOEVENTO="Manual",$M215=$A$15),$M215&gt;(ROW(PLE.lastrow)-ROW(PLE.firstrow))),0,
           IF(OFFSET(PLE!$G$15,$M215-$A$15,BE$13)="",10^12,OFFSET(PLE!$G$15,$M215-$A$15,BE$13)))</f>
        <v>1000000000000</v>
      </c>
      <c r="BF215" s="172" cm="1">
        <f t="array" aca="1" ref="BF215" ca="1">IF(OR($D215&lt;&gt;"Serviço",AND(AUTOEVENTO="Manual",$M215=$A$15),$M215&gt;(ROW(PLE.lastrow)-ROW(PLE.firstrow))),0,
           IF(OFFSET(PLE!$G$15,$M215-$A$15,BF$13)="",10^12,OFFSET(PLE!$G$15,$M215-$A$15,BF$13)))</f>
        <v>1000000000000</v>
      </c>
      <c r="BG215" s="172" cm="1">
        <f t="array" aca="1" ref="BG215" ca="1">IF(OR($D215&lt;&gt;"Serviço",AND(AUTOEVENTO="Manual",$M215=$A$15),$M215&gt;(ROW(PLE.lastrow)-ROW(PLE.firstrow))),0,
           IF(OFFSET(PLE!$G$15,$M215-$A$15,BG$13)="",10^12,OFFSET(PLE!$G$15,$M215-$A$15,BG$13)))</f>
        <v>1000000000000</v>
      </c>
    </row>
    <row r="216" spans="1:59" ht="12.75" x14ac:dyDescent="0.2">
      <c r="A216" s="7" t="str">
        <f t="shared" ca="1" si="8"/>
        <v>178</v>
      </c>
      <c r="B216" s="7">
        <f ca="1">OFFSET(ORÇAMENTO!C$15,$L216,0)</f>
        <v>4</v>
      </c>
      <c r="C216" s="7" t="str">
        <f ca="1">OFFSET(ORÇAMENTO!L$15,$L216,0)</f>
        <v>F</v>
      </c>
      <c r="D216" s="116" t="str">
        <f ca="1">OFFSET(ORÇAMENTO!N$15,$L216,0)</f>
        <v>Nível 4</v>
      </c>
      <c r="E216" s="117" t="str">
        <f ca="1">OFFSET(ORÇAMENTO!O$15,$L216,0)</f>
        <v>1.10.3.5.</v>
      </c>
      <c r="F216" s="163" t="str">
        <f ca="1">OFFSET(ORÇAMENTO!R$15,$L216,0)</f>
        <v>PAREDES - CERÂMICOS</v>
      </c>
      <c r="G216" s="164" t="str">
        <f ca="1">IF($D216&lt;&gt;"Serviço","",OFFSET(ORÇAMENTO!S$15,$L216,0))</f>
        <v/>
      </c>
      <c r="H216" s="122" cm="1">
        <f t="array" aca="1" ref="H216" ca="1">IF($D216&lt;&gt;"Serviço",0,IF(ACOMPANHAMENTO="BM",ROUND(OFFSET(ORÇAMENTO!AJ$15,$L216,0),15-13*ORÇAMENTO!$AF$7),IF(IFERROR(CÁLCULO.FrentesPreenchidas,0)=0,0,SUM(ROUND(OFFSET($P216,0,1,1,CÁLCULO.FrentesPreenchidas),15-13*ORÇAMENTO!$AF$7)))))</f>
        <v>0</v>
      </c>
      <c r="I216" s="468"/>
      <c r="J216" s="651" t="str" cm="1">
        <f t="array" aca="1" ref="J216" ca="1">IF(OR(B216&lt;&gt;"S",CÁLCULO.FrentesPreenchidas=0),"",IF(AND(ACOMPANHAMENTO="PLE",AUTOEVENTO="Manual",OR(H216&gt;0,ORÇAMENTO!AC216="QUANT."),OR(K216="",M216=0,N216="")),"►E",IF(AND(ACOMPANHAMENTO="PLE",ORÇAMENTO!AC216="QUANT."),"►Q",IF(AND(ACOMPANHAMENTO="PLE",H216&lt;&gt;SUMPRODUCT(($Q$1:$AA$1=1)*ROUND(Q216:AA216,15))),"►S",IF(AND(COUNTIF($P$11:$AA$11,"▼")=0,H216&gt;0,I216=""),"◄M","")))))</f>
        <v/>
      </c>
      <c r="K216" s="652"/>
      <c r="L216" s="165">
        <f t="shared" ca="1" si="9"/>
        <v>201</v>
      </c>
      <c r="M216" s="166" t="str">
        <f ca="1">IF($D216&lt;&gt;"Serviço","",
          IF(AUTOEVENTO="manual",$A216,
                IF(ISERROR(MATCH($A216,$A$15:OFFSET($A216,-1,0),0)),MAX($M$15:OFFSET(M216,-1,0))+1,
                      INDEX($M$15:OFFSET(M216,-1,0),MATCH($A216,$A$15:OFFSET($A216,-1,0),0)))))</f>
        <v/>
      </c>
      <c r="N216" s="167" t="str">
        <f ca="1">IF($D216&lt;&gt;"Serviço","",
         IF(AUTOEVENTO="Manual",
                IF($A216=0,"&lt;-- defina o número do agrupador",
                       OFFSET(EVENTOS!$D$15,$A216-$A$15,0)),
                OFFSET($F$15,$A216,0)))</f>
        <v/>
      </c>
      <c r="O216" s="168"/>
      <c r="Q216" s="168"/>
      <c r="R216" s="169"/>
      <c r="S216" s="169"/>
      <c r="T216" s="169"/>
      <c r="U216" s="169"/>
      <c r="V216" s="169"/>
      <c r="W216" s="169"/>
      <c r="X216" s="169"/>
      <c r="Y216" s="169"/>
      <c r="Z216" s="170"/>
      <c r="AB216" s="453">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3">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3">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3">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3">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3">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3">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3">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3">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3">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1">
        <f ca="1">IF(OR($D216&lt;&gt;"Serviço",AND(AUTOEVENTO="Manual",$M216=$A$15)),0,
         IF(OFFSET(CRONOPLE!$F$15,$M216-$A$15,AM$13)=0,10^12,OFFSET(CRONOPLE!$F$15,$M216-$A$15,AM$13)))</f>
        <v>0</v>
      </c>
      <c r="AN216" s="171">
        <f ca="1">IF(OR($D216&lt;&gt;"Serviço",AND(AUTOEVENTO="Manual",$M216=$A$15)),0,
         IF(OFFSET(CRONOPLE!$F$15,$M216-$A$15,AN$13)=0,10^12,OFFSET(CRONOPLE!$F$15,$M216-$A$15,AN$13)))</f>
        <v>0</v>
      </c>
      <c r="AO216" s="171">
        <f ca="1">IF(OR($D216&lt;&gt;"Serviço",AND(AUTOEVENTO="Manual",$M216=$A$15)),0,
         IF(OFFSET(CRONOPLE!$F$15,$M216-$A$15,AO$13)=0,10^12,OFFSET(CRONOPLE!$F$15,$M216-$A$15,AO$13)))</f>
        <v>0</v>
      </c>
      <c r="AP216" s="171">
        <f ca="1">IF(OR($D216&lt;&gt;"Serviço",AND(AUTOEVENTO="Manual",$M216=$A$15)),0,
         IF(OFFSET(CRONOPLE!$F$15,$M216-$A$15,AP$13)=0,10^12,OFFSET(CRONOPLE!$F$15,$M216-$A$15,AP$13)))</f>
        <v>0</v>
      </c>
      <c r="AQ216" s="171">
        <f ca="1">IF(OR($D216&lt;&gt;"Serviço",AND(AUTOEVENTO="Manual",$M216=$A$15)),0,
         IF(OFFSET(CRONOPLE!$F$15,$M216-$A$15,AQ$13)=0,10^12,OFFSET(CRONOPLE!$F$15,$M216-$A$15,AQ$13)))</f>
        <v>0</v>
      </c>
      <c r="AR216" s="171">
        <f ca="1">IF(OR($D216&lt;&gt;"Serviço",AND(AUTOEVENTO="Manual",$M216=$A$15)),0,
         IF(OFFSET(CRONOPLE!$F$15,$M216-$A$15,AR$13)=0,10^12,OFFSET(CRONOPLE!$F$15,$M216-$A$15,AR$13)))</f>
        <v>0</v>
      </c>
      <c r="AS216" s="171">
        <f ca="1">IF(OR($D216&lt;&gt;"Serviço",AND(AUTOEVENTO="Manual",$M216=$A$15)),0,
         IF(OFFSET(CRONOPLE!$F$15,$M216-$A$15,AS$13)=0,10^12,OFFSET(CRONOPLE!$F$15,$M216-$A$15,AS$13)))</f>
        <v>0</v>
      </c>
      <c r="AT216" s="171">
        <f ca="1">IF(OR($D216&lt;&gt;"Serviço",AND(AUTOEVENTO="Manual",$M216=$A$15)),0,
         IF(OFFSET(CRONOPLE!$F$15,$M216-$A$15,AT$13)=0,10^12,OFFSET(CRONOPLE!$F$15,$M216-$A$15,AT$13)))</f>
        <v>0</v>
      </c>
      <c r="AU216" s="171">
        <f ca="1">IF(OR($D216&lt;&gt;"Serviço",AND(AUTOEVENTO="Manual",$M216=$A$15)),0,
         IF(OFFSET(CRONOPLE!$F$15,$M216-$A$15,AU$13)=0,10^12,OFFSET(CRONOPLE!$F$15,$M216-$A$15,AU$13)))</f>
        <v>0</v>
      </c>
      <c r="AV216" s="171">
        <f ca="1">IF(OR($D216&lt;&gt;"Serviço",AND(AUTOEVENTO="Manual",$M216=$A$15)),0,
         IF(OFFSET(CRONOPLE!$F$15,$M216-$A$15,AV$13)=0,10^12,OFFSET(CRONOPLE!$F$15,$M216-$A$15,AV$13)))</f>
        <v>0</v>
      </c>
      <c r="AX216" s="172" cm="1">
        <f t="array" aca="1" ref="AX216" ca="1">IF(OR($D216&lt;&gt;"Serviço",AND(AUTOEVENTO="Manual",$M216=$A$15),$M216&gt;(ROW(PLE.lastrow)-ROW(PLE.firstrow))),0,
           IF(OFFSET(PLE!$G$15,$M216-$A$15,AX$13)="",10^12,OFFSET(PLE!$G$15,$M216-$A$15,AX$13)))</f>
        <v>0</v>
      </c>
      <c r="AY216" s="172" cm="1">
        <f t="array" aca="1" ref="AY216" ca="1">IF(OR($D216&lt;&gt;"Serviço",AND(AUTOEVENTO="Manual",$M216=$A$15),$M216&gt;(ROW(PLE.lastrow)-ROW(PLE.firstrow))),0,
           IF(OFFSET(PLE!$G$15,$M216-$A$15,AY$13)="",10^12,OFFSET(PLE!$G$15,$M216-$A$15,AY$13)))</f>
        <v>0</v>
      </c>
      <c r="AZ216" s="172" cm="1">
        <f t="array" aca="1" ref="AZ216" ca="1">IF(OR($D216&lt;&gt;"Serviço",AND(AUTOEVENTO="Manual",$M216=$A$15),$M216&gt;(ROW(PLE.lastrow)-ROW(PLE.firstrow))),0,
           IF(OFFSET(PLE!$G$15,$M216-$A$15,AZ$13)="",10^12,OFFSET(PLE!$G$15,$M216-$A$15,AZ$13)))</f>
        <v>0</v>
      </c>
      <c r="BA216" s="172" cm="1">
        <f t="array" aca="1" ref="BA216" ca="1">IF(OR($D216&lt;&gt;"Serviço",AND(AUTOEVENTO="Manual",$M216=$A$15),$M216&gt;(ROW(PLE.lastrow)-ROW(PLE.firstrow))),0,
           IF(OFFSET(PLE!$G$15,$M216-$A$15,BA$13)="",10^12,OFFSET(PLE!$G$15,$M216-$A$15,BA$13)))</f>
        <v>0</v>
      </c>
      <c r="BB216" s="172" cm="1">
        <f t="array" aca="1" ref="BB216" ca="1">IF(OR($D216&lt;&gt;"Serviço",AND(AUTOEVENTO="Manual",$M216=$A$15),$M216&gt;(ROW(PLE.lastrow)-ROW(PLE.firstrow))),0,
           IF(OFFSET(PLE!$G$15,$M216-$A$15,BB$13)="",10^12,OFFSET(PLE!$G$15,$M216-$A$15,BB$13)))</f>
        <v>0</v>
      </c>
      <c r="BC216" s="172" cm="1">
        <f t="array" aca="1" ref="BC216" ca="1">IF(OR($D216&lt;&gt;"Serviço",AND(AUTOEVENTO="Manual",$M216=$A$15),$M216&gt;(ROW(PLE.lastrow)-ROW(PLE.firstrow))),0,
           IF(OFFSET(PLE!$G$15,$M216-$A$15,BC$13)="",10^12,OFFSET(PLE!$G$15,$M216-$A$15,BC$13)))</f>
        <v>0</v>
      </c>
      <c r="BD216" s="172" cm="1">
        <f t="array" aca="1" ref="BD216" ca="1">IF(OR($D216&lt;&gt;"Serviço",AND(AUTOEVENTO="Manual",$M216=$A$15),$M216&gt;(ROW(PLE.lastrow)-ROW(PLE.firstrow))),0,
           IF(OFFSET(PLE!$G$15,$M216-$A$15,BD$13)="",10^12,OFFSET(PLE!$G$15,$M216-$A$15,BD$13)))</f>
        <v>0</v>
      </c>
      <c r="BE216" s="172" cm="1">
        <f t="array" aca="1" ref="BE216" ca="1">IF(OR($D216&lt;&gt;"Serviço",AND(AUTOEVENTO="Manual",$M216=$A$15),$M216&gt;(ROW(PLE.lastrow)-ROW(PLE.firstrow))),0,
           IF(OFFSET(PLE!$G$15,$M216-$A$15,BE$13)="",10^12,OFFSET(PLE!$G$15,$M216-$A$15,BE$13)))</f>
        <v>0</v>
      </c>
      <c r="BF216" s="172" cm="1">
        <f t="array" aca="1" ref="BF216" ca="1">IF(OR($D216&lt;&gt;"Serviço",AND(AUTOEVENTO="Manual",$M216=$A$15),$M216&gt;(ROW(PLE.lastrow)-ROW(PLE.firstrow))),0,
           IF(OFFSET(PLE!$G$15,$M216-$A$15,BF$13)="",10^12,OFFSET(PLE!$G$15,$M216-$A$15,BF$13)))</f>
        <v>0</v>
      </c>
      <c r="BG216" s="172" cm="1">
        <f t="array" aca="1" ref="BG216" ca="1">IF(OR($D216&lt;&gt;"Serviço",AND(AUTOEVENTO="Manual",$M216=$A$15),$M216&gt;(ROW(PLE.lastrow)-ROW(PLE.firstrow))),0,
           IF(OFFSET(PLE!$G$15,$M216-$A$15,BG$13)="",10^12,OFFSET(PLE!$G$15,$M216-$A$15,BG$13)))</f>
        <v>0</v>
      </c>
    </row>
    <row r="217" spans="1:59" ht="38.25" x14ac:dyDescent="0.2">
      <c r="A217" s="7" t="str">
        <f t="shared" ca="1" si="8"/>
        <v>178</v>
      </c>
      <c r="B217" s="7" t="str">
        <f ca="1">OFFSET(ORÇAMENTO!C$15,$L217,0)</f>
        <v>S</v>
      </c>
      <c r="C217" s="7" t="str">
        <f ca="1">OFFSET(ORÇAMENTO!L$15,$L217,0)</f>
        <v>F</v>
      </c>
      <c r="D217" s="116" t="str">
        <f ca="1">OFFSET(ORÇAMENTO!N$15,$L217,0)</f>
        <v>Serviço</v>
      </c>
      <c r="E217" s="117" t="str">
        <f ca="1">OFFSET(ORÇAMENTO!O$15,$L217,0)</f>
        <v>1.10.3.5.1.</v>
      </c>
      <c r="F217" s="163" t="str">
        <f ca="1">OFFSET(ORÇAMENTO!R$15,$L217,0)</f>
        <v>REVESTIMENTO CERÂMICO PARA PAREDES INTERNAS COM PLACAS TIPO ESMALTADA DE DIMENSÕES 20X20 CM APLICADAS NA ALTURA INTEIRA DAS PAREDES. AF_02/2023_PE</v>
      </c>
      <c r="G217" s="164" t="str">
        <f ca="1">IF($D217&lt;&gt;"Serviço","",OFFSET(ORÇAMENTO!S$15,$L217,0))</f>
        <v>M2</v>
      </c>
      <c r="H217" s="122" cm="1">
        <f t="array" aca="1" ref="H217" ca="1">IF($D217&lt;&gt;"Serviço",0,IF(ACOMPANHAMENTO="BM",ROUND(OFFSET(ORÇAMENTO!AJ$15,$L217,0),15-13*ORÇAMENTO!$AF$7),IF(IFERROR(CÁLCULO.FrentesPreenchidas,0)=0,0,SUM(ROUND(OFFSET($P217,0,1,1,CÁLCULO.FrentesPreenchidas),15-13*ORÇAMENTO!$AF$7)))))</f>
        <v>751.5</v>
      </c>
      <c r="I217" s="468"/>
      <c r="J217" s="651" t="str" cm="1">
        <f t="array" aca="1" ref="J217" ca="1">IF(OR(B217&lt;&gt;"S",CÁLCULO.FrentesPreenchidas=0),"",IF(AND(ACOMPANHAMENTO="PLE",AUTOEVENTO="Manual",OR(H217&gt;0,ORÇAMENTO!AC217="QUANT."),OR(K217="",M217=0,N217="")),"►E",IF(AND(ACOMPANHAMENTO="PLE",ORÇAMENTO!AC217="QUANT."),"►Q",IF(AND(ACOMPANHAMENTO="PLE",H217&lt;&gt;SUMPRODUCT(($Q$1:$AA$1=1)*ROUND(Q217:AA217,15))),"►S",IF(AND(COUNTIF($P$11:$AA$11,"▼")=0,H217&gt;0,I217=""),"◄M","")))))</f>
        <v/>
      </c>
      <c r="K217" s="652"/>
      <c r="L217" s="165">
        <f t="shared" ca="1" si="9"/>
        <v>202</v>
      </c>
      <c r="M217" s="166">
        <f ca="1">IF($D217&lt;&gt;"Serviço","",
          IF(AUTOEVENTO="manual",$A217,
                IF(ISERROR(MATCH($A217,$A$15:OFFSET($A217,-1,0),0)),MAX($M$15:OFFSET(M217,-1,0))+1,
                      INDEX($M$15:OFFSET(M217,-1,0),MATCH($A217,$A$15:OFFSET($A217,-1,0),0)))))</f>
        <v>10</v>
      </c>
      <c r="N217" s="167" t="str">
        <f ca="1">IF($D217&lt;&gt;"Serviço","",
         IF(AUTOEVENTO="Manual",
                IF($A217=0,"&lt;-- defina o número do agrupador",
                       OFFSET(EVENTOS!$D$15,$A217-$A$15,0)),
                OFFSET($F$15,$A217,0)))</f>
        <v>REVESTIMENTOS</v>
      </c>
      <c r="O217" s="168"/>
      <c r="Q217" s="168"/>
      <c r="R217" s="169"/>
      <c r="S217" s="169"/>
      <c r="T217" s="169"/>
      <c r="U217" s="169"/>
      <c r="V217" s="169"/>
      <c r="W217" s="169"/>
      <c r="X217" s="169"/>
      <c r="Y217" s="169"/>
      <c r="Z217" s="170"/>
      <c r="AB217" s="453">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3">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3">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3">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3">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3">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3">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3">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3">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3">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1">
        <f ca="1">IF(OR($D217&lt;&gt;"Serviço",AND(AUTOEVENTO="Manual",$M217=$A$15)),0,
         IF(OFFSET(CRONOPLE!$F$15,$M217-$A$15,AM$13)=0,10^12,OFFSET(CRONOPLE!$F$15,$M217-$A$15,AM$13)))</f>
        <v>1000000000000</v>
      </c>
      <c r="AN217" s="171">
        <f ca="1">IF(OR($D217&lt;&gt;"Serviço",AND(AUTOEVENTO="Manual",$M217=$A$15)),0,
         IF(OFFSET(CRONOPLE!$F$15,$M217-$A$15,AN$13)=0,10^12,OFFSET(CRONOPLE!$F$15,$M217-$A$15,AN$13)))</f>
        <v>1000000000000</v>
      </c>
      <c r="AO217" s="171">
        <f ca="1">IF(OR($D217&lt;&gt;"Serviço",AND(AUTOEVENTO="Manual",$M217=$A$15)),0,
         IF(OFFSET(CRONOPLE!$F$15,$M217-$A$15,AO$13)=0,10^12,OFFSET(CRONOPLE!$F$15,$M217-$A$15,AO$13)))</f>
        <v>1000000000000</v>
      </c>
      <c r="AP217" s="171">
        <f ca="1">IF(OR($D217&lt;&gt;"Serviço",AND(AUTOEVENTO="Manual",$M217=$A$15)),0,
         IF(OFFSET(CRONOPLE!$F$15,$M217-$A$15,AP$13)=0,10^12,OFFSET(CRONOPLE!$F$15,$M217-$A$15,AP$13)))</f>
        <v>1000000000000</v>
      </c>
      <c r="AQ217" s="171">
        <f ca="1">IF(OR($D217&lt;&gt;"Serviço",AND(AUTOEVENTO="Manual",$M217=$A$15)),0,
         IF(OFFSET(CRONOPLE!$F$15,$M217-$A$15,AQ$13)=0,10^12,OFFSET(CRONOPLE!$F$15,$M217-$A$15,AQ$13)))</f>
        <v>1000000000000</v>
      </c>
      <c r="AR217" s="171">
        <f ca="1">IF(OR($D217&lt;&gt;"Serviço",AND(AUTOEVENTO="Manual",$M217=$A$15)),0,
         IF(OFFSET(CRONOPLE!$F$15,$M217-$A$15,AR$13)=0,10^12,OFFSET(CRONOPLE!$F$15,$M217-$A$15,AR$13)))</f>
        <v>1000000000000</v>
      </c>
      <c r="AS217" s="171">
        <f ca="1">IF(OR($D217&lt;&gt;"Serviço",AND(AUTOEVENTO="Manual",$M217=$A$15)),0,
         IF(OFFSET(CRONOPLE!$F$15,$M217-$A$15,AS$13)=0,10^12,OFFSET(CRONOPLE!$F$15,$M217-$A$15,AS$13)))</f>
        <v>1000000000000</v>
      </c>
      <c r="AT217" s="171">
        <f ca="1">IF(OR($D217&lt;&gt;"Serviço",AND(AUTOEVENTO="Manual",$M217=$A$15)),0,
         IF(OFFSET(CRONOPLE!$F$15,$M217-$A$15,AT$13)=0,10^12,OFFSET(CRONOPLE!$F$15,$M217-$A$15,AT$13)))</f>
        <v>1000000000000</v>
      </c>
      <c r="AU217" s="171">
        <f ca="1">IF(OR($D217&lt;&gt;"Serviço",AND(AUTOEVENTO="Manual",$M217=$A$15)),0,
         IF(OFFSET(CRONOPLE!$F$15,$M217-$A$15,AU$13)=0,10^12,OFFSET(CRONOPLE!$F$15,$M217-$A$15,AU$13)))</f>
        <v>1000000000000</v>
      </c>
      <c r="AV217" s="171">
        <f ca="1">IF(OR($D217&lt;&gt;"Serviço",AND(AUTOEVENTO="Manual",$M217=$A$15)),0,
         IF(OFFSET(CRONOPLE!$F$15,$M217-$A$15,AV$13)=0,10^12,OFFSET(CRONOPLE!$F$15,$M217-$A$15,AV$13)))</f>
        <v>1000000000000</v>
      </c>
      <c r="AX217" s="172" cm="1">
        <f t="array" aca="1" ref="AX217" ca="1">IF(OR($D217&lt;&gt;"Serviço",AND(AUTOEVENTO="Manual",$M217=$A$15),$M217&gt;(ROW(PLE.lastrow)-ROW(PLE.firstrow))),0,
           IF(OFFSET(PLE!$G$15,$M217-$A$15,AX$13)="",10^12,OFFSET(PLE!$G$15,$M217-$A$15,AX$13)))</f>
        <v>1000000000000</v>
      </c>
      <c r="AY217" s="172" cm="1">
        <f t="array" aca="1" ref="AY217" ca="1">IF(OR($D217&lt;&gt;"Serviço",AND(AUTOEVENTO="Manual",$M217=$A$15),$M217&gt;(ROW(PLE.lastrow)-ROW(PLE.firstrow))),0,
           IF(OFFSET(PLE!$G$15,$M217-$A$15,AY$13)="",10^12,OFFSET(PLE!$G$15,$M217-$A$15,AY$13)))</f>
        <v>1000000000000</v>
      </c>
      <c r="AZ217" s="172" cm="1">
        <f t="array" aca="1" ref="AZ217" ca="1">IF(OR($D217&lt;&gt;"Serviço",AND(AUTOEVENTO="Manual",$M217=$A$15),$M217&gt;(ROW(PLE.lastrow)-ROW(PLE.firstrow))),0,
           IF(OFFSET(PLE!$G$15,$M217-$A$15,AZ$13)="",10^12,OFFSET(PLE!$G$15,$M217-$A$15,AZ$13)))</f>
        <v>1000000000000</v>
      </c>
      <c r="BA217" s="172" cm="1">
        <f t="array" aca="1" ref="BA217" ca="1">IF(OR($D217&lt;&gt;"Serviço",AND(AUTOEVENTO="Manual",$M217=$A$15),$M217&gt;(ROW(PLE.lastrow)-ROW(PLE.firstrow))),0,
           IF(OFFSET(PLE!$G$15,$M217-$A$15,BA$13)="",10^12,OFFSET(PLE!$G$15,$M217-$A$15,BA$13)))</f>
        <v>1000000000000</v>
      </c>
      <c r="BB217" s="172" cm="1">
        <f t="array" aca="1" ref="BB217" ca="1">IF(OR($D217&lt;&gt;"Serviço",AND(AUTOEVENTO="Manual",$M217=$A$15),$M217&gt;(ROW(PLE.lastrow)-ROW(PLE.firstrow))),0,
           IF(OFFSET(PLE!$G$15,$M217-$A$15,BB$13)="",10^12,OFFSET(PLE!$G$15,$M217-$A$15,BB$13)))</f>
        <v>1000000000000</v>
      </c>
      <c r="BC217" s="172" cm="1">
        <f t="array" aca="1" ref="BC217" ca="1">IF(OR($D217&lt;&gt;"Serviço",AND(AUTOEVENTO="Manual",$M217=$A$15),$M217&gt;(ROW(PLE.lastrow)-ROW(PLE.firstrow))),0,
           IF(OFFSET(PLE!$G$15,$M217-$A$15,BC$13)="",10^12,OFFSET(PLE!$G$15,$M217-$A$15,BC$13)))</f>
        <v>1000000000000</v>
      </c>
      <c r="BD217" s="172" cm="1">
        <f t="array" aca="1" ref="BD217" ca="1">IF(OR($D217&lt;&gt;"Serviço",AND(AUTOEVENTO="Manual",$M217=$A$15),$M217&gt;(ROW(PLE.lastrow)-ROW(PLE.firstrow))),0,
           IF(OFFSET(PLE!$G$15,$M217-$A$15,BD$13)="",10^12,OFFSET(PLE!$G$15,$M217-$A$15,BD$13)))</f>
        <v>1000000000000</v>
      </c>
      <c r="BE217" s="172" cm="1">
        <f t="array" aca="1" ref="BE217" ca="1">IF(OR($D217&lt;&gt;"Serviço",AND(AUTOEVENTO="Manual",$M217=$A$15),$M217&gt;(ROW(PLE.lastrow)-ROW(PLE.firstrow))),0,
           IF(OFFSET(PLE!$G$15,$M217-$A$15,BE$13)="",10^12,OFFSET(PLE!$G$15,$M217-$A$15,BE$13)))</f>
        <v>1000000000000</v>
      </c>
      <c r="BF217" s="172" cm="1">
        <f t="array" aca="1" ref="BF217" ca="1">IF(OR($D217&lt;&gt;"Serviço",AND(AUTOEVENTO="Manual",$M217=$A$15),$M217&gt;(ROW(PLE.lastrow)-ROW(PLE.firstrow))),0,
           IF(OFFSET(PLE!$G$15,$M217-$A$15,BF$13)="",10^12,OFFSET(PLE!$G$15,$M217-$A$15,BF$13)))</f>
        <v>1000000000000</v>
      </c>
      <c r="BG217" s="172" cm="1">
        <f t="array" aca="1" ref="BG217" ca="1">IF(OR($D217&lt;&gt;"Serviço",AND(AUTOEVENTO="Manual",$M217=$A$15),$M217&gt;(ROW(PLE.lastrow)-ROW(PLE.firstrow))),0,
           IF(OFFSET(PLE!$G$15,$M217-$A$15,BG$13)="",10^12,OFFSET(PLE!$G$15,$M217-$A$15,BG$13)))</f>
        <v>1000000000000</v>
      </c>
    </row>
    <row r="218" spans="1:59" ht="25.5" x14ac:dyDescent="0.2">
      <c r="A218" s="7" t="str">
        <f t="shared" ca="1" si="8"/>
        <v>178</v>
      </c>
      <c r="B218" s="7" t="str">
        <f ca="1">OFFSET(ORÇAMENTO!C$15,$L218,0)</f>
        <v>S</v>
      </c>
      <c r="C218" s="7" t="str">
        <f ca="1">OFFSET(ORÇAMENTO!L$15,$L218,0)</f>
        <v>F</v>
      </c>
      <c r="D218" s="116" t="str">
        <f ca="1">OFFSET(ORÇAMENTO!N$15,$L218,0)</f>
        <v>Serviço</v>
      </c>
      <c r="E218" s="117" t="str">
        <f ca="1">OFFSET(ORÇAMENTO!O$15,$L218,0)</f>
        <v>1.10.3.5.2.</v>
      </c>
      <c r="F218" s="163" t="str">
        <f ca="1">OFFSET(ORÇAMENTO!R$15,$L218,0)</f>
        <v>RODAPÉ CERÂMICO DE 7CM DE ALTURA COM PLACAS TIPO ESMALTADA DE DIMENSÕES 35X35CM. AF_02/2023</v>
      </c>
      <c r="G218" s="164" t="str">
        <f ca="1">IF($D218&lt;&gt;"Serviço","",OFFSET(ORÇAMENTO!S$15,$L218,0))</f>
        <v>M</v>
      </c>
      <c r="H218" s="122" cm="1">
        <f t="array" aca="1" ref="H218" ca="1">IF($D218&lt;&gt;"Serviço",0,IF(ACOMPANHAMENTO="BM",ROUND(OFFSET(ORÇAMENTO!AJ$15,$L218,0),15-13*ORÇAMENTO!$AF$7),IF(IFERROR(CÁLCULO.FrentesPreenchidas,0)=0,0,SUM(ROUND(OFFSET($P218,0,1,1,CÁLCULO.FrentesPreenchidas),15-13*ORÇAMENTO!$AF$7)))))</f>
        <v>1423.5</v>
      </c>
      <c r="I218" s="468"/>
      <c r="J218" s="651" t="str" cm="1">
        <f t="array" aca="1" ref="J218" ca="1">IF(OR(B218&lt;&gt;"S",CÁLCULO.FrentesPreenchidas=0),"",IF(AND(ACOMPANHAMENTO="PLE",AUTOEVENTO="Manual",OR(H218&gt;0,ORÇAMENTO!AC218="QUANT."),OR(K218="",M218=0,N218="")),"►E",IF(AND(ACOMPANHAMENTO="PLE",ORÇAMENTO!AC218="QUANT."),"►Q",IF(AND(ACOMPANHAMENTO="PLE",H218&lt;&gt;SUMPRODUCT(($Q$1:$AA$1=1)*ROUND(Q218:AA218,15))),"►S",IF(AND(COUNTIF($P$11:$AA$11,"▼")=0,H218&gt;0,I218=""),"◄M","")))))</f>
        <v/>
      </c>
      <c r="K218" s="652"/>
      <c r="L218" s="165">
        <f t="shared" ca="1" si="9"/>
        <v>203</v>
      </c>
      <c r="M218" s="166">
        <f ca="1">IF($D218&lt;&gt;"Serviço","",
          IF(AUTOEVENTO="manual",$A218,
                IF(ISERROR(MATCH($A218,$A$15:OFFSET($A218,-1,0),0)),MAX($M$15:OFFSET(M218,-1,0))+1,
                      INDEX($M$15:OFFSET(M218,-1,0),MATCH($A218,$A$15:OFFSET($A218,-1,0),0)))))</f>
        <v>10</v>
      </c>
      <c r="N218" s="167" t="str">
        <f ca="1">IF($D218&lt;&gt;"Serviço","",
         IF(AUTOEVENTO="Manual",
                IF($A218=0,"&lt;-- defina o número do agrupador",
                       OFFSET(EVENTOS!$D$15,$A218-$A$15,0)),
                OFFSET($F$15,$A218,0)))</f>
        <v>REVESTIMENTOS</v>
      </c>
      <c r="O218" s="168"/>
      <c r="Q218" s="168"/>
      <c r="R218" s="169"/>
      <c r="S218" s="169"/>
      <c r="T218" s="169"/>
      <c r="U218" s="169"/>
      <c r="V218" s="169"/>
      <c r="W218" s="169"/>
      <c r="X218" s="169"/>
      <c r="Y218" s="169"/>
      <c r="Z218" s="170"/>
      <c r="AB218" s="453">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3">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3">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3">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3">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3">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3">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3">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3">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3">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1">
        <f ca="1">IF(OR($D218&lt;&gt;"Serviço",AND(AUTOEVENTO="Manual",$M218=$A$15)),0,
         IF(OFFSET(CRONOPLE!$F$15,$M218-$A$15,AM$13)=0,10^12,OFFSET(CRONOPLE!$F$15,$M218-$A$15,AM$13)))</f>
        <v>1000000000000</v>
      </c>
      <c r="AN218" s="171">
        <f ca="1">IF(OR($D218&lt;&gt;"Serviço",AND(AUTOEVENTO="Manual",$M218=$A$15)),0,
         IF(OFFSET(CRONOPLE!$F$15,$M218-$A$15,AN$13)=0,10^12,OFFSET(CRONOPLE!$F$15,$M218-$A$15,AN$13)))</f>
        <v>1000000000000</v>
      </c>
      <c r="AO218" s="171">
        <f ca="1">IF(OR($D218&lt;&gt;"Serviço",AND(AUTOEVENTO="Manual",$M218=$A$15)),0,
         IF(OFFSET(CRONOPLE!$F$15,$M218-$A$15,AO$13)=0,10^12,OFFSET(CRONOPLE!$F$15,$M218-$A$15,AO$13)))</f>
        <v>1000000000000</v>
      </c>
      <c r="AP218" s="171">
        <f ca="1">IF(OR($D218&lt;&gt;"Serviço",AND(AUTOEVENTO="Manual",$M218=$A$15)),0,
         IF(OFFSET(CRONOPLE!$F$15,$M218-$A$15,AP$13)=0,10^12,OFFSET(CRONOPLE!$F$15,$M218-$A$15,AP$13)))</f>
        <v>1000000000000</v>
      </c>
      <c r="AQ218" s="171">
        <f ca="1">IF(OR($D218&lt;&gt;"Serviço",AND(AUTOEVENTO="Manual",$M218=$A$15)),0,
         IF(OFFSET(CRONOPLE!$F$15,$M218-$A$15,AQ$13)=0,10^12,OFFSET(CRONOPLE!$F$15,$M218-$A$15,AQ$13)))</f>
        <v>1000000000000</v>
      </c>
      <c r="AR218" s="171">
        <f ca="1">IF(OR($D218&lt;&gt;"Serviço",AND(AUTOEVENTO="Manual",$M218=$A$15)),0,
         IF(OFFSET(CRONOPLE!$F$15,$M218-$A$15,AR$13)=0,10^12,OFFSET(CRONOPLE!$F$15,$M218-$A$15,AR$13)))</f>
        <v>1000000000000</v>
      </c>
      <c r="AS218" s="171">
        <f ca="1">IF(OR($D218&lt;&gt;"Serviço",AND(AUTOEVENTO="Manual",$M218=$A$15)),0,
         IF(OFFSET(CRONOPLE!$F$15,$M218-$A$15,AS$13)=0,10^12,OFFSET(CRONOPLE!$F$15,$M218-$A$15,AS$13)))</f>
        <v>1000000000000</v>
      </c>
      <c r="AT218" s="171">
        <f ca="1">IF(OR($D218&lt;&gt;"Serviço",AND(AUTOEVENTO="Manual",$M218=$A$15)),0,
         IF(OFFSET(CRONOPLE!$F$15,$M218-$A$15,AT$13)=0,10^12,OFFSET(CRONOPLE!$F$15,$M218-$A$15,AT$13)))</f>
        <v>1000000000000</v>
      </c>
      <c r="AU218" s="171">
        <f ca="1">IF(OR($D218&lt;&gt;"Serviço",AND(AUTOEVENTO="Manual",$M218=$A$15)),0,
         IF(OFFSET(CRONOPLE!$F$15,$M218-$A$15,AU$13)=0,10^12,OFFSET(CRONOPLE!$F$15,$M218-$A$15,AU$13)))</f>
        <v>1000000000000</v>
      </c>
      <c r="AV218" s="171">
        <f ca="1">IF(OR($D218&lt;&gt;"Serviço",AND(AUTOEVENTO="Manual",$M218=$A$15)),0,
         IF(OFFSET(CRONOPLE!$F$15,$M218-$A$15,AV$13)=0,10^12,OFFSET(CRONOPLE!$F$15,$M218-$A$15,AV$13)))</f>
        <v>1000000000000</v>
      </c>
      <c r="AX218" s="172" cm="1">
        <f t="array" aca="1" ref="AX218" ca="1">IF(OR($D218&lt;&gt;"Serviço",AND(AUTOEVENTO="Manual",$M218=$A$15),$M218&gt;(ROW(PLE.lastrow)-ROW(PLE.firstrow))),0,
           IF(OFFSET(PLE!$G$15,$M218-$A$15,AX$13)="",10^12,OFFSET(PLE!$G$15,$M218-$A$15,AX$13)))</f>
        <v>1000000000000</v>
      </c>
      <c r="AY218" s="172" cm="1">
        <f t="array" aca="1" ref="AY218" ca="1">IF(OR($D218&lt;&gt;"Serviço",AND(AUTOEVENTO="Manual",$M218=$A$15),$M218&gt;(ROW(PLE.lastrow)-ROW(PLE.firstrow))),0,
           IF(OFFSET(PLE!$G$15,$M218-$A$15,AY$13)="",10^12,OFFSET(PLE!$G$15,$M218-$A$15,AY$13)))</f>
        <v>1000000000000</v>
      </c>
      <c r="AZ218" s="172" cm="1">
        <f t="array" aca="1" ref="AZ218" ca="1">IF(OR($D218&lt;&gt;"Serviço",AND(AUTOEVENTO="Manual",$M218=$A$15),$M218&gt;(ROW(PLE.lastrow)-ROW(PLE.firstrow))),0,
           IF(OFFSET(PLE!$G$15,$M218-$A$15,AZ$13)="",10^12,OFFSET(PLE!$G$15,$M218-$A$15,AZ$13)))</f>
        <v>1000000000000</v>
      </c>
      <c r="BA218" s="172" cm="1">
        <f t="array" aca="1" ref="BA218" ca="1">IF(OR($D218&lt;&gt;"Serviço",AND(AUTOEVENTO="Manual",$M218=$A$15),$M218&gt;(ROW(PLE.lastrow)-ROW(PLE.firstrow))),0,
           IF(OFFSET(PLE!$G$15,$M218-$A$15,BA$13)="",10^12,OFFSET(PLE!$G$15,$M218-$A$15,BA$13)))</f>
        <v>1000000000000</v>
      </c>
      <c r="BB218" s="172" cm="1">
        <f t="array" aca="1" ref="BB218" ca="1">IF(OR($D218&lt;&gt;"Serviço",AND(AUTOEVENTO="Manual",$M218=$A$15),$M218&gt;(ROW(PLE.lastrow)-ROW(PLE.firstrow))),0,
           IF(OFFSET(PLE!$G$15,$M218-$A$15,BB$13)="",10^12,OFFSET(PLE!$G$15,$M218-$A$15,BB$13)))</f>
        <v>1000000000000</v>
      </c>
      <c r="BC218" s="172" cm="1">
        <f t="array" aca="1" ref="BC218" ca="1">IF(OR($D218&lt;&gt;"Serviço",AND(AUTOEVENTO="Manual",$M218=$A$15),$M218&gt;(ROW(PLE.lastrow)-ROW(PLE.firstrow))),0,
           IF(OFFSET(PLE!$G$15,$M218-$A$15,BC$13)="",10^12,OFFSET(PLE!$G$15,$M218-$A$15,BC$13)))</f>
        <v>1000000000000</v>
      </c>
      <c r="BD218" s="172" cm="1">
        <f t="array" aca="1" ref="BD218" ca="1">IF(OR($D218&lt;&gt;"Serviço",AND(AUTOEVENTO="Manual",$M218=$A$15),$M218&gt;(ROW(PLE.lastrow)-ROW(PLE.firstrow))),0,
           IF(OFFSET(PLE!$G$15,$M218-$A$15,BD$13)="",10^12,OFFSET(PLE!$G$15,$M218-$A$15,BD$13)))</f>
        <v>1000000000000</v>
      </c>
      <c r="BE218" s="172" cm="1">
        <f t="array" aca="1" ref="BE218" ca="1">IF(OR($D218&lt;&gt;"Serviço",AND(AUTOEVENTO="Manual",$M218=$A$15),$M218&gt;(ROW(PLE.lastrow)-ROW(PLE.firstrow))),0,
           IF(OFFSET(PLE!$G$15,$M218-$A$15,BE$13)="",10^12,OFFSET(PLE!$G$15,$M218-$A$15,BE$13)))</f>
        <v>1000000000000</v>
      </c>
      <c r="BF218" s="172" cm="1">
        <f t="array" aca="1" ref="BF218" ca="1">IF(OR($D218&lt;&gt;"Serviço",AND(AUTOEVENTO="Manual",$M218=$A$15),$M218&gt;(ROW(PLE.lastrow)-ROW(PLE.firstrow))),0,
           IF(OFFSET(PLE!$G$15,$M218-$A$15,BF$13)="",10^12,OFFSET(PLE!$G$15,$M218-$A$15,BF$13)))</f>
        <v>1000000000000</v>
      </c>
      <c r="BG218" s="172" cm="1">
        <f t="array" aca="1" ref="BG218" ca="1">IF(OR($D218&lt;&gt;"Serviço",AND(AUTOEVENTO="Manual",$M218=$A$15),$M218&gt;(ROW(PLE.lastrow)-ROW(PLE.firstrow))),0,
           IF(OFFSET(PLE!$G$15,$M218-$A$15,BG$13)="",10^12,OFFSET(PLE!$G$15,$M218-$A$15,BG$13)))</f>
        <v>1000000000000</v>
      </c>
    </row>
    <row r="219" spans="1:59" ht="12.75" x14ac:dyDescent="0.2">
      <c r="A219" s="7" t="str">
        <f t="shared" ca="1" si="8"/>
        <v>204.</v>
      </c>
      <c r="B219" s="7">
        <f ca="1">OFFSET(ORÇAMENTO!C$15,$L219,0)</f>
        <v>2</v>
      </c>
      <c r="C219" s="7" t="str">
        <f ca="1">OFFSET(ORÇAMENTO!L$15,$L219,0)</f>
        <v>F</v>
      </c>
      <c r="D219" s="116" t="str">
        <f ca="1">OFFSET(ORÇAMENTO!N$15,$L219,0)</f>
        <v>Nível 2</v>
      </c>
      <c r="E219" s="117" t="str">
        <f ca="1">OFFSET(ORÇAMENTO!O$15,$L219,0)</f>
        <v>1.11.</v>
      </c>
      <c r="F219" s="163" t="str">
        <f ca="1">OFFSET(ORÇAMENTO!R$15,$L219,0)</f>
        <v>FORROS</v>
      </c>
      <c r="G219" s="164" t="str">
        <f ca="1">IF($D219&lt;&gt;"Serviço","",OFFSET(ORÇAMENTO!S$15,$L219,0))</f>
        <v/>
      </c>
      <c r="H219" s="122" cm="1">
        <f t="array" aca="1" ref="H219" ca="1">IF($D219&lt;&gt;"Serviço",0,IF(ACOMPANHAMENTO="BM",ROUND(OFFSET(ORÇAMENTO!AJ$15,$L219,0),15-13*ORÇAMENTO!$AF$7),IF(IFERROR(CÁLCULO.FrentesPreenchidas,0)=0,0,SUM(ROUND(OFFSET($P219,0,1,1,CÁLCULO.FrentesPreenchidas),15-13*ORÇAMENTO!$AF$7)))))</f>
        <v>0</v>
      </c>
      <c r="I219" s="468"/>
      <c r="J219" s="651" t="str" cm="1">
        <f t="array" aca="1" ref="J219" ca="1">IF(OR(B219&lt;&gt;"S",CÁLCULO.FrentesPreenchidas=0),"",IF(AND(ACOMPANHAMENTO="PLE",AUTOEVENTO="Manual",OR(H219&gt;0,ORÇAMENTO!AC219="QUANT."),OR(K219="",M219=0,N219="")),"►E",IF(AND(ACOMPANHAMENTO="PLE",ORÇAMENTO!AC219="QUANT."),"►Q",IF(AND(ACOMPANHAMENTO="PLE",H219&lt;&gt;SUMPRODUCT(($Q$1:$AA$1=1)*ROUND(Q219:AA219,15))),"►S",IF(AND(COUNTIF($P$11:$AA$11,"▼")=0,H219&gt;0,I219=""),"◄M","")))))</f>
        <v/>
      </c>
      <c r="K219" s="652"/>
      <c r="L219" s="165">
        <f t="shared" ca="1" si="9"/>
        <v>204</v>
      </c>
      <c r="M219" s="166" t="str">
        <f ca="1">IF($D219&lt;&gt;"Serviço","",
          IF(AUTOEVENTO="manual",$A219,
                IF(ISERROR(MATCH($A219,$A$15:OFFSET($A219,-1,0),0)),MAX($M$15:OFFSET(M219,-1,0))+1,
                      INDEX($M$15:OFFSET(M219,-1,0),MATCH($A219,$A$15:OFFSET($A219,-1,0),0)))))</f>
        <v/>
      </c>
      <c r="N219" s="167" t="str">
        <f ca="1">IF($D219&lt;&gt;"Serviço","",
         IF(AUTOEVENTO="Manual",
                IF($A219=0,"&lt;-- defina o número do agrupador",
                       OFFSET(EVENTOS!$D$15,$A219-$A$15,0)),
                OFFSET($F$15,$A219,0)))</f>
        <v/>
      </c>
      <c r="O219" s="168"/>
      <c r="Q219" s="168"/>
      <c r="R219" s="169"/>
      <c r="S219" s="169"/>
      <c r="T219" s="169"/>
      <c r="U219" s="169"/>
      <c r="V219" s="169"/>
      <c r="W219" s="169"/>
      <c r="X219" s="169"/>
      <c r="Y219" s="169"/>
      <c r="Z219" s="170"/>
      <c r="AB219" s="453">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3">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3">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3">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3">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3">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3">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3">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3">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3">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1">
        <f ca="1">IF(OR($D219&lt;&gt;"Serviço",AND(AUTOEVENTO="Manual",$M219=$A$15)),0,
         IF(OFFSET(CRONOPLE!$F$15,$M219-$A$15,AM$13)=0,10^12,OFFSET(CRONOPLE!$F$15,$M219-$A$15,AM$13)))</f>
        <v>0</v>
      </c>
      <c r="AN219" s="171">
        <f ca="1">IF(OR($D219&lt;&gt;"Serviço",AND(AUTOEVENTO="Manual",$M219=$A$15)),0,
         IF(OFFSET(CRONOPLE!$F$15,$M219-$A$15,AN$13)=0,10^12,OFFSET(CRONOPLE!$F$15,$M219-$A$15,AN$13)))</f>
        <v>0</v>
      </c>
      <c r="AO219" s="171">
        <f ca="1">IF(OR($D219&lt;&gt;"Serviço",AND(AUTOEVENTO="Manual",$M219=$A$15)),0,
         IF(OFFSET(CRONOPLE!$F$15,$M219-$A$15,AO$13)=0,10^12,OFFSET(CRONOPLE!$F$15,$M219-$A$15,AO$13)))</f>
        <v>0</v>
      </c>
      <c r="AP219" s="171">
        <f ca="1">IF(OR($D219&lt;&gt;"Serviço",AND(AUTOEVENTO="Manual",$M219=$A$15)),0,
         IF(OFFSET(CRONOPLE!$F$15,$M219-$A$15,AP$13)=0,10^12,OFFSET(CRONOPLE!$F$15,$M219-$A$15,AP$13)))</f>
        <v>0</v>
      </c>
      <c r="AQ219" s="171">
        <f ca="1">IF(OR($D219&lt;&gt;"Serviço",AND(AUTOEVENTO="Manual",$M219=$A$15)),0,
         IF(OFFSET(CRONOPLE!$F$15,$M219-$A$15,AQ$13)=0,10^12,OFFSET(CRONOPLE!$F$15,$M219-$A$15,AQ$13)))</f>
        <v>0</v>
      </c>
      <c r="AR219" s="171">
        <f ca="1">IF(OR($D219&lt;&gt;"Serviço",AND(AUTOEVENTO="Manual",$M219=$A$15)),0,
         IF(OFFSET(CRONOPLE!$F$15,$M219-$A$15,AR$13)=0,10^12,OFFSET(CRONOPLE!$F$15,$M219-$A$15,AR$13)))</f>
        <v>0</v>
      </c>
      <c r="AS219" s="171">
        <f ca="1">IF(OR($D219&lt;&gt;"Serviço",AND(AUTOEVENTO="Manual",$M219=$A$15)),0,
         IF(OFFSET(CRONOPLE!$F$15,$M219-$A$15,AS$13)=0,10^12,OFFSET(CRONOPLE!$F$15,$M219-$A$15,AS$13)))</f>
        <v>0</v>
      </c>
      <c r="AT219" s="171">
        <f ca="1">IF(OR($D219&lt;&gt;"Serviço",AND(AUTOEVENTO="Manual",$M219=$A$15)),0,
         IF(OFFSET(CRONOPLE!$F$15,$M219-$A$15,AT$13)=0,10^12,OFFSET(CRONOPLE!$F$15,$M219-$A$15,AT$13)))</f>
        <v>0</v>
      </c>
      <c r="AU219" s="171">
        <f ca="1">IF(OR($D219&lt;&gt;"Serviço",AND(AUTOEVENTO="Manual",$M219=$A$15)),0,
         IF(OFFSET(CRONOPLE!$F$15,$M219-$A$15,AU$13)=0,10^12,OFFSET(CRONOPLE!$F$15,$M219-$A$15,AU$13)))</f>
        <v>0</v>
      </c>
      <c r="AV219" s="171">
        <f ca="1">IF(OR($D219&lt;&gt;"Serviço",AND(AUTOEVENTO="Manual",$M219=$A$15)),0,
         IF(OFFSET(CRONOPLE!$F$15,$M219-$A$15,AV$13)=0,10^12,OFFSET(CRONOPLE!$F$15,$M219-$A$15,AV$13)))</f>
        <v>0</v>
      </c>
      <c r="AX219" s="172" cm="1">
        <f t="array" aca="1" ref="AX219" ca="1">IF(OR($D219&lt;&gt;"Serviço",AND(AUTOEVENTO="Manual",$M219=$A$15),$M219&gt;(ROW(PLE.lastrow)-ROW(PLE.firstrow))),0,
           IF(OFFSET(PLE!$G$15,$M219-$A$15,AX$13)="",10^12,OFFSET(PLE!$G$15,$M219-$A$15,AX$13)))</f>
        <v>0</v>
      </c>
      <c r="AY219" s="172" cm="1">
        <f t="array" aca="1" ref="AY219" ca="1">IF(OR($D219&lt;&gt;"Serviço",AND(AUTOEVENTO="Manual",$M219=$A$15),$M219&gt;(ROW(PLE.lastrow)-ROW(PLE.firstrow))),0,
           IF(OFFSET(PLE!$G$15,$M219-$A$15,AY$13)="",10^12,OFFSET(PLE!$G$15,$M219-$A$15,AY$13)))</f>
        <v>0</v>
      </c>
      <c r="AZ219" s="172" cm="1">
        <f t="array" aca="1" ref="AZ219" ca="1">IF(OR($D219&lt;&gt;"Serviço",AND(AUTOEVENTO="Manual",$M219=$A$15),$M219&gt;(ROW(PLE.lastrow)-ROW(PLE.firstrow))),0,
           IF(OFFSET(PLE!$G$15,$M219-$A$15,AZ$13)="",10^12,OFFSET(PLE!$G$15,$M219-$A$15,AZ$13)))</f>
        <v>0</v>
      </c>
      <c r="BA219" s="172" cm="1">
        <f t="array" aca="1" ref="BA219" ca="1">IF(OR($D219&lt;&gt;"Serviço",AND(AUTOEVENTO="Manual",$M219=$A$15),$M219&gt;(ROW(PLE.lastrow)-ROW(PLE.firstrow))),0,
           IF(OFFSET(PLE!$G$15,$M219-$A$15,BA$13)="",10^12,OFFSET(PLE!$G$15,$M219-$A$15,BA$13)))</f>
        <v>0</v>
      </c>
      <c r="BB219" s="172" cm="1">
        <f t="array" aca="1" ref="BB219" ca="1">IF(OR($D219&lt;&gt;"Serviço",AND(AUTOEVENTO="Manual",$M219=$A$15),$M219&gt;(ROW(PLE.lastrow)-ROW(PLE.firstrow))),0,
           IF(OFFSET(PLE!$G$15,$M219-$A$15,BB$13)="",10^12,OFFSET(PLE!$G$15,$M219-$A$15,BB$13)))</f>
        <v>0</v>
      </c>
      <c r="BC219" s="172" cm="1">
        <f t="array" aca="1" ref="BC219" ca="1">IF(OR($D219&lt;&gt;"Serviço",AND(AUTOEVENTO="Manual",$M219=$A$15),$M219&gt;(ROW(PLE.lastrow)-ROW(PLE.firstrow))),0,
           IF(OFFSET(PLE!$G$15,$M219-$A$15,BC$13)="",10^12,OFFSET(PLE!$G$15,$M219-$A$15,BC$13)))</f>
        <v>0</v>
      </c>
      <c r="BD219" s="172" cm="1">
        <f t="array" aca="1" ref="BD219" ca="1">IF(OR($D219&lt;&gt;"Serviço",AND(AUTOEVENTO="Manual",$M219=$A$15),$M219&gt;(ROW(PLE.lastrow)-ROW(PLE.firstrow))),0,
           IF(OFFSET(PLE!$G$15,$M219-$A$15,BD$13)="",10^12,OFFSET(PLE!$G$15,$M219-$A$15,BD$13)))</f>
        <v>0</v>
      </c>
      <c r="BE219" s="172" cm="1">
        <f t="array" aca="1" ref="BE219" ca="1">IF(OR($D219&lt;&gt;"Serviço",AND(AUTOEVENTO="Manual",$M219=$A$15),$M219&gt;(ROW(PLE.lastrow)-ROW(PLE.firstrow))),0,
           IF(OFFSET(PLE!$G$15,$M219-$A$15,BE$13)="",10^12,OFFSET(PLE!$G$15,$M219-$A$15,BE$13)))</f>
        <v>0</v>
      </c>
      <c r="BF219" s="172" cm="1">
        <f t="array" aca="1" ref="BF219" ca="1">IF(OR($D219&lt;&gt;"Serviço",AND(AUTOEVENTO="Manual",$M219=$A$15),$M219&gt;(ROW(PLE.lastrow)-ROW(PLE.firstrow))),0,
           IF(OFFSET(PLE!$G$15,$M219-$A$15,BF$13)="",10^12,OFFSET(PLE!$G$15,$M219-$A$15,BF$13)))</f>
        <v>0</v>
      </c>
      <c r="BG219" s="172" cm="1">
        <f t="array" aca="1" ref="BG219" ca="1">IF(OR($D219&lt;&gt;"Serviço",AND(AUTOEVENTO="Manual",$M219=$A$15),$M219&gt;(ROW(PLE.lastrow)-ROW(PLE.firstrow))),0,
           IF(OFFSET(PLE!$G$15,$M219-$A$15,BG$13)="",10^12,OFFSET(PLE!$G$15,$M219-$A$15,BG$13)))</f>
        <v>0</v>
      </c>
    </row>
    <row r="220" spans="1:59" ht="38.25" x14ac:dyDescent="0.2">
      <c r="A220" s="7" t="str">
        <f t="shared" ca="1" si="8"/>
        <v>204</v>
      </c>
      <c r="B220" s="7" t="str">
        <f ca="1">OFFSET(ORÇAMENTO!C$15,$L220,0)</f>
        <v>S</v>
      </c>
      <c r="C220" s="7" t="str">
        <f ca="1">OFFSET(ORÇAMENTO!L$15,$L220,0)</f>
        <v>F</v>
      </c>
      <c r="D220" s="116" t="str">
        <f ca="1">OFFSET(ORÇAMENTO!N$15,$L220,0)</f>
        <v>Serviço</v>
      </c>
      <c r="E220" s="117" t="str">
        <f ca="1">OFFSET(ORÇAMENTO!O$15,$L220,0)</f>
        <v>1.11.0.0.1.</v>
      </c>
      <c r="F220" s="163" t="str">
        <f ca="1">OFFSET(ORÇAMENTO!R$15,$L220,0)</f>
        <v>FORRO EM RÉGUAS DE PVC, FRISADO, PARA AMBIENTES RESIDENCIAIS, INCLUSIVE ESTRUTURA UNIDIRECIONAL DE FIXAÇÃO. AF_08/2023_PS</v>
      </c>
      <c r="G220" s="164" t="str">
        <f ca="1">IF($D220&lt;&gt;"Serviço","",OFFSET(ORÇAMENTO!S$15,$L220,0))</f>
        <v>M2</v>
      </c>
      <c r="H220" s="122" cm="1">
        <f t="array" aca="1" ref="H220" ca="1">IF($D220&lt;&gt;"Serviço",0,IF(ACOMPANHAMENTO="BM",ROUND(OFFSET(ORÇAMENTO!AJ$15,$L220,0),15-13*ORÇAMENTO!$AF$7),IF(IFERROR(CÁLCULO.FrentesPreenchidas,0)=0,0,SUM(ROUND(OFFSET($P220,0,1,1,CÁLCULO.FrentesPreenchidas),15-13*ORÇAMENTO!$AF$7)))))</f>
        <v>1498.2</v>
      </c>
      <c r="I220" s="468"/>
      <c r="J220" s="651" t="str" cm="1">
        <f t="array" aca="1" ref="J220" ca="1">IF(OR(B220&lt;&gt;"S",CÁLCULO.FrentesPreenchidas=0),"",IF(AND(ACOMPANHAMENTO="PLE",AUTOEVENTO="Manual",OR(H220&gt;0,ORÇAMENTO!AC220="QUANT."),OR(K220="",M220=0,N220="")),"►E",IF(AND(ACOMPANHAMENTO="PLE",ORÇAMENTO!AC220="QUANT."),"►Q",IF(AND(ACOMPANHAMENTO="PLE",H220&lt;&gt;SUMPRODUCT(($Q$1:$AA$1=1)*ROUND(Q220:AA220,15))),"►S",IF(AND(COUNTIF($P$11:$AA$11,"▼")=0,H220&gt;0,I220=""),"◄M","")))))</f>
        <v/>
      </c>
      <c r="K220" s="652"/>
      <c r="L220" s="165">
        <f t="shared" ca="1" si="9"/>
        <v>205</v>
      </c>
      <c r="M220" s="166">
        <f ca="1">IF($D220&lt;&gt;"Serviço","",
          IF(AUTOEVENTO="manual",$A220,
                IF(ISERROR(MATCH($A220,$A$15:OFFSET($A220,-1,0),0)),MAX($M$15:OFFSET(M220,-1,0))+1,
                      INDEX($M$15:OFFSET(M220,-1,0),MATCH($A220,$A$15:OFFSET($A220,-1,0),0)))))</f>
        <v>11</v>
      </c>
      <c r="N220" s="167" t="str">
        <f ca="1">IF($D220&lt;&gt;"Serviço","",
         IF(AUTOEVENTO="Manual",
                IF($A220=0,"&lt;-- defina o número do agrupador",
                       OFFSET(EVENTOS!$D$15,$A220-$A$15,0)),
                OFFSET($F$15,$A220,0)))</f>
        <v>FORROS</v>
      </c>
      <c r="O220" s="168"/>
      <c r="Q220" s="168"/>
      <c r="R220" s="169"/>
      <c r="S220" s="169"/>
      <c r="T220" s="169"/>
      <c r="U220" s="169"/>
      <c r="V220" s="169"/>
      <c r="W220" s="169"/>
      <c r="X220" s="169"/>
      <c r="Y220" s="169"/>
      <c r="Z220" s="170"/>
      <c r="AB220" s="453">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3">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3">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3">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3">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3">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3">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3">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3">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3">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1">
        <f ca="1">IF(OR($D220&lt;&gt;"Serviço",AND(AUTOEVENTO="Manual",$M220=$A$15)),0,
         IF(OFFSET(CRONOPLE!$F$15,$M220-$A$15,AM$13)=0,10^12,OFFSET(CRONOPLE!$F$15,$M220-$A$15,AM$13)))</f>
        <v>1000000000000</v>
      </c>
      <c r="AN220" s="171">
        <f ca="1">IF(OR($D220&lt;&gt;"Serviço",AND(AUTOEVENTO="Manual",$M220=$A$15)),0,
         IF(OFFSET(CRONOPLE!$F$15,$M220-$A$15,AN$13)=0,10^12,OFFSET(CRONOPLE!$F$15,$M220-$A$15,AN$13)))</f>
        <v>1000000000000</v>
      </c>
      <c r="AO220" s="171">
        <f ca="1">IF(OR($D220&lt;&gt;"Serviço",AND(AUTOEVENTO="Manual",$M220=$A$15)),0,
         IF(OFFSET(CRONOPLE!$F$15,$M220-$A$15,AO$13)=0,10^12,OFFSET(CRONOPLE!$F$15,$M220-$A$15,AO$13)))</f>
        <v>1000000000000</v>
      </c>
      <c r="AP220" s="171">
        <f ca="1">IF(OR($D220&lt;&gt;"Serviço",AND(AUTOEVENTO="Manual",$M220=$A$15)),0,
         IF(OFFSET(CRONOPLE!$F$15,$M220-$A$15,AP$13)=0,10^12,OFFSET(CRONOPLE!$F$15,$M220-$A$15,AP$13)))</f>
        <v>1000000000000</v>
      </c>
      <c r="AQ220" s="171">
        <f ca="1">IF(OR($D220&lt;&gt;"Serviço",AND(AUTOEVENTO="Manual",$M220=$A$15)),0,
         IF(OFFSET(CRONOPLE!$F$15,$M220-$A$15,AQ$13)=0,10^12,OFFSET(CRONOPLE!$F$15,$M220-$A$15,AQ$13)))</f>
        <v>1000000000000</v>
      </c>
      <c r="AR220" s="171">
        <f ca="1">IF(OR($D220&lt;&gt;"Serviço",AND(AUTOEVENTO="Manual",$M220=$A$15)),0,
         IF(OFFSET(CRONOPLE!$F$15,$M220-$A$15,AR$13)=0,10^12,OFFSET(CRONOPLE!$F$15,$M220-$A$15,AR$13)))</f>
        <v>1000000000000</v>
      </c>
      <c r="AS220" s="171">
        <f ca="1">IF(OR($D220&lt;&gt;"Serviço",AND(AUTOEVENTO="Manual",$M220=$A$15)),0,
         IF(OFFSET(CRONOPLE!$F$15,$M220-$A$15,AS$13)=0,10^12,OFFSET(CRONOPLE!$F$15,$M220-$A$15,AS$13)))</f>
        <v>1000000000000</v>
      </c>
      <c r="AT220" s="171">
        <f ca="1">IF(OR($D220&lt;&gt;"Serviço",AND(AUTOEVENTO="Manual",$M220=$A$15)),0,
         IF(OFFSET(CRONOPLE!$F$15,$M220-$A$15,AT$13)=0,10^12,OFFSET(CRONOPLE!$F$15,$M220-$A$15,AT$13)))</f>
        <v>1000000000000</v>
      </c>
      <c r="AU220" s="171">
        <f ca="1">IF(OR($D220&lt;&gt;"Serviço",AND(AUTOEVENTO="Manual",$M220=$A$15)),0,
         IF(OFFSET(CRONOPLE!$F$15,$M220-$A$15,AU$13)=0,10^12,OFFSET(CRONOPLE!$F$15,$M220-$A$15,AU$13)))</f>
        <v>1000000000000</v>
      </c>
      <c r="AV220" s="171">
        <f ca="1">IF(OR($D220&lt;&gt;"Serviço",AND(AUTOEVENTO="Manual",$M220=$A$15)),0,
         IF(OFFSET(CRONOPLE!$F$15,$M220-$A$15,AV$13)=0,10^12,OFFSET(CRONOPLE!$F$15,$M220-$A$15,AV$13)))</f>
        <v>1000000000000</v>
      </c>
      <c r="AX220" s="172" cm="1">
        <f t="array" aca="1" ref="AX220" ca="1">IF(OR($D220&lt;&gt;"Serviço",AND(AUTOEVENTO="Manual",$M220=$A$15),$M220&gt;(ROW(PLE.lastrow)-ROW(PLE.firstrow))),0,
           IF(OFFSET(PLE!$G$15,$M220-$A$15,AX$13)="",10^12,OFFSET(PLE!$G$15,$M220-$A$15,AX$13)))</f>
        <v>1000000000000</v>
      </c>
      <c r="AY220" s="172" cm="1">
        <f t="array" aca="1" ref="AY220" ca="1">IF(OR($D220&lt;&gt;"Serviço",AND(AUTOEVENTO="Manual",$M220=$A$15),$M220&gt;(ROW(PLE.lastrow)-ROW(PLE.firstrow))),0,
           IF(OFFSET(PLE!$G$15,$M220-$A$15,AY$13)="",10^12,OFFSET(PLE!$G$15,$M220-$A$15,AY$13)))</f>
        <v>1000000000000</v>
      </c>
      <c r="AZ220" s="172" cm="1">
        <f t="array" aca="1" ref="AZ220" ca="1">IF(OR($D220&lt;&gt;"Serviço",AND(AUTOEVENTO="Manual",$M220=$A$15),$M220&gt;(ROW(PLE.lastrow)-ROW(PLE.firstrow))),0,
           IF(OFFSET(PLE!$G$15,$M220-$A$15,AZ$13)="",10^12,OFFSET(PLE!$G$15,$M220-$A$15,AZ$13)))</f>
        <v>1000000000000</v>
      </c>
      <c r="BA220" s="172" cm="1">
        <f t="array" aca="1" ref="BA220" ca="1">IF(OR($D220&lt;&gt;"Serviço",AND(AUTOEVENTO="Manual",$M220=$A$15),$M220&gt;(ROW(PLE.lastrow)-ROW(PLE.firstrow))),0,
           IF(OFFSET(PLE!$G$15,$M220-$A$15,BA$13)="",10^12,OFFSET(PLE!$G$15,$M220-$A$15,BA$13)))</f>
        <v>1000000000000</v>
      </c>
      <c r="BB220" s="172" cm="1">
        <f t="array" aca="1" ref="BB220" ca="1">IF(OR($D220&lt;&gt;"Serviço",AND(AUTOEVENTO="Manual",$M220=$A$15),$M220&gt;(ROW(PLE.lastrow)-ROW(PLE.firstrow))),0,
           IF(OFFSET(PLE!$G$15,$M220-$A$15,BB$13)="",10^12,OFFSET(PLE!$G$15,$M220-$A$15,BB$13)))</f>
        <v>1000000000000</v>
      </c>
      <c r="BC220" s="172" cm="1">
        <f t="array" aca="1" ref="BC220" ca="1">IF(OR($D220&lt;&gt;"Serviço",AND(AUTOEVENTO="Manual",$M220=$A$15),$M220&gt;(ROW(PLE.lastrow)-ROW(PLE.firstrow))),0,
           IF(OFFSET(PLE!$G$15,$M220-$A$15,BC$13)="",10^12,OFFSET(PLE!$G$15,$M220-$A$15,BC$13)))</f>
        <v>1000000000000</v>
      </c>
      <c r="BD220" s="172" cm="1">
        <f t="array" aca="1" ref="BD220" ca="1">IF(OR($D220&lt;&gt;"Serviço",AND(AUTOEVENTO="Manual",$M220=$A$15),$M220&gt;(ROW(PLE.lastrow)-ROW(PLE.firstrow))),0,
           IF(OFFSET(PLE!$G$15,$M220-$A$15,BD$13)="",10^12,OFFSET(PLE!$G$15,$M220-$A$15,BD$13)))</f>
        <v>1000000000000</v>
      </c>
      <c r="BE220" s="172" cm="1">
        <f t="array" aca="1" ref="BE220" ca="1">IF(OR($D220&lt;&gt;"Serviço",AND(AUTOEVENTO="Manual",$M220=$A$15),$M220&gt;(ROW(PLE.lastrow)-ROW(PLE.firstrow))),0,
           IF(OFFSET(PLE!$G$15,$M220-$A$15,BE$13)="",10^12,OFFSET(PLE!$G$15,$M220-$A$15,BE$13)))</f>
        <v>1000000000000</v>
      </c>
      <c r="BF220" s="172" cm="1">
        <f t="array" aca="1" ref="BF220" ca="1">IF(OR($D220&lt;&gt;"Serviço",AND(AUTOEVENTO="Manual",$M220=$A$15),$M220&gt;(ROW(PLE.lastrow)-ROW(PLE.firstrow))),0,
           IF(OFFSET(PLE!$G$15,$M220-$A$15,BF$13)="",10^12,OFFSET(PLE!$G$15,$M220-$A$15,BF$13)))</f>
        <v>1000000000000</v>
      </c>
      <c r="BG220" s="172" cm="1">
        <f t="array" aca="1" ref="BG220" ca="1">IF(OR($D220&lt;&gt;"Serviço",AND(AUTOEVENTO="Manual",$M220=$A$15),$M220&gt;(ROW(PLE.lastrow)-ROW(PLE.firstrow))),0,
           IF(OFFSET(PLE!$G$15,$M220-$A$15,BG$13)="",10^12,OFFSET(PLE!$G$15,$M220-$A$15,BG$13)))</f>
        <v>1000000000000</v>
      </c>
    </row>
    <row r="221" spans="1:59" ht="25.5" x14ac:dyDescent="0.2">
      <c r="A221" s="7" t="str">
        <f ca="1">IFERROR(IF(AUTOEVENTO="Manual",IF(K221&lt;&gt;"",MIN(VALUE(LEFT(K221,FIND(".",K221)-1)),COUNTA(EVENTOS.Lista)),0),IF(OR($B221&gt;AUTOEVENTO,$B221="S",$B221=0),SUBSTITUTE(OFFSET($A221,-1,0),IF($D221="Serviço",".",""),""),$L221&amp;".")),0)</f>
        <v>204</v>
      </c>
      <c r="B221" s="7" t="str">
        <f ca="1">OFFSET(ORÇAMENTO!C$15,$L221,0)</f>
        <v>S</v>
      </c>
      <c r="C221" s="7" t="str">
        <f ca="1">OFFSET(ORÇAMENTO!L$15,$L221,0)</f>
        <v>F</v>
      </c>
      <c r="D221" s="116" t="str">
        <f ca="1">OFFSET(ORÇAMENTO!N$15,$L221,0)</f>
        <v>Serviço</v>
      </c>
      <c r="E221" s="117" t="str">
        <f ca="1">OFFSET(ORÇAMENTO!O$15,$L221,0)</f>
        <v>1.11.0.0.2.</v>
      </c>
      <c r="F221" s="163" t="str">
        <f ca="1">OFFSET(ORÇAMENTO!R$15,$L221,0)</f>
        <v>ACABAMENTOS PARA FORRO (RODA-FORRO EM PERFIL METÁLICO E PLÁSTICO). AF_08/2023</v>
      </c>
      <c r="G221" s="164" t="str">
        <f ca="1">IF($D221&lt;&gt;"Serviço","",OFFSET(ORÇAMENTO!S$15,$L221,0))</f>
        <v>M</v>
      </c>
      <c r="H221" s="122" cm="1">
        <f t="array" aca="1" ref="H221" ca="1">IF($D221&lt;&gt;"Serviço",0,IF(ACOMPANHAMENTO="BM",ROUND(OFFSET(ORÇAMENTO!AJ$15,$L221,0),15-13*ORÇAMENTO!$AF$7),IF(IFERROR(CÁLCULO.FrentesPreenchidas,0)=0,0,SUM(ROUND(OFFSET($P221,0,1,1,CÁLCULO.FrentesPreenchidas),15-13*ORÇAMENTO!$AF$7)))))</f>
        <v>1767</v>
      </c>
      <c r="I221" s="468"/>
      <c r="J221" s="651" t="str" cm="1">
        <f t="array" aca="1" ref="J221" ca="1">IF(OR(B221&lt;&gt;"S",CÁLCULO.FrentesPreenchidas=0),"",IF(AND(ACOMPANHAMENTO="PLE",AUTOEVENTO="Manual",OR(H221&gt;0,ORÇAMENTO!AC221="QUANT."),OR(K221="",M221=0,N221="")),"►E",IF(AND(ACOMPANHAMENTO="PLE",ORÇAMENTO!AC221="QUANT."),"►Q",IF(AND(ACOMPANHAMENTO="PLE",H221&lt;&gt;SUMPRODUCT(($Q$1:$AA$1=1)*ROUND(Q221:AA221,15))),"►S",IF(AND(COUNTIF($P$11:$AA$11,"▼")=0,H221&gt;0,I221=""),"◄M","")))))</f>
        <v/>
      </c>
      <c r="K221" s="652"/>
      <c r="L221" s="165">
        <f ca="1">OFFSET(L221,-1,0)+1</f>
        <v>206</v>
      </c>
      <c r="M221" s="166">
        <f ca="1">IF($D221&lt;&gt;"Serviço","",
          IF(AUTOEVENTO="manual",$A221,
                IF(ISERROR(MATCH($A221,$A$15:OFFSET($A221,-1,0),0)),MAX($M$15:OFFSET(M221,-1,0))+1,
                      INDEX($M$15:OFFSET(M221,-1,0),MATCH($A221,$A$15:OFFSET($A221,-1,0),0)))))</f>
        <v>11</v>
      </c>
      <c r="N221" s="167" t="str">
        <f ca="1">IF($D221&lt;&gt;"Serviço","",
         IF(AUTOEVENTO="Manual",
                IF($A221=0,"&lt;-- defina o número do agrupador",
                       OFFSET(EVENTOS!$D$15,$A221-$A$15,0)),
                OFFSET($F$15,$A221,0)))</f>
        <v>FORROS</v>
      </c>
      <c r="O221" s="168"/>
      <c r="Q221" s="168"/>
      <c r="R221" s="169"/>
      <c r="S221" s="169"/>
      <c r="T221" s="169"/>
      <c r="U221" s="169"/>
      <c r="V221" s="169"/>
      <c r="W221" s="169"/>
      <c r="X221" s="169"/>
      <c r="Y221" s="169"/>
      <c r="Z221" s="170"/>
      <c r="AB221" s="453">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3">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3">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3">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3">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3">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3">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3">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3">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3">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1">
        <f ca="1">IF(OR($D221&lt;&gt;"Serviço",AND(AUTOEVENTO="Manual",$M221=$A$15)),0,
         IF(OFFSET(CRONOPLE!$F$15,$M221-$A$15,AM$13)=0,10^12,OFFSET(CRONOPLE!$F$15,$M221-$A$15,AM$13)))</f>
        <v>1000000000000</v>
      </c>
      <c r="AN221" s="171">
        <f ca="1">IF(OR($D221&lt;&gt;"Serviço",AND(AUTOEVENTO="Manual",$M221=$A$15)),0,
         IF(OFFSET(CRONOPLE!$F$15,$M221-$A$15,AN$13)=0,10^12,OFFSET(CRONOPLE!$F$15,$M221-$A$15,AN$13)))</f>
        <v>1000000000000</v>
      </c>
      <c r="AO221" s="171">
        <f ca="1">IF(OR($D221&lt;&gt;"Serviço",AND(AUTOEVENTO="Manual",$M221=$A$15)),0,
         IF(OFFSET(CRONOPLE!$F$15,$M221-$A$15,AO$13)=0,10^12,OFFSET(CRONOPLE!$F$15,$M221-$A$15,AO$13)))</f>
        <v>1000000000000</v>
      </c>
      <c r="AP221" s="171">
        <f ca="1">IF(OR($D221&lt;&gt;"Serviço",AND(AUTOEVENTO="Manual",$M221=$A$15)),0,
         IF(OFFSET(CRONOPLE!$F$15,$M221-$A$15,AP$13)=0,10^12,OFFSET(CRONOPLE!$F$15,$M221-$A$15,AP$13)))</f>
        <v>1000000000000</v>
      </c>
      <c r="AQ221" s="171">
        <f ca="1">IF(OR($D221&lt;&gt;"Serviço",AND(AUTOEVENTO="Manual",$M221=$A$15)),0,
         IF(OFFSET(CRONOPLE!$F$15,$M221-$A$15,AQ$13)=0,10^12,OFFSET(CRONOPLE!$F$15,$M221-$A$15,AQ$13)))</f>
        <v>1000000000000</v>
      </c>
      <c r="AR221" s="171">
        <f ca="1">IF(OR($D221&lt;&gt;"Serviço",AND(AUTOEVENTO="Manual",$M221=$A$15)),0,
         IF(OFFSET(CRONOPLE!$F$15,$M221-$A$15,AR$13)=0,10^12,OFFSET(CRONOPLE!$F$15,$M221-$A$15,AR$13)))</f>
        <v>1000000000000</v>
      </c>
      <c r="AS221" s="171">
        <f ca="1">IF(OR($D221&lt;&gt;"Serviço",AND(AUTOEVENTO="Manual",$M221=$A$15)),0,
         IF(OFFSET(CRONOPLE!$F$15,$M221-$A$15,AS$13)=0,10^12,OFFSET(CRONOPLE!$F$15,$M221-$A$15,AS$13)))</f>
        <v>1000000000000</v>
      </c>
      <c r="AT221" s="171">
        <f ca="1">IF(OR($D221&lt;&gt;"Serviço",AND(AUTOEVENTO="Manual",$M221=$A$15)),0,
         IF(OFFSET(CRONOPLE!$F$15,$M221-$A$15,AT$13)=0,10^12,OFFSET(CRONOPLE!$F$15,$M221-$A$15,AT$13)))</f>
        <v>1000000000000</v>
      </c>
      <c r="AU221" s="171">
        <f ca="1">IF(OR($D221&lt;&gt;"Serviço",AND(AUTOEVENTO="Manual",$M221=$A$15)),0,
         IF(OFFSET(CRONOPLE!$F$15,$M221-$A$15,AU$13)=0,10^12,OFFSET(CRONOPLE!$F$15,$M221-$A$15,AU$13)))</f>
        <v>1000000000000</v>
      </c>
      <c r="AV221" s="171">
        <f ca="1">IF(OR($D221&lt;&gt;"Serviço",AND(AUTOEVENTO="Manual",$M221=$A$15)),0,
         IF(OFFSET(CRONOPLE!$F$15,$M221-$A$15,AV$13)=0,10^12,OFFSET(CRONOPLE!$F$15,$M221-$A$15,AV$13)))</f>
        <v>1000000000000</v>
      </c>
      <c r="AX221" s="172" cm="1">
        <f t="array" aca="1" ref="AX221" ca="1">IF(OR($D221&lt;&gt;"Serviço",AND(AUTOEVENTO="Manual",$M221=$A$15),$M221&gt;(ROW(PLE.lastrow)-ROW(PLE.firstrow))),0,
           IF(OFFSET(PLE!$G$15,$M221-$A$15,AX$13)="",10^12,OFFSET(PLE!$G$15,$M221-$A$15,AX$13)))</f>
        <v>1000000000000</v>
      </c>
      <c r="AY221" s="172" cm="1">
        <f t="array" aca="1" ref="AY221" ca="1">IF(OR($D221&lt;&gt;"Serviço",AND(AUTOEVENTO="Manual",$M221=$A$15),$M221&gt;(ROW(PLE.lastrow)-ROW(PLE.firstrow))),0,
           IF(OFFSET(PLE!$G$15,$M221-$A$15,AY$13)="",10^12,OFFSET(PLE!$G$15,$M221-$A$15,AY$13)))</f>
        <v>1000000000000</v>
      </c>
      <c r="AZ221" s="172" cm="1">
        <f t="array" aca="1" ref="AZ221" ca="1">IF(OR($D221&lt;&gt;"Serviço",AND(AUTOEVENTO="Manual",$M221=$A$15),$M221&gt;(ROW(PLE.lastrow)-ROW(PLE.firstrow))),0,
           IF(OFFSET(PLE!$G$15,$M221-$A$15,AZ$13)="",10^12,OFFSET(PLE!$G$15,$M221-$A$15,AZ$13)))</f>
        <v>1000000000000</v>
      </c>
      <c r="BA221" s="172" cm="1">
        <f t="array" aca="1" ref="BA221" ca="1">IF(OR($D221&lt;&gt;"Serviço",AND(AUTOEVENTO="Manual",$M221=$A$15),$M221&gt;(ROW(PLE.lastrow)-ROW(PLE.firstrow))),0,
           IF(OFFSET(PLE!$G$15,$M221-$A$15,BA$13)="",10^12,OFFSET(PLE!$G$15,$M221-$A$15,BA$13)))</f>
        <v>1000000000000</v>
      </c>
      <c r="BB221" s="172" cm="1">
        <f t="array" aca="1" ref="BB221" ca="1">IF(OR($D221&lt;&gt;"Serviço",AND(AUTOEVENTO="Manual",$M221=$A$15),$M221&gt;(ROW(PLE.lastrow)-ROW(PLE.firstrow))),0,
           IF(OFFSET(PLE!$G$15,$M221-$A$15,BB$13)="",10^12,OFFSET(PLE!$G$15,$M221-$A$15,BB$13)))</f>
        <v>1000000000000</v>
      </c>
      <c r="BC221" s="172" cm="1">
        <f t="array" aca="1" ref="BC221" ca="1">IF(OR($D221&lt;&gt;"Serviço",AND(AUTOEVENTO="Manual",$M221=$A$15),$M221&gt;(ROW(PLE.lastrow)-ROW(PLE.firstrow))),0,
           IF(OFFSET(PLE!$G$15,$M221-$A$15,BC$13)="",10^12,OFFSET(PLE!$G$15,$M221-$A$15,BC$13)))</f>
        <v>1000000000000</v>
      </c>
      <c r="BD221" s="172" cm="1">
        <f t="array" aca="1" ref="BD221" ca="1">IF(OR($D221&lt;&gt;"Serviço",AND(AUTOEVENTO="Manual",$M221=$A$15),$M221&gt;(ROW(PLE.lastrow)-ROW(PLE.firstrow))),0,
           IF(OFFSET(PLE!$G$15,$M221-$A$15,BD$13)="",10^12,OFFSET(PLE!$G$15,$M221-$A$15,BD$13)))</f>
        <v>1000000000000</v>
      </c>
      <c r="BE221" s="172" cm="1">
        <f t="array" aca="1" ref="BE221" ca="1">IF(OR($D221&lt;&gt;"Serviço",AND(AUTOEVENTO="Manual",$M221=$A$15),$M221&gt;(ROW(PLE.lastrow)-ROW(PLE.firstrow))),0,
           IF(OFFSET(PLE!$G$15,$M221-$A$15,BE$13)="",10^12,OFFSET(PLE!$G$15,$M221-$A$15,BE$13)))</f>
        <v>1000000000000</v>
      </c>
      <c r="BF221" s="172" cm="1">
        <f t="array" aca="1" ref="BF221" ca="1">IF(OR($D221&lt;&gt;"Serviço",AND(AUTOEVENTO="Manual",$M221=$A$15),$M221&gt;(ROW(PLE.lastrow)-ROW(PLE.firstrow))),0,
           IF(OFFSET(PLE!$G$15,$M221-$A$15,BF$13)="",10^12,OFFSET(PLE!$G$15,$M221-$A$15,BF$13)))</f>
        <v>1000000000000</v>
      </c>
      <c r="BG221" s="172" cm="1">
        <f t="array" aca="1" ref="BG221" ca="1">IF(OR($D221&lt;&gt;"Serviço",AND(AUTOEVENTO="Manual",$M221=$A$15),$M221&gt;(ROW(PLE.lastrow)-ROW(PLE.firstrow))),0,
           IF(OFFSET(PLE!$G$15,$M221-$A$15,BG$13)="",10^12,OFFSET(PLE!$G$15,$M221-$A$15,BG$13)))</f>
        <v>1000000000000</v>
      </c>
    </row>
    <row r="222" spans="1:59" ht="12.75" x14ac:dyDescent="0.2">
      <c r="A222" s="7" t="str">
        <f t="shared" ca="1" si="8"/>
        <v>207.</v>
      </c>
      <c r="B222" s="7">
        <f ca="1">OFFSET(ORÇAMENTO!C$15,$L222,0)</f>
        <v>2</v>
      </c>
      <c r="C222" s="7" t="str">
        <f ca="1">OFFSET(ORÇAMENTO!L$15,$L222,0)</f>
        <v>F</v>
      </c>
      <c r="D222" s="116" t="str">
        <f ca="1">OFFSET(ORÇAMENTO!N$15,$L222,0)</f>
        <v>Nível 2</v>
      </c>
      <c r="E222" s="117" t="str">
        <f ca="1">OFFSET(ORÇAMENTO!O$15,$L222,0)</f>
        <v>1.12.</v>
      </c>
      <c r="F222" s="163" t="str">
        <f ca="1">OFFSET(ORÇAMENTO!R$15,$L222,0)</f>
        <v>PINTURAS</v>
      </c>
      <c r="G222" s="164" t="str">
        <f ca="1">IF($D222&lt;&gt;"Serviço","",OFFSET(ORÇAMENTO!S$15,$L222,0))</f>
        <v/>
      </c>
      <c r="H222" s="122" cm="1">
        <f t="array" aca="1" ref="H222" ca="1">IF($D222&lt;&gt;"Serviço",0,IF(ACOMPANHAMENTO="BM",ROUND(OFFSET(ORÇAMENTO!AJ$15,$L222,0),15-13*ORÇAMENTO!$AF$7),IF(IFERROR(CÁLCULO.FrentesPreenchidas,0)=0,0,SUM(ROUND(OFFSET($P222,0,1,1,CÁLCULO.FrentesPreenchidas),15-13*ORÇAMENTO!$AF$7)))))</f>
        <v>0</v>
      </c>
      <c r="I222" s="468"/>
      <c r="J222" s="651" t="str" cm="1">
        <f t="array" aca="1" ref="J222" ca="1">IF(OR(B222&lt;&gt;"S",CÁLCULO.FrentesPreenchidas=0),"",IF(AND(ACOMPANHAMENTO="PLE",AUTOEVENTO="Manual",OR(H222&gt;0,ORÇAMENTO!AC222="QUANT."),OR(K222="",M222=0,N222="")),"►E",IF(AND(ACOMPANHAMENTO="PLE",ORÇAMENTO!AC222="QUANT."),"►Q",IF(AND(ACOMPANHAMENTO="PLE",H222&lt;&gt;SUMPRODUCT(($Q$1:$AA$1=1)*ROUND(Q222:AA222,15))),"►S",IF(AND(COUNTIF($P$11:$AA$11,"▼")=0,H222&gt;0,I222=""),"◄M","")))))</f>
        <v/>
      </c>
      <c r="K222" s="652"/>
      <c r="L222" s="165">
        <f t="shared" ca="1" si="9"/>
        <v>207</v>
      </c>
      <c r="M222" s="166" t="str">
        <f ca="1">IF($D222&lt;&gt;"Serviço","",
          IF(AUTOEVENTO="manual",$A222,
                IF(ISERROR(MATCH($A222,$A$15:OFFSET($A222,-1,0),0)),MAX($M$15:OFFSET(M222,-1,0))+1,
                      INDEX($M$15:OFFSET(M222,-1,0),MATCH($A222,$A$15:OFFSET($A222,-1,0),0)))))</f>
        <v/>
      </c>
      <c r="N222" s="167" t="str">
        <f ca="1">IF($D222&lt;&gt;"Serviço","",
         IF(AUTOEVENTO="Manual",
                IF($A222=0,"&lt;-- defina o número do agrupador",
                       OFFSET(EVENTOS!$D$15,$A222-$A$15,0)),
                OFFSET($F$15,$A222,0)))</f>
        <v/>
      </c>
      <c r="O222" s="168"/>
      <c r="Q222" s="168"/>
      <c r="R222" s="169"/>
      <c r="S222" s="169"/>
      <c r="T222" s="169"/>
      <c r="U222" s="169"/>
      <c r="V222" s="169"/>
      <c r="W222" s="169"/>
      <c r="X222" s="169"/>
      <c r="Y222" s="169"/>
      <c r="Z222" s="170"/>
      <c r="AB222" s="453">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3">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3">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3">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3">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3">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3">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3">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3">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3">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1">
        <f ca="1">IF(OR($D222&lt;&gt;"Serviço",AND(AUTOEVENTO="Manual",$M222=$A$15)),0,
         IF(OFFSET(CRONOPLE!$F$15,$M222-$A$15,AM$13)=0,10^12,OFFSET(CRONOPLE!$F$15,$M222-$A$15,AM$13)))</f>
        <v>0</v>
      </c>
      <c r="AN222" s="171">
        <f ca="1">IF(OR($D222&lt;&gt;"Serviço",AND(AUTOEVENTO="Manual",$M222=$A$15)),0,
         IF(OFFSET(CRONOPLE!$F$15,$M222-$A$15,AN$13)=0,10^12,OFFSET(CRONOPLE!$F$15,$M222-$A$15,AN$13)))</f>
        <v>0</v>
      </c>
      <c r="AO222" s="171">
        <f ca="1">IF(OR($D222&lt;&gt;"Serviço",AND(AUTOEVENTO="Manual",$M222=$A$15)),0,
         IF(OFFSET(CRONOPLE!$F$15,$M222-$A$15,AO$13)=0,10^12,OFFSET(CRONOPLE!$F$15,$M222-$A$15,AO$13)))</f>
        <v>0</v>
      </c>
      <c r="AP222" s="171">
        <f ca="1">IF(OR($D222&lt;&gt;"Serviço",AND(AUTOEVENTO="Manual",$M222=$A$15)),0,
         IF(OFFSET(CRONOPLE!$F$15,$M222-$A$15,AP$13)=0,10^12,OFFSET(CRONOPLE!$F$15,$M222-$A$15,AP$13)))</f>
        <v>0</v>
      </c>
      <c r="AQ222" s="171">
        <f ca="1">IF(OR($D222&lt;&gt;"Serviço",AND(AUTOEVENTO="Manual",$M222=$A$15)),0,
         IF(OFFSET(CRONOPLE!$F$15,$M222-$A$15,AQ$13)=0,10^12,OFFSET(CRONOPLE!$F$15,$M222-$A$15,AQ$13)))</f>
        <v>0</v>
      </c>
      <c r="AR222" s="171">
        <f ca="1">IF(OR($D222&lt;&gt;"Serviço",AND(AUTOEVENTO="Manual",$M222=$A$15)),0,
         IF(OFFSET(CRONOPLE!$F$15,$M222-$A$15,AR$13)=0,10^12,OFFSET(CRONOPLE!$F$15,$M222-$A$15,AR$13)))</f>
        <v>0</v>
      </c>
      <c r="AS222" s="171">
        <f ca="1">IF(OR($D222&lt;&gt;"Serviço",AND(AUTOEVENTO="Manual",$M222=$A$15)),0,
         IF(OFFSET(CRONOPLE!$F$15,$M222-$A$15,AS$13)=0,10^12,OFFSET(CRONOPLE!$F$15,$M222-$A$15,AS$13)))</f>
        <v>0</v>
      </c>
      <c r="AT222" s="171">
        <f ca="1">IF(OR($D222&lt;&gt;"Serviço",AND(AUTOEVENTO="Manual",$M222=$A$15)),0,
         IF(OFFSET(CRONOPLE!$F$15,$M222-$A$15,AT$13)=0,10^12,OFFSET(CRONOPLE!$F$15,$M222-$A$15,AT$13)))</f>
        <v>0</v>
      </c>
      <c r="AU222" s="171">
        <f ca="1">IF(OR($D222&lt;&gt;"Serviço",AND(AUTOEVENTO="Manual",$M222=$A$15)),0,
         IF(OFFSET(CRONOPLE!$F$15,$M222-$A$15,AU$13)=0,10^12,OFFSET(CRONOPLE!$F$15,$M222-$A$15,AU$13)))</f>
        <v>0</v>
      </c>
      <c r="AV222" s="171">
        <f ca="1">IF(OR($D222&lt;&gt;"Serviço",AND(AUTOEVENTO="Manual",$M222=$A$15)),0,
         IF(OFFSET(CRONOPLE!$F$15,$M222-$A$15,AV$13)=0,10^12,OFFSET(CRONOPLE!$F$15,$M222-$A$15,AV$13)))</f>
        <v>0</v>
      </c>
      <c r="AX222" s="172" cm="1">
        <f t="array" aca="1" ref="AX222" ca="1">IF(OR($D222&lt;&gt;"Serviço",AND(AUTOEVENTO="Manual",$M222=$A$15),$M222&gt;(ROW(PLE.lastrow)-ROW(PLE.firstrow))),0,
           IF(OFFSET(PLE!$G$15,$M222-$A$15,AX$13)="",10^12,OFFSET(PLE!$G$15,$M222-$A$15,AX$13)))</f>
        <v>0</v>
      </c>
      <c r="AY222" s="172" cm="1">
        <f t="array" aca="1" ref="AY222" ca="1">IF(OR($D222&lt;&gt;"Serviço",AND(AUTOEVENTO="Manual",$M222=$A$15),$M222&gt;(ROW(PLE.lastrow)-ROW(PLE.firstrow))),0,
           IF(OFFSET(PLE!$G$15,$M222-$A$15,AY$13)="",10^12,OFFSET(PLE!$G$15,$M222-$A$15,AY$13)))</f>
        <v>0</v>
      </c>
      <c r="AZ222" s="172" cm="1">
        <f t="array" aca="1" ref="AZ222" ca="1">IF(OR($D222&lt;&gt;"Serviço",AND(AUTOEVENTO="Manual",$M222=$A$15),$M222&gt;(ROW(PLE.lastrow)-ROW(PLE.firstrow))),0,
           IF(OFFSET(PLE!$G$15,$M222-$A$15,AZ$13)="",10^12,OFFSET(PLE!$G$15,$M222-$A$15,AZ$13)))</f>
        <v>0</v>
      </c>
      <c r="BA222" s="172" cm="1">
        <f t="array" aca="1" ref="BA222" ca="1">IF(OR($D222&lt;&gt;"Serviço",AND(AUTOEVENTO="Manual",$M222=$A$15),$M222&gt;(ROW(PLE.lastrow)-ROW(PLE.firstrow))),0,
           IF(OFFSET(PLE!$G$15,$M222-$A$15,BA$13)="",10^12,OFFSET(PLE!$G$15,$M222-$A$15,BA$13)))</f>
        <v>0</v>
      </c>
      <c r="BB222" s="172" cm="1">
        <f t="array" aca="1" ref="BB222" ca="1">IF(OR($D222&lt;&gt;"Serviço",AND(AUTOEVENTO="Manual",$M222=$A$15),$M222&gt;(ROW(PLE.lastrow)-ROW(PLE.firstrow))),0,
           IF(OFFSET(PLE!$G$15,$M222-$A$15,BB$13)="",10^12,OFFSET(PLE!$G$15,$M222-$A$15,BB$13)))</f>
        <v>0</v>
      </c>
      <c r="BC222" s="172" cm="1">
        <f t="array" aca="1" ref="BC222" ca="1">IF(OR($D222&lt;&gt;"Serviço",AND(AUTOEVENTO="Manual",$M222=$A$15),$M222&gt;(ROW(PLE.lastrow)-ROW(PLE.firstrow))),0,
           IF(OFFSET(PLE!$G$15,$M222-$A$15,BC$13)="",10^12,OFFSET(PLE!$G$15,$M222-$A$15,BC$13)))</f>
        <v>0</v>
      </c>
      <c r="BD222" s="172" cm="1">
        <f t="array" aca="1" ref="BD222" ca="1">IF(OR($D222&lt;&gt;"Serviço",AND(AUTOEVENTO="Manual",$M222=$A$15),$M222&gt;(ROW(PLE.lastrow)-ROW(PLE.firstrow))),0,
           IF(OFFSET(PLE!$G$15,$M222-$A$15,BD$13)="",10^12,OFFSET(PLE!$G$15,$M222-$A$15,BD$13)))</f>
        <v>0</v>
      </c>
      <c r="BE222" s="172" cm="1">
        <f t="array" aca="1" ref="BE222" ca="1">IF(OR($D222&lt;&gt;"Serviço",AND(AUTOEVENTO="Manual",$M222=$A$15),$M222&gt;(ROW(PLE.lastrow)-ROW(PLE.firstrow))),0,
           IF(OFFSET(PLE!$G$15,$M222-$A$15,BE$13)="",10^12,OFFSET(PLE!$G$15,$M222-$A$15,BE$13)))</f>
        <v>0</v>
      </c>
      <c r="BF222" s="172" cm="1">
        <f t="array" aca="1" ref="BF222" ca="1">IF(OR($D222&lt;&gt;"Serviço",AND(AUTOEVENTO="Manual",$M222=$A$15),$M222&gt;(ROW(PLE.lastrow)-ROW(PLE.firstrow))),0,
           IF(OFFSET(PLE!$G$15,$M222-$A$15,BF$13)="",10^12,OFFSET(PLE!$G$15,$M222-$A$15,BF$13)))</f>
        <v>0</v>
      </c>
      <c r="BG222" s="172" cm="1">
        <f t="array" aca="1" ref="BG222" ca="1">IF(OR($D222&lt;&gt;"Serviço",AND(AUTOEVENTO="Manual",$M222=$A$15),$M222&gt;(ROW(PLE.lastrow)-ROW(PLE.firstrow))),0,
           IF(OFFSET(PLE!$G$15,$M222-$A$15,BG$13)="",10^12,OFFSET(PLE!$G$15,$M222-$A$15,BG$13)))</f>
        <v>0</v>
      </c>
    </row>
    <row r="223" spans="1:59" ht="12.75" x14ac:dyDescent="0.2">
      <c r="A223" s="7" t="str">
        <f t="shared" ca="1" si="8"/>
        <v>207.</v>
      </c>
      <c r="B223" s="7">
        <f ca="1">OFFSET(ORÇAMENTO!C$15,$L223,0)</f>
        <v>3</v>
      </c>
      <c r="C223" s="7" t="str">
        <f ca="1">OFFSET(ORÇAMENTO!L$15,$L223,0)</f>
        <v>F</v>
      </c>
      <c r="D223" s="116" t="str">
        <f ca="1">OFFSET(ORÇAMENTO!N$15,$L223,0)</f>
        <v>Nível 3</v>
      </c>
      <c r="E223" s="117" t="str">
        <f ca="1">OFFSET(ORÇAMENTO!O$15,$L223,0)</f>
        <v>1.12.1.</v>
      </c>
      <c r="F223" s="163" t="str">
        <f ca="1">OFFSET(ORÇAMENTO!R$15,$L223,0)</f>
        <v>EXTERNA</v>
      </c>
      <c r="G223" s="164" t="str">
        <f ca="1">IF($D223&lt;&gt;"Serviço","",OFFSET(ORÇAMENTO!S$15,$L223,0))</f>
        <v/>
      </c>
      <c r="H223" s="122" cm="1">
        <f t="array" aca="1" ref="H223" ca="1">IF($D223&lt;&gt;"Serviço",0,IF(ACOMPANHAMENTO="BM",ROUND(OFFSET(ORÇAMENTO!AJ$15,$L223,0),15-13*ORÇAMENTO!$AF$7),IF(IFERROR(CÁLCULO.FrentesPreenchidas,0)=0,0,SUM(ROUND(OFFSET($P223,0,1,1,CÁLCULO.FrentesPreenchidas),15-13*ORÇAMENTO!$AF$7)))))</f>
        <v>0</v>
      </c>
      <c r="I223" s="468"/>
      <c r="J223" s="651" t="str" cm="1">
        <f t="array" aca="1" ref="J223" ca="1">IF(OR(B223&lt;&gt;"S",CÁLCULO.FrentesPreenchidas=0),"",IF(AND(ACOMPANHAMENTO="PLE",AUTOEVENTO="Manual",OR(H223&gt;0,ORÇAMENTO!AC223="QUANT."),OR(K223="",M223=0,N223="")),"►E",IF(AND(ACOMPANHAMENTO="PLE",ORÇAMENTO!AC223="QUANT."),"►Q",IF(AND(ACOMPANHAMENTO="PLE",H223&lt;&gt;SUMPRODUCT(($Q$1:$AA$1=1)*ROUND(Q223:AA223,15))),"►S",IF(AND(COUNTIF($P$11:$AA$11,"▼")=0,H223&gt;0,I223=""),"◄M","")))))</f>
        <v/>
      </c>
      <c r="K223" s="652"/>
      <c r="L223" s="165">
        <f t="shared" ca="1" si="9"/>
        <v>208</v>
      </c>
      <c r="M223" s="166" t="str">
        <f ca="1">IF($D223&lt;&gt;"Serviço","",
          IF(AUTOEVENTO="manual",$A223,
                IF(ISERROR(MATCH($A223,$A$15:OFFSET($A223,-1,0),0)),MAX($M$15:OFFSET(M223,-1,0))+1,
                      INDEX($M$15:OFFSET(M223,-1,0),MATCH($A223,$A$15:OFFSET($A223,-1,0),0)))))</f>
        <v/>
      </c>
      <c r="N223" s="167" t="str">
        <f ca="1">IF($D223&lt;&gt;"Serviço","",
         IF(AUTOEVENTO="Manual",
                IF($A223=0,"&lt;-- defina o número do agrupador",
                       OFFSET(EVENTOS!$D$15,$A223-$A$15,0)),
                OFFSET($F$15,$A223,0)))</f>
        <v/>
      </c>
      <c r="O223" s="168"/>
      <c r="Q223" s="168"/>
      <c r="R223" s="169"/>
      <c r="S223" s="169"/>
      <c r="T223" s="169"/>
      <c r="U223" s="169"/>
      <c r="V223" s="169"/>
      <c r="W223" s="169"/>
      <c r="X223" s="169"/>
      <c r="Y223" s="169"/>
      <c r="Z223" s="170"/>
      <c r="AB223" s="453">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3">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3">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3">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3">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3">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3">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3">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3">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3">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1">
        <f ca="1">IF(OR($D223&lt;&gt;"Serviço",AND(AUTOEVENTO="Manual",$M223=$A$15)),0,
         IF(OFFSET(CRONOPLE!$F$15,$M223-$A$15,AM$13)=0,10^12,OFFSET(CRONOPLE!$F$15,$M223-$A$15,AM$13)))</f>
        <v>0</v>
      </c>
      <c r="AN223" s="171">
        <f ca="1">IF(OR($D223&lt;&gt;"Serviço",AND(AUTOEVENTO="Manual",$M223=$A$15)),0,
         IF(OFFSET(CRONOPLE!$F$15,$M223-$A$15,AN$13)=0,10^12,OFFSET(CRONOPLE!$F$15,$M223-$A$15,AN$13)))</f>
        <v>0</v>
      </c>
      <c r="AO223" s="171">
        <f ca="1">IF(OR($D223&lt;&gt;"Serviço",AND(AUTOEVENTO="Manual",$M223=$A$15)),0,
         IF(OFFSET(CRONOPLE!$F$15,$M223-$A$15,AO$13)=0,10^12,OFFSET(CRONOPLE!$F$15,$M223-$A$15,AO$13)))</f>
        <v>0</v>
      </c>
      <c r="AP223" s="171">
        <f ca="1">IF(OR($D223&lt;&gt;"Serviço",AND(AUTOEVENTO="Manual",$M223=$A$15)),0,
         IF(OFFSET(CRONOPLE!$F$15,$M223-$A$15,AP$13)=0,10^12,OFFSET(CRONOPLE!$F$15,$M223-$A$15,AP$13)))</f>
        <v>0</v>
      </c>
      <c r="AQ223" s="171">
        <f ca="1">IF(OR($D223&lt;&gt;"Serviço",AND(AUTOEVENTO="Manual",$M223=$A$15)),0,
         IF(OFFSET(CRONOPLE!$F$15,$M223-$A$15,AQ$13)=0,10^12,OFFSET(CRONOPLE!$F$15,$M223-$A$15,AQ$13)))</f>
        <v>0</v>
      </c>
      <c r="AR223" s="171">
        <f ca="1">IF(OR($D223&lt;&gt;"Serviço",AND(AUTOEVENTO="Manual",$M223=$A$15)),0,
         IF(OFFSET(CRONOPLE!$F$15,$M223-$A$15,AR$13)=0,10^12,OFFSET(CRONOPLE!$F$15,$M223-$A$15,AR$13)))</f>
        <v>0</v>
      </c>
      <c r="AS223" s="171">
        <f ca="1">IF(OR($D223&lt;&gt;"Serviço",AND(AUTOEVENTO="Manual",$M223=$A$15)),0,
         IF(OFFSET(CRONOPLE!$F$15,$M223-$A$15,AS$13)=0,10^12,OFFSET(CRONOPLE!$F$15,$M223-$A$15,AS$13)))</f>
        <v>0</v>
      </c>
      <c r="AT223" s="171">
        <f ca="1">IF(OR($D223&lt;&gt;"Serviço",AND(AUTOEVENTO="Manual",$M223=$A$15)),0,
         IF(OFFSET(CRONOPLE!$F$15,$M223-$A$15,AT$13)=0,10^12,OFFSET(CRONOPLE!$F$15,$M223-$A$15,AT$13)))</f>
        <v>0</v>
      </c>
      <c r="AU223" s="171">
        <f ca="1">IF(OR($D223&lt;&gt;"Serviço",AND(AUTOEVENTO="Manual",$M223=$A$15)),0,
         IF(OFFSET(CRONOPLE!$F$15,$M223-$A$15,AU$13)=0,10^12,OFFSET(CRONOPLE!$F$15,$M223-$A$15,AU$13)))</f>
        <v>0</v>
      </c>
      <c r="AV223" s="171">
        <f ca="1">IF(OR($D223&lt;&gt;"Serviço",AND(AUTOEVENTO="Manual",$M223=$A$15)),0,
         IF(OFFSET(CRONOPLE!$F$15,$M223-$A$15,AV$13)=0,10^12,OFFSET(CRONOPLE!$F$15,$M223-$A$15,AV$13)))</f>
        <v>0</v>
      </c>
      <c r="AX223" s="172" cm="1">
        <f t="array" aca="1" ref="AX223" ca="1">IF(OR($D223&lt;&gt;"Serviço",AND(AUTOEVENTO="Manual",$M223=$A$15),$M223&gt;(ROW(PLE.lastrow)-ROW(PLE.firstrow))),0,
           IF(OFFSET(PLE!$G$15,$M223-$A$15,AX$13)="",10^12,OFFSET(PLE!$G$15,$M223-$A$15,AX$13)))</f>
        <v>0</v>
      </c>
      <c r="AY223" s="172" cm="1">
        <f t="array" aca="1" ref="AY223" ca="1">IF(OR($D223&lt;&gt;"Serviço",AND(AUTOEVENTO="Manual",$M223=$A$15),$M223&gt;(ROW(PLE.lastrow)-ROW(PLE.firstrow))),0,
           IF(OFFSET(PLE!$G$15,$M223-$A$15,AY$13)="",10^12,OFFSET(PLE!$G$15,$M223-$A$15,AY$13)))</f>
        <v>0</v>
      </c>
      <c r="AZ223" s="172" cm="1">
        <f t="array" aca="1" ref="AZ223" ca="1">IF(OR($D223&lt;&gt;"Serviço",AND(AUTOEVENTO="Manual",$M223=$A$15),$M223&gt;(ROW(PLE.lastrow)-ROW(PLE.firstrow))),0,
           IF(OFFSET(PLE!$G$15,$M223-$A$15,AZ$13)="",10^12,OFFSET(PLE!$G$15,$M223-$A$15,AZ$13)))</f>
        <v>0</v>
      </c>
      <c r="BA223" s="172" cm="1">
        <f t="array" aca="1" ref="BA223" ca="1">IF(OR($D223&lt;&gt;"Serviço",AND(AUTOEVENTO="Manual",$M223=$A$15),$M223&gt;(ROW(PLE.lastrow)-ROW(PLE.firstrow))),0,
           IF(OFFSET(PLE!$G$15,$M223-$A$15,BA$13)="",10^12,OFFSET(PLE!$G$15,$M223-$A$15,BA$13)))</f>
        <v>0</v>
      </c>
      <c r="BB223" s="172" cm="1">
        <f t="array" aca="1" ref="BB223" ca="1">IF(OR($D223&lt;&gt;"Serviço",AND(AUTOEVENTO="Manual",$M223=$A$15),$M223&gt;(ROW(PLE.lastrow)-ROW(PLE.firstrow))),0,
           IF(OFFSET(PLE!$G$15,$M223-$A$15,BB$13)="",10^12,OFFSET(PLE!$G$15,$M223-$A$15,BB$13)))</f>
        <v>0</v>
      </c>
      <c r="BC223" s="172" cm="1">
        <f t="array" aca="1" ref="BC223" ca="1">IF(OR($D223&lt;&gt;"Serviço",AND(AUTOEVENTO="Manual",$M223=$A$15),$M223&gt;(ROW(PLE.lastrow)-ROW(PLE.firstrow))),0,
           IF(OFFSET(PLE!$G$15,$M223-$A$15,BC$13)="",10^12,OFFSET(PLE!$G$15,$M223-$A$15,BC$13)))</f>
        <v>0</v>
      </c>
      <c r="BD223" s="172" cm="1">
        <f t="array" aca="1" ref="BD223" ca="1">IF(OR($D223&lt;&gt;"Serviço",AND(AUTOEVENTO="Manual",$M223=$A$15),$M223&gt;(ROW(PLE.lastrow)-ROW(PLE.firstrow))),0,
           IF(OFFSET(PLE!$G$15,$M223-$A$15,BD$13)="",10^12,OFFSET(PLE!$G$15,$M223-$A$15,BD$13)))</f>
        <v>0</v>
      </c>
      <c r="BE223" s="172" cm="1">
        <f t="array" aca="1" ref="BE223" ca="1">IF(OR($D223&lt;&gt;"Serviço",AND(AUTOEVENTO="Manual",$M223=$A$15),$M223&gt;(ROW(PLE.lastrow)-ROW(PLE.firstrow))),0,
           IF(OFFSET(PLE!$G$15,$M223-$A$15,BE$13)="",10^12,OFFSET(PLE!$G$15,$M223-$A$15,BE$13)))</f>
        <v>0</v>
      </c>
      <c r="BF223" s="172" cm="1">
        <f t="array" aca="1" ref="BF223" ca="1">IF(OR($D223&lt;&gt;"Serviço",AND(AUTOEVENTO="Manual",$M223=$A$15),$M223&gt;(ROW(PLE.lastrow)-ROW(PLE.firstrow))),0,
           IF(OFFSET(PLE!$G$15,$M223-$A$15,BF$13)="",10^12,OFFSET(PLE!$G$15,$M223-$A$15,BF$13)))</f>
        <v>0</v>
      </c>
      <c r="BG223" s="172" cm="1">
        <f t="array" aca="1" ref="BG223" ca="1">IF(OR($D223&lt;&gt;"Serviço",AND(AUTOEVENTO="Manual",$M223=$A$15),$M223&gt;(ROW(PLE.lastrow)-ROW(PLE.firstrow))),0,
           IF(OFFSET(PLE!$G$15,$M223-$A$15,BG$13)="",10^12,OFFSET(PLE!$G$15,$M223-$A$15,BG$13)))</f>
        <v>0</v>
      </c>
    </row>
    <row r="224" spans="1:59" ht="25.5" x14ac:dyDescent="0.2">
      <c r="A224" s="7" t="str">
        <f t="shared" ca="1" si="8"/>
        <v>207</v>
      </c>
      <c r="B224" s="7" t="str">
        <f ca="1">OFFSET(ORÇAMENTO!C$15,$L224,0)</f>
        <v>S</v>
      </c>
      <c r="C224" s="7" t="str">
        <f ca="1">OFFSET(ORÇAMENTO!L$15,$L224,0)</f>
        <v>F</v>
      </c>
      <c r="D224" s="116" t="str">
        <f ca="1">OFFSET(ORÇAMENTO!N$15,$L224,0)</f>
        <v>Serviço</v>
      </c>
      <c r="E224" s="117" t="str">
        <f ca="1">OFFSET(ORÇAMENTO!O$15,$L224,0)</f>
        <v>1.12.1.0.1.</v>
      </c>
      <c r="F224" s="163" t="str">
        <f ca="1">OFFSET(ORÇAMENTO!R$15,$L224,0)</f>
        <v>APLICAÇÃO MANUAL DE FUNDO SELADOR ACRÍLICO EM PAREDES EXTERNAS DE CASAS. AF_03/2024</v>
      </c>
      <c r="G224" s="164" t="str">
        <f ca="1">IF($D224&lt;&gt;"Serviço","",OFFSET(ORÇAMENTO!S$15,$L224,0))</f>
        <v>M2</v>
      </c>
      <c r="H224" s="122" cm="1">
        <f t="array" aca="1" ref="H224" ca="1">IF($D224&lt;&gt;"Serviço",0,IF(ACOMPANHAMENTO="BM",ROUND(OFFSET(ORÇAMENTO!AJ$15,$L224,0),15-13*ORÇAMENTO!$AF$7),IF(IFERROR(CÁLCULO.FrentesPreenchidas,0)=0,0,SUM(ROUND(OFFSET($P224,0,1,1,CÁLCULO.FrentesPreenchidas),15-13*ORÇAMENTO!$AF$7)))))</f>
        <v>2545.5</v>
      </c>
      <c r="I224" s="468"/>
      <c r="J224" s="651" t="str" cm="1">
        <f t="array" aca="1" ref="J224" ca="1">IF(OR(B224&lt;&gt;"S",CÁLCULO.FrentesPreenchidas=0),"",IF(AND(ACOMPANHAMENTO="PLE",AUTOEVENTO="Manual",OR(H224&gt;0,ORÇAMENTO!AC224="QUANT."),OR(K224="",M224=0,N224="")),"►E",IF(AND(ACOMPANHAMENTO="PLE",ORÇAMENTO!AC224="QUANT."),"►Q",IF(AND(ACOMPANHAMENTO="PLE",H224&lt;&gt;SUMPRODUCT(($Q$1:$AA$1=1)*ROUND(Q224:AA224,15))),"►S",IF(AND(COUNTIF($P$11:$AA$11,"▼")=0,H224&gt;0,I224=""),"◄M","")))))</f>
        <v/>
      </c>
      <c r="K224" s="652"/>
      <c r="L224" s="165">
        <f t="shared" ca="1" si="9"/>
        <v>209</v>
      </c>
      <c r="M224" s="166">
        <f ca="1">IF($D224&lt;&gt;"Serviço","",
          IF(AUTOEVENTO="manual",$A224,
                IF(ISERROR(MATCH($A224,$A$15:OFFSET($A224,-1,0),0)),MAX($M$15:OFFSET(M224,-1,0))+1,
                      INDEX($M$15:OFFSET(M224,-1,0),MATCH($A224,$A$15:OFFSET($A224,-1,0),0)))))</f>
        <v>12</v>
      </c>
      <c r="N224" s="167" t="str">
        <f ca="1">IF($D224&lt;&gt;"Serviço","",
         IF(AUTOEVENTO="Manual",
                IF($A224=0,"&lt;-- defina o número do agrupador",
                       OFFSET(EVENTOS!$D$15,$A224-$A$15,0)),
                OFFSET($F$15,$A224,0)))</f>
        <v>PINTURAS</v>
      </c>
      <c r="O224" s="168"/>
      <c r="Q224" s="168"/>
      <c r="R224" s="169"/>
      <c r="S224" s="169"/>
      <c r="T224" s="169"/>
      <c r="U224" s="169"/>
      <c r="V224" s="169"/>
      <c r="W224" s="169"/>
      <c r="X224" s="169"/>
      <c r="Y224" s="169"/>
      <c r="Z224" s="170"/>
      <c r="AB224" s="453">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3">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3">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3">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3">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3">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3">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3">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3">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3">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1">
        <f ca="1">IF(OR($D224&lt;&gt;"Serviço",AND(AUTOEVENTO="Manual",$M224=$A$15)),0,
         IF(OFFSET(CRONOPLE!$F$15,$M224-$A$15,AM$13)=0,10^12,OFFSET(CRONOPLE!$F$15,$M224-$A$15,AM$13)))</f>
        <v>1000000000000</v>
      </c>
      <c r="AN224" s="171">
        <f ca="1">IF(OR($D224&lt;&gt;"Serviço",AND(AUTOEVENTO="Manual",$M224=$A$15)),0,
         IF(OFFSET(CRONOPLE!$F$15,$M224-$A$15,AN$13)=0,10^12,OFFSET(CRONOPLE!$F$15,$M224-$A$15,AN$13)))</f>
        <v>1000000000000</v>
      </c>
      <c r="AO224" s="171">
        <f ca="1">IF(OR($D224&lt;&gt;"Serviço",AND(AUTOEVENTO="Manual",$M224=$A$15)),0,
         IF(OFFSET(CRONOPLE!$F$15,$M224-$A$15,AO$13)=0,10^12,OFFSET(CRONOPLE!$F$15,$M224-$A$15,AO$13)))</f>
        <v>1000000000000</v>
      </c>
      <c r="AP224" s="171">
        <f ca="1">IF(OR($D224&lt;&gt;"Serviço",AND(AUTOEVENTO="Manual",$M224=$A$15)),0,
         IF(OFFSET(CRONOPLE!$F$15,$M224-$A$15,AP$13)=0,10^12,OFFSET(CRONOPLE!$F$15,$M224-$A$15,AP$13)))</f>
        <v>1000000000000</v>
      </c>
      <c r="AQ224" s="171">
        <f ca="1">IF(OR($D224&lt;&gt;"Serviço",AND(AUTOEVENTO="Manual",$M224=$A$15)),0,
         IF(OFFSET(CRONOPLE!$F$15,$M224-$A$15,AQ$13)=0,10^12,OFFSET(CRONOPLE!$F$15,$M224-$A$15,AQ$13)))</f>
        <v>1000000000000</v>
      </c>
      <c r="AR224" s="171">
        <f ca="1">IF(OR($D224&lt;&gt;"Serviço",AND(AUTOEVENTO="Manual",$M224=$A$15)),0,
         IF(OFFSET(CRONOPLE!$F$15,$M224-$A$15,AR$13)=0,10^12,OFFSET(CRONOPLE!$F$15,$M224-$A$15,AR$13)))</f>
        <v>1000000000000</v>
      </c>
      <c r="AS224" s="171">
        <f ca="1">IF(OR($D224&lt;&gt;"Serviço",AND(AUTOEVENTO="Manual",$M224=$A$15)),0,
         IF(OFFSET(CRONOPLE!$F$15,$M224-$A$15,AS$13)=0,10^12,OFFSET(CRONOPLE!$F$15,$M224-$A$15,AS$13)))</f>
        <v>1000000000000</v>
      </c>
      <c r="AT224" s="171">
        <f ca="1">IF(OR($D224&lt;&gt;"Serviço",AND(AUTOEVENTO="Manual",$M224=$A$15)),0,
         IF(OFFSET(CRONOPLE!$F$15,$M224-$A$15,AT$13)=0,10^12,OFFSET(CRONOPLE!$F$15,$M224-$A$15,AT$13)))</f>
        <v>1000000000000</v>
      </c>
      <c r="AU224" s="171">
        <f ca="1">IF(OR($D224&lt;&gt;"Serviço",AND(AUTOEVENTO="Manual",$M224=$A$15)),0,
         IF(OFFSET(CRONOPLE!$F$15,$M224-$A$15,AU$13)=0,10^12,OFFSET(CRONOPLE!$F$15,$M224-$A$15,AU$13)))</f>
        <v>1000000000000</v>
      </c>
      <c r="AV224" s="171">
        <f ca="1">IF(OR($D224&lt;&gt;"Serviço",AND(AUTOEVENTO="Manual",$M224=$A$15)),0,
         IF(OFFSET(CRONOPLE!$F$15,$M224-$A$15,AV$13)=0,10^12,OFFSET(CRONOPLE!$F$15,$M224-$A$15,AV$13)))</f>
        <v>1000000000000</v>
      </c>
      <c r="AX224" s="172" cm="1">
        <f t="array" aca="1" ref="AX224" ca="1">IF(OR($D224&lt;&gt;"Serviço",AND(AUTOEVENTO="Manual",$M224=$A$15),$M224&gt;(ROW(PLE.lastrow)-ROW(PLE.firstrow))),0,
           IF(OFFSET(PLE!$G$15,$M224-$A$15,AX$13)="",10^12,OFFSET(PLE!$G$15,$M224-$A$15,AX$13)))</f>
        <v>1000000000000</v>
      </c>
      <c r="AY224" s="172" cm="1">
        <f t="array" aca="1" ref="AY224" ca="1">IF(OR($D224&lt;&gt;"Serviço",AND(AUTOEVENTO="Manual",$M224=$A$15),$M224&gt;(ROW(PLE.lastrow)-ROW(PLE.firstrow))),0,
           IF(OFFSET(PLE!$G$15,$M224-$A$15,AY$13)="",10^12,OFFSET(PLE!$G$15,$M224-$A$15,AY$13)))</f>
        <v>1000000000000</v>
      </c>
      <c r="AZ224" s="172" cm="1">
        <f t="array" aca="1" ref="AZ224" ca="1">IF(OR($D224&lt;&gt;"Serviço",AND(AUTOEVENTO="Manual",$M224=$A$15),$M224&gt;(ROW(PLE.lastrow)-ROW(PLE.firstrow))),0,
           IF(OFFSET(PLE!$G$15,$M224-$A$15,AZ$13)="",10^12,OFFSET(PLE!$G$15,$M224-$A$15,AZ$13)))</f>
        <v>1000000000000</v>
      </c>
      <c r="BA224" s="172" cm="1">
        <f t="array" aca="1" ref="BA224" ca="1">IF(OR($D224&lt;&gt;"Serviço",AND(AUTOEVENTO="Manual",$M224=$A$15),$M224&gt;(ROW(PLE.lastrow)-ROW(PLE.firstrow))),0,
           IF(OFFSET(PLE!$G$15,$M224-$A$15,BA$13)="",10^12,OFFSET(PLE!$G$15,$M224-$A$15,BA$13)))</f>
        <v>1000000000000</v>
      </c>
      <c r="BB224" s="172" cm="1">
        <f t="array" aca="1" ref="BB224" ca="1">IF(OR($D224&lt;&gt;"Serviço",AND(AUTOEVENTO="Manual",$M224=$A$15),$M224&gt;(ROW(PLE.lastrow)-ROW(PLE.firstrow))),0,
           IF(OFFSET(PLE!$G$15,$M224-$A$15,BB$13)="",10^12,OFFSET(PLE!$G$15,$M224-$A$15,BB$13)))</f>
        <v>1000000000000</v>
      </c>
      <c r="BC224" s="172" cm="1">
        <f t="array" aca="1" ref="BC224" ca="1">IF(OR($D224&lt;&gt;"Serviço",AND(AUTOEVENTO="Manual",$M224=$A$15),$M224&gt;(ROW(PLE.lastrow)-ROW(PLE.firstrow))),0,
           IF(OFFSET(PLE!$G$15,$M224-$A$15,BC$13)="",10^12,OFFSET(PLE!$G$15,$M224-$A$15,BC$13)))</f>
        <v>1000000000000</v>
      </c>
      <c r="BD224" s="172" cm="1">
        <f t="array" aca="1" ref="BD224" ca="1">IF(OR($D224&lt;&gt;"Serviço",AND(AUTOEVENTO="Manual",$M224=$A$15),$M224&gt;(ROW(PLE.lastrow)-ROW(PLE.firstrow))),0,
           IF(OFFSET(PLE!$G$15,$M224-$A$15,BD$13)="",10^12,OFFSET(PLE!$G$15,$M224-$A$15,BD$13)))</f>
        <v>1000000000000</v>
      </c>
      <c r="BE224" s="172" cm="1">
        <f t="array" aca="1" ref="BE224" ca="1">IF(OR($D224&lt;&gt;"Serviço",AND(AUTOEVENTO="Manual",$M224=$A$15),$M224&gt;(ROW(PLE.lastrow)-ROW(PLE.firstrow))),0,
           IF(OFFSET(PLE!$G$15,$M224-$A$15,BE$13)="",10^12,OFFSET(PLE!$G$15,$M224-$A$15,BE$13)))</f>
        <v>1000000000000</v>
      </c>
      <c r="BF224" s="172" cm="1">
        <f t="array" aca="1" ref="BF224" ca="1">IF(OR($D224&lt;&gt;"Serviço",AND(AUTOEVENTO="Manual",$M224=$A$15),$M224&gt;(ROW(PLE.lastrow)-ROW(PLE.firstrow))),0,
           IF(OFFSET(PLE!$G$15,$M224-$A$15,BF$13)="",10^12,OFFSET(PLE!$G$15,$M224-$A$15,BF$13)))</f>
        <v>1000000000000</v>
      </c>
      <c r="BG224" s="172" cm="1">
        <f t="array" aca="1" ref="BG224" ca="1">IF(OR($D224&lt;&gt;"Serviço",AND(AUTOEVENTO="Manual",$M224=$A$15),$M224&gt;(ROW(PLE.lastrow)-ROW(PLE.firstrow))),0,
           IF(OFFSET(PLE!$G$15,$M224-$A$15,BG$13)="",10^12,OFFSET(PLE!$G$15,$M224-$A$15,BG$13)))</f>
        <v>1000000000000</v>
      </c>
    </row>
    <row r="225" spans="1:59" ht="25.5" x14ac:dyDescent="0.2">
      <c r="A225" s="7" t="str">
        <f t="shared" ca="1" si="8"/>
        <v>207</v>
      </c>
      <c r="B225" s="7" t="str">
        <f ca="1">OFFSET(ORÇAMENTO!C$15,$L225,0)</f>
        <v>S</v>
      </c>
      <c r="C225" s="7" t="str">
        <f ca="1">OFFSET(ORÇAMENTO!L$15,$L225,0)</f>
        <v>F</v>
      </c>
      <c r="D225" s="116" t="str">
        <f ca="1">OFFSET(ORÇAMENTO!N$15,$L225,0)</f>
        <v>Serviço</v>
      </c>
      <c r="E225" s="117" t="str">
        <f ca="1">OFFSET(ORÇAMENTO!O$15,$L225,0)</f>
        <v>1.12.1.0.2.</v>
      </c>
      <c r="F225" s="163" t="str">
        <f ca="1">OFFSET(ORÇAMENTO!R$15,$L225,0)</f>
        <v>APLICAÇÃO MANUAL DE TINTA LÁTEX ACRÍLICA EM PAREDE EXTERNAS DE CASAS, DUAS DEMÃOS. AF_03/2024</v>
      </c>
      <c r="G225" s="164" t="str">
        <f ca="1">IF($D225&lt;&gt;"Serviço","",OFFSET(ORÇAMENTO!S$15,$L225,0))</f>
        <v>M2</v>
      </c>
      <c r="H225" s="122" cm="1">
        <f t="array" aca="1" ref="H225" ca="1">IF($D225&lt;&gt;"Serviço",0,IF(ACOMPANHAMENTO="BM",ROUND(OFFSET(ORÇAMENTO!AJ$15,$L225,0),15-13*ORÇAMENTO!$AF$7),IF(IFERROR(CÁLCULO.FrentesPreenchidas,0)=0,0,SUM(ROUND(OFFSET($P225,0,1,1,CÁLCULO.FrentesPreenchidas),15-13*ORÇAMENTO!$AF$7)))))</f>
        <v>2545.5</v>
      </c>
      <c r="I225" s="468"/>
      <c r="J225" s="651" t="str" cm="1">
        <f t="array" aca="1" ref="J225" ca="1">IF(OR(B225&lt;&gt;"S",CÁLCULO.FrentesPreenchidas=0),"",IF(AND(ACOMPANHAMENTO="PLE",AUTOEVENTO="Manual",OR(H225&gt;0,ORÇAMENTO!AC225="QUANT."),OR(K225="",M225=0,N225="")),"►E",IF(AND(ACOMPANHAMENTO="PLE",ORÇAMENTO!AC225="QUANT."),"►Q",IF(AND(ACOMPANHAMENTO="PLE",H225&lt;&gt;SUMPRODUCT(($Q$1:$AA$1=1)*ROUND(Q225:AA225,15))),"►S",IF(AND(COUNTIF($P$11:$AA$11,"▼")=0,H225&gt;0,I225=""),"◄M","")))))</f>
        <v/>
      </c>
      <c r="K225" s="652"/>
      <c r="L225" s="165">
        <f t="shared" ca="1" si="9"/>
        <v>210</v>
      </c>
      <c r="M225" s="166">
        <f ca="1">IF($D225&lt;&gt;"Serviço","",
          IF(AUTOEVENTO="manual",$A225,
                IF(ISERROR(MATCH($A225,$A$15:OFFSET($A225,-1,0),0)),MAX($M$15:OFFSET(M225,-1,0))+1,
                      INDEX($M$15:OFFSET(M225,-1,0),MATCH($A225,$A$15:OFFSET($A225,-1,0),0)))))</f>
        <v>12</v>
      </c>
      <c r="N225" s="167" t="str">
        <f ca="1">IF($D225&lt;&gt;"Serviço","",
         IF(AUTOEVENTO="Manual",
                IF($A225=0,"&lt;-- defina o número do agrupador",
                       OFFSET(EVENTOS!$D$15,$A225-$A$15,0)),
                OFFSET($F$15,$A225,0)))</f>
        <v>PINTURAS</v>
      </c>
      <c r="O225" s="168"/>
      <c r="Q225" s="168"/>
      <c r="R225" s="169"/>
      <c r="S225" s="169"/>
      <c r="T225" s="169"/>
      <c r="U225" s="169"/>
      <c r="V225" s="169"/>
      <c r="W225" s="169"/>
      <c r="X225" s="169"/>
      <c r="Y225" s="169"/>
      <c r="Z225" s="170"/>
      <c r="AB225" s="453">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3">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3">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3">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3">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3">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3">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3">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3">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3">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1">
        <f ca="1">IF(OR($D225&lt;&gt;"Serviço",AND(AUTOEVENTO="Manual",$M225=$A$15)),0,
         IF(OFFSET(CRONOPLE!$F$15,$M225-$A$15,AM$13)=0,10^12,OFFSET(CRONOPLE!$F$15,$M225-$A$15,AM$13)))</f>
        <v>1000000000000</v>
      </c>
      <c r="AN225" s="171">
        <f ca="1">IF(OR($D225&lt;&gt;"Serviço",AND(AUTOEVENTO="Manual",$M225=$A$15)),0,
         IF(OFFSET(CRONOPLE!$F$15,$M225-$A$15,AN$13)=0,10^12,OFFSET(CRONOPLE!$F$15,$M225-$A$15,AN$13)))</f>
        <v>1000000000000</v>
      </c>
      <c r="AO225" s="171">
        <f ca="1">IF(OR($D225&lt;&gt;"Serviço",AND(AUTOEVENTO="Manual",$M225=$A$15)),0,
         IF(OFFSET(CRONOPLE!$F$15,$M225-$A$15,AO$13)=0,10^12,OFFSET(CRONOPLE!$F$15,$M225-$A$15,AO$13)))</f>
        <v>1000000000000</v>
      </c>
      <c r="AP225" s="171">
        <f ca="1">IF(OR($D225&lt;&gt;"Serviço",AND(AUTOEVENTO="Manual",$M225=$A$15)),0,
         IF(OFFSET(CRONOPLE!$F$15,$M225-$A$15,AP$13)=0,10^12,OFFSET(CRONOPLE!$F$15,$M225-$A$15,AP$13)))</f>
        <v>1000000000000</v>
      </c>
      <c r="AQ225" s="171">
        <f ca="1">IF(OR($D225&lt;&gt;"Serviço",AND(AUTOEVENTO="Manual",$M225=$A$15)),0,
         IF(OFFSET(CRONOPLE!$F$15,$M225-$A$15,AQ$13)=0,10^12,OFFSET(CRONOPLE!$F$15,$M225-$A$15,AQ$13)))</f>
        <v>1000000000000</v>
      </c>
      <c r="AR225" s="171">
        <f ca="1">IF(OR($D225&lt;&gt;"Serviço",AND(AUTOEVENTO="Manual",$M225=$A$15)),0,
         IF(OFFSET(CRONOPLE!$F$15,$M225-$A$15,AR$13)=0,10^12,OFFSET(CRONOPLE!$F$15,$M225-$A$15,AR$13)))</f>
        <v>1000000000000</v>
      </c>
      <c r="AS225" s="171">
        <f ca="1">IF(OR($D225&lt;&gt;"Serviço",AND(AUTOEVENTO="Manual",$M225=$A$15)),0,
         IF(OFFSET(CRONOPLE!$F$15,$M225-$A$15,AS$13)=0,10^12,OFFSET(CRONOPLE!$F$15,$M225-$A$15,AS$13)))</f>
        <v>1000000000000</v>
      </c>
      <c r="AT225" s="171">
        <f ca="1">IF(OR($D225&lt;&gt;"Serviço",AND(AUTOEVENTO="Manual",$M225=$A$15)),0,
         IF(OFFSET(CRONOPLE!$F$15,$M225-$A$15,AT$13)=0,10^12,OFFSET(CRONOPLE!$F$15,$M225-$A$15,AT$13)))</f>
        <v>1000000000000</v>
      </c>
      <c r="AU225" s="171">
        <f ca="1">IF(OR($D225&lt;&gt;"Serviço",AND(AUTOEVENTO="Manual",$M225=$A$15)),0,
         IF(OFFSET(CRONOPLE!$F$15,$M225-$A$15,AU$13)=0,10^12,OFFSET(CRONOPLE!$F$15,$M225-$A$15,AU$13)))</f>
        <v>1000000000000</v>
      </c>
      <c r="AV225" s="171">
        <f ca="1">IF(OR($D225&lt;&gt;"Serviço",AND(AUTOEVENTO="Manual",$M225=$A$15)),0,
         IF(OFFSET(CRONOPLE!$F$15,$M225-$A$15,AV$13)=0,10^12,OFFSET(CRONOPLE!$F$15,$M225-$A$15,AV$13)))</f>
        <v>1000000000000</v>
      </c>
      <c r="AX225" s="172" cm="1">
        <f t="array" aca="1" ref="AX225" ca="1">IF(OR($D225&lt;&gt;"Serviço",AND(AUTOEVENTO="Manual",$M225=$A$15),$M225&gt;(ROW(PLE.lastrow)-ROW(PLE.firstrow))),0,
           IF(OFFSET(PLE!$G$15,$M225-$A$15,AX$13)="",10^12,OFFSET(PLE!$G$15,$M225-$A$15,AX$13)))</f>
        <v>1000000000000</v>
      </c>
      <c r="AY225" s="172" cm="1">
        <f t="array" aca="1" ref="AY225" ca="1">IF(OR($D225&lt;&gt;"Serviço",AND(AUTOEVENTO="Manual",$M225=$A$15),$M225&gt;(ROW(PLE.lastrow)-ROW(PLE.firstrow))),0,
           IF(OFFSET(PLE!$G$15,$M225-$A$15,AY$13)="",10^12,OFFSET(PLE!$G$15,$M225-$A$15,AY$13)))</f>
        <v>1000000000000</v>
      </c>
      <c r="AZ225" s="172" cm="1">
        <f t="array" aca="1" ref="AZ225" ca="1">IF(OR($D225&lt;&gt;"Serviço",AND(AUTOEVENTO="Manual",$M225=$A$15),$M225&gt;(ROW(PLE.lastrow)-ROW(PLE.firstrow))),0,
           IF(OFFSET(PLE!$G$15,$M225-$A$15,AZ$13)="",10^12,OFFSET(PLE!$G$15,$M225-$A$15,AZ$13)))</f>
        <v>1000000000000</v>
      </c>
      <c r="BA225" s="172" cm="1">
        <f t="array" aca="1" ref="BA225" ca="1">IF(OR($D225&lt;&gt;"Serviço",AND(AUTOEVENTO="Manual",$M225=$A$15),$M225&gt;(ROW(PLE.lastrow)-ROW(PLE.firstrow))),0,
           IF(OFFSET(PLE!$G$15,$M225-$A$15,BA$13)="",10^12,OFFSET(PLE!$G$15,$M225-$A$15,BA$13)))</f>
        <v>1000000000000</v>
      </c>
      <c r="BB225" s="172" cm="1">
        <f t="array" aca="1" ref="BB225" ca="1">IF(OR($D225&lt;&gt;"Serviço",AND(AUTOEVENTO="Manual",$M225=$A$15),$M225&gt;(ROW(PLE.lastrow)-ROW(PLE.firstrow))),0,
           IF(OFFSET(PLE!$G$15,$M225-$A$15,BB$13)="",10^12,OFFSET(PLE!$G$15,$M225-$A$15,BB$13)))</f>
        <v>1000000000000</v>
      </c>
      <c r="BC225" s="172" cm="1">
        <f t="array" aca="1" ref="BC225" ca="1">IF(OR($D225&lt;&gt;"Serviço",AND(AUTOEVENTO="Manual",$M225=$A$15),$M225&gt;(ROW(PLE.lastrow)-ROW(PLE.firstrow))),0,
           IF(OFFSET(PLE!$G$15,$M225-$A$15,BC$13)="",10^12,OFFSET(PLE!$G$15,$M225-$A$15,BC$13)))</f>
        <v>1000000000000</v>
      </c>
      <c r="BD225" s="172" cm="1">
        <f t="array" aca="1" ref="BD225" ca="1">IF(OR($D225&lt;&gt;"Serviço",AND(AUTOEVENTO="Manual",$M225=$A$15),$M225&gt;(ROW(PLE.lastrow)-ROW(PLE.firstrow))),0,
           IF(OFFSET(PLE!$G$15,$M225-$A$15,BD$13)="",10^12,OFFSET(PLE!$G$15,$M225-$A$15,BD$13)))</f>
        <v>1000000000000</v>
      </c>
      <c r="BE225" s="172" cm="1">
        <f t="array" aca="1" ref="BE225" ca="1">IF(OR($D225&lt;&gt;"Serviço",AND(AUTOEVENTO="Manual",$M225=$A$15),$M225&gt;(ROW(PLE.lastrow)-ROW(PLE.firstrow))),0,
           IF(OFFSET(PLE!$G$15,$M225-$A$15,BE$13)="",10^12,OFFSET(PLE!$G$15,$M225-$A$15,BE$13)))</f>
        <v>1000000000000</v>
      </c>
      <c r="BF225" s="172" cm="1">
        <f t="array" aca="1" ref="BF225" ca="1">IF(OR($D225&lt;&gt;"Serviço",AND(AUTOEVENTO="Manual",$M225=$A$15),$M225&gt;(ROW(PLE.lastrow)-ROW(PLE.firstrow))),0,
           IF(OFFSET(PLE!$G$15,$M225-$A$15,BF$13)="",10^12,OFFSET(PLE!$G$15,$M225-$A$15,BF$13)))</f>
        <v>1000000000000</v>
      </c>
      <c r="BG225" s="172" cm="1">
        <f t="array" aca="1" ref="BG225" ca="1">IF(OR($D225&lt;&gt;"Serviço",AND(AUTOEVENTO="Manual",$M225=$A$15),$M225&gt;(ROW(PLE.lastrow)-ROW(PLE.firstrow))),0,
           IF(OFFSET(PLE!$G$15,$M225-$A$15,BG$13)="",10^12,OFFSET(PLE!$G$15,$M225-$A$15,BG$13)))</f>
        <v>1000000000000</v>
      </c>
    </row>
    <row r="226" spans="1:59" ht="12.75" x14ac:dyDescent="0.2">
      <c r="A226" s="7" t="str">
        <f t="shared" ca="1" si="8"/>
        <v>207</v>
      </c>
      <c r="B226" s="7">
        <f ca="1">OFFSET(ORÇAMENTO!C$15,$L226,0)</f>
        <v>3</v>
      </c>
      <c r="C226" s="7" t="str">
        <f ca="1">OFFSET(ORÇAMENTO!L$15,$L226,0)</f>
        <v>F</v>
      </c>
      <c r="D226" s="116" t="str">
        <f ca="1">OFFSET(ORÇAMENTO!N$15,$L226,0)</f>
        <v>Nível 3</v>
      </c>
      <c r="E226" s="117" t="str">
        <f ca="1">OFFSET(ORÇAMENTO!O$15,$L226,0)</f>
        <v>1.12.2.</v>
      </c>
      <c r="F226" s="163" t="str">
        <f ca="1">OFFSET(ORÇAMENTO!R$15,$L226,0)</f>
        <v>INTERNA</v>
      </c>
      <c r="G226" s="164" t="str">
        <f ca="1">IF($D226&lt;&gt;"Serviço","",OFFSET(ORÇAMENTO!S$15,$L226,0))</f>
        <v/>
      </c>
      <c r="H226" s="122" cm="1">
        <f t="array" aca="1" ref="H226" ca="1">IF($D226&lt;&gt;"Serviço",0,IF(ACOMPANHAMENTO="BM",ROUND(OFFSET(ORÇAMENTO!AJ$15,$L226,0),15-13*ORÇAMENTO!$AF$7),IF(IFERROR(CÁLCULO.FrentesPreenchidas,0)=0,0,SUM(ROUND(OFFSET($P226,0,1,1,CÁLCULO.FrentesPreenchidas),15-13*ORÇAMENTO!$AF$7)))))</f>
        <v>0</v>
      </c>
      <c r="I226" s="468"/>
      <c r="J226" s="651" t="str" cm="1">
        <f t="array" aca="1" ref="J226" ca="1">IF(OR(B226&lt;&gt;"S",CÁLCULO.FrentesPreenchidas=0),"",IF(AND(ACOMPANHAMENTO="PLE",AUTOEVENTO="Manual",OR(H226&gt;0,ORÇAMENTO!AC226="QUANT."),OR(K226="",M226=0,N226="")),"►E",IF(AND(ACOMPANHAMENTO="PLE",ORÇAMENTO!AC226="QUANT."),"►Q",IF(AND(ACOMPANHAMENTO="PLE",H226&lt;&gt;SUMPRODUCT(($Q$1:$AA$1=1)*ROUND(Q226:AA226,15))),"►S",IF(AND(COUNTIF($P$11:$AA$11,"▼")=0,H226&gt;0,I226=""),"◄M","")))))</f>
        <v/>
      </c>
      <c r="K226" s="652"/>
      <c r="L226" s="165">
        <f t="shared" ca="1" si="9"/>
        <v>211</v>
      </c>
      <c r="M226" s="166" t="str">
        <f ca="1">IF($D226&lt;&gt;"Serviço","",
          IF(AUTOEVENTO="manual",$A226,
                IF(ISERROR(MATCH($A226,$A$15:OFFSET($A226,-1,0),0)),MAX($M$15:OFFSET(M226,-1,0))+1,
                      INDEX($M$15:OFFSET(M226,-1,0),MATCH($A226,$A$15:OFFSET($A226,-1,0),0)))))</f>
        <v/>
      </c>
      <c r="N226" s="167" t="str">
        <f ca="1">IF($D226&lt;&gt;"Serviço","",
         IF(AUTOEVENTO="Manual",
                IF($A226=0,"&lt;-- defina o número do agrupador",
                       OFFSET(EVENTOS!$D$15,$A226-$A$15,0)),
                OFFSET($F$15,$A226,0)))</f>
        <v/>
      </c>
      <c r="O226" s="168"/>
      <c r="Q226" s="168"/>
      <c r="R226" s="169"/>
      <c r="S226" s="169"/>
      <c r="T226" s="169"/>
      <c r="U226" s="169"/>
      <c r="V226" s="169"/>
      <c r="W226" s="169"/>
      <c r="X226" s="169"/>
      <c r="Y226" s="169"/>
      <c r="Z226" s="170"/>
      <c r="AB226" s="453">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3">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3">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3">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3">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3">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3">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3">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3">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3">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1">
        <f ca="1">IF(OR($D226&lt;&gt;"Serviço",AND(AUTOEVENTO="Manual",$M226=$A$15)),0,
         IF(OFFSET(CRONOPLE!$F$15,$M226-$A$15,AM$13)=0,10^12,OFFSET(CRONOPLE!$F$15,$M226-$A$15,AM$13)))</f>
        <v>0</v>
      </c>
      <c r="AN226" s="171">
        <f ca="1">IF(OR($D226&lt;&gt;"Serviço",AND(AUTOEVENTO="Manual",$M226=$A$15)),0,
         IF(OFFSET(CRONOPLE!$F$15,$M226-$A$15,AN$13)=0,10^12,OFFSET(CRONOPLE!$F$15,$M226-$A$15,AN$13)))</f>
        <v>0</v>
      </c>
      <c r="AO226" s="171">
        <f ca="1">IF(OR($D226&lt;&gt;"Serviço",AND(AUTOEVENTO="Manual",$M226=$A$15)),0,
         IF(OFFSET(CRONOPLE!$F$15,$M226-$A$15,AO$13)=0,10^12,OFFSET(CRONOPLE!$F$15,$M226-$A$15,AO$13)))</f>
        <v>0</v>
      </c>
      <c r="AP226" s="171">
        <f ca="1">IF(OR($D226&lt;&gt;"Serviço",AND(AUTOEVENTO="Manual",$M226=$A$15)),0,
         IF(OFFSET(CRONOPLE!$F$15,$M226-$A$15,AP$13)=0,10^12,OFFSET(CRONOPLE!$F$15,$M226-$A$15,AP$13)))</f>
        <v>0</v>
      </c>
      <c r="AQ226" s="171">
        <f ca="1">IF(OR($D226&lt;&gt;"Serviço",AND(AUTOEVENTO="Manual",$M226=$A$15)),0,
         IF(OFFSET(CRONOPLE!$F$15,$M226-$A$15,AQ$13)=0,10^12,OFFSET(CRONOPLE!$F$15,$M226-$A$15,AQ$13)))</f>
        <v>0</v>
      </c>
      <c r="AR226" s="171">
        <f ca="1">IF(OR($D226&lt;&gt;"Serviço",AND(AUTOEVENTO="Manual",$M226=$A$15)),0,
         IF(OFFSET(CRONOPLE!$F$15,$M226-$A$15,AR$13)=0,10^12,OFFSET(CRONOPLE!$F$15,$M226-$A$15,AR$13)))</f>
        <v>0</v>
      </c>
      <c r="AS226" s="171">
        <f ca="1">IF(OR($D226&lt;&gt;"Serviço",AND(AUTOEVENTO="Manual",$M226=$A$15)),0,
         IF(OFFSET(CRONOPLE!$F$15,$M226-$A$15,AS$13)=0,10^12,OFFSET(CRONOPLE!$F$15,$M226-$A$15,AS$13)))</f>
        <v>0</v>
      </c>
      <c r="AT226" s="171">
        <f ca="1">IF(OR($D226&lt;&gt;"Serviço",AND(AUTOEVENTO="Manual",$M226=$A$15)),0,
         IF(OFFSET(CRONOPLE!$F$15,$M226-$A$15,AT$13)=0,10^12,OFFSET(CRONOPLE!$F$15,$M226-$A$15,AT$13)))</f>
        <v>0</v>
      </c>
      <c r="AU226" s="171">
        <f ca="1">IF(OR($D226&lt;&gt;"Serviço",AND(AUTOEVENTO="Manual",$M226=$A$15)),0,
         IF(OFFSET(CRONOPLE!$F$15,$M226-$A$15,AU$13)=0,10^12,OFFSET(CRONOPLE!$F$15,$M226-$A$15,AU$13)))</f>
        <v>0</v>
      </c>
      <c r="AV226" s="171">
        <f ca="1">IF(OR($D226&lt;&gt;"Serviço",AND(AUTOEVENTO="Manual",$M226=$A$15)),0,
         IF(OFFSET(CRONOPLE!$F$15,$M226-$A$15,AV$13)=0,10^12,OFFSET(CRONOPLE!$F$15,$M226-$A$15,AV$13)))</f>
        <v>0</v>
      </c>
      <c r="AX226" s="172" cm="1">
        <f t="array" aca="1" ref="AX226" ca="1">IF(OR($D226&lt;&gt;"Serviço",AND(AUTOEVENTO="Manual",$M226=$A$15),$M226&gt;(ROW(PLE.lastrow)-ROW(PLE.firstrow))),0,
           IF(OFFSET(PLE!$G$15,$M226-$A$15,AX$13)="",10^12,OFFSET(PLE!$G$15,$M226-$A$15,AX$13)))</f>
        <v>0</v>
      </c>
      <c r="AY226" s="172" cm="1">
        <f t="array" aca="1" ref="AY226" ca="1">IF(OR($D226&lt;&gt;"Serviço",AND(AUTOEVENTO="Manual",$M226=$A$15),$M226&gt;(ROW(PLE.lastrow)-ROW(PLE.firstrow))),0,
           IF(OFFSET(PLE!$G$15,$M226-$A$15,AY$13)="",10^12,OFFSET(PLE!$G$15,$M226-$A$15,AY$13)))</f>
        <v>0</v>
      </c>
      <c r="AZ226" s="172" cm="1">
        <f t="array" aca="1" ref="AZ226" ca="1">IF(OR($D226&lt;&gt;"Serviço",AND(AUTOEVENTO="Manual",$M226=$A$15),$M226&gt;(ROW(PLE.lastrow)-ROW(PLE.firstrow))),0,
           IF(OFFSET(PLE!$G$15,$M226-$A$15,AZ$13)="",10^12,OFFSET(PLE!$G$15,$M226-$A$15,AZ$13)))</f>
        <v>0</v>
      </c>
      <c r="BA226" s="172" cm="1">
        <f t="array" aca="1" ref="BA226" ca="1">IF(OR($D226&lt;&gt;"Serviço",AND(AUTOEVENTO="Manual",$M226=$A$15),$M226&gt;(ROW(PLE.lastrow)-ROW(PLE.firstrow))),0,
           IF(OFFSET(PLE!$G$15,$M226-$A$15,BA$13)="",10^12,OFFSET(PLE!$G$15,$M226-$A$15,BA$13)))</f>
        <v>0</v>
      </c>
      <c r="BB226" s="172" cm="1">
        <f t="array" aca="1" ref="BB226" ca="1">IF(OR($D226&lt;&gt;"Serviço",AND(AUTOEVENTO="Manual",$M226=$A$15),$M226&gt;(ROW(PLE.lastrow)-ROW(PLE.firstrow))),0,
           IF(OFFSET(PLE!$G$15,$M226-$A$15,BB$13)="",10^12,OFFSET(PLE!$G$15,$M226-$A$15,BB$13)))</f>
        <v>0</v>
      </c>
      <c r="BC226" s="172" cm="1">
        <f t="array" aca="1" ref="BC226" ca="1">IF(OR($D226&lt;&gt;"Serviço",AND(AUTOEVENTO="Manual",$M226=$A$15),$M226&gt;(ROW(PLE.lastrow)-ROW(PLE.firstrow))),0,
           IF(OFFSET(PLE!$G$15,$M226-$A$15,BC$13)="",10^12,OFFSET(PLE!$G$15,$M226-$A$15,BC$13)))</f>
        <v>0</v>
      </c>
      <c r="BD226" s="172" cm="1">
        <f t="array" aca="1" ref="BD226" ca="1">IF(OR($D226&lt;&gt;"Serviço",AND(AUTOEVENTO="Manual",$M226=$A$15),$M226&gt;(ROW(PLE.lastrow)-ROW(PLE.firstrow))),0,
           IF(OFFSET(PLE!$G$15,$M226-$A$15,BD$13)="",10^12,OFFSET(PLE!$G$15,$M226-$A$15,BD$13)))</f>
        <v>0</v>
      </c>
      <c r="BE226" s="172" cm="1">
        <f t="array" aca="1" ref="BE226" ca="1">IF(OR($D226&lt;&gt;"Serviço",AND(AUTOEVENTO="Manual",$M226=$A$15),$M226&gt;(ROW(PLE.lastrow)-ROW(PLE.firstrow))),0,
           IF(OFFSET(PLE!$G$15,$M226-$A$15,BE$13)="",10^12,OFFSET(PLE!$G$15,$M226-$A$15,BE$13)))</f>
        <v>0</v>
      </c>
      <c r="BF226" s="172" cm="1">
        <f t="array" aca="1" ref="BF226" ca="1">IF(OR($D226&lt;&gt;"Serviço",AND(AUTOEVENTO="Manual",$M226=$A$15),$M226&gt;(ROW(PLE.lastrow)-ROW(PLE.firstrow))),0,
           IF(OFFSET(PLE!$G$15,$M226-$A$15,BF$13)="",10^12,OFFSET(PLE!$G$15,$M226-$A$15,BF$13)))</f>
        <v>0</v>
      </c>
      <c r="BG226" s="172" cm="1">
        <f t="array" aca="1" ref="BG226" ca="1">IF(OR($D226&lt;&gt;"Serviço",AND(AUTOEVENTO="Manual",$M226=$A$15),$M226&gt;(ROW(PLE.lastrow)-ROW(PLE.firstrow))),0,
           IF(OFFSET(PLE!$G$15,$M226-$A$15,BG$13)="",10^12,OFFSET(PLE!$G$15,$M226-$A$15,BG$13)))</f>
        <v>0</v>
      </c>
    </row>
    <row r="227" spans="1:59" ht="12.75" x14ac:dyDescent="0.2">
      <c r="A227" s="7" t="str">
        <f t="shared" ca="1" si="8"/>
        <v>207</v>
      </c>
      <c r="B227" s="7">
        <f ca="1">OFFSET(ORÇAMENTO!C$15,$L227,0)</f>
        <v>4</v>
      </c>
      <c r="C227" s="7" t="str">
        <f ca="1">OFFSET(ORÇAMENTO!L$15,$L227,0)</f>
        <v>F</v>
      </c>
      <c r="D227" s="116" t="str">
        <f ca="1">OFFSET(ORÇAMENTO!N$15,$L227,0)</f>
        <v>Nível 4</v>
      </c>
      <c r="E227" s="117" t="str">
        <f ca="1">OFFSET(ORÇAMENTO!O$15,$L227,0)</f>
        <v>1.12.2.1.</v>
      </c>
      <c r="F227" s="163" t="str">
        <f ca="1">OFFSET(ORÇAMENTO!R$15,$L227,0)</f>
        <v>PAREDES</v>
      </c>
      <c r="G227" s="164" t="str">
        <f ca="1">IF($D227&lt;&gt;"Serviço","",OFFSET(ORÇAMENTO!S$15,$L227,0))</f>
        <v/>
      </c>
      <c r="H227" s="122" cm="1">
        <f t="array" aca="1" ref="H227" ca="1">IF($D227&lt;&gt;"Serviço",0,IF(ACOMPANHAMENTO="BM",ROUND(OFFSET(ORÇAMENTO!AJ$15,$L227,0),15-13*ORÇAMENTO!$AF$7),IF(IFERROR(CÁLCULO.FrentesPreenchidas,0)=0,0,SUM(ROUND(OFFSET($P227,0,1,1,CÁLCULO.FrentesPreenchidas),15-13*ORÇAMENTO!$AF$7)))))</f>
        <v>0</v>
      </c>
      <c r="I227" s="468"/>
      <c r="J227" s="651" t="str" cm="1">
        <f t="array" aca="1" ref="J227" ca="1">IF(OR(B227&lt;&gt;"S",CÁLCULO.FrentesPreenchidas=0),"",IF(AND(ACOMPANHAMENTO="PLE",AUTOEVENTO="Manual",OR(H227&gt;0,ORÇAMENTO!AC227="QUANT."),OR(K227="",M227=0,N227="")),"►E",IF(AND(ACOMPANHAMENTO="PLE",ORÇAMENTO!AC227="QUANT."),"►Q",IF(AND(ACOMPANHAMENTO="PLE",H227&lt;&gt;SUMPRODUCT(($Q$1:$AA$1=1)*ROUND(Q227:AA227,15))),"►S",IF(AND(COUNTIF($P$11:$AA$11,"▼")=0,H227&gt;0,I227=""),"◄M","")))))</f>
        <v/>
      </c>
      <c r="K227" s="652"/>
      <c r="L227" s="165">
        <f t="shared" ca="1" si="9"/>
        <v>212</v>
      </c>
      <c r="M227" s="166" t="str">
        <f ca="1">IF($D227&lt;&gt;"Serviço","",
          IF(AUTOEVENTO="manual",$A227,
                IF(ISERROR(MATCH($A227,$A$15:OFFSET($A227,-1,0),0)),MAX($M$15:OFFSET(M227,-1,0))+1,
                      INDEX($M$15:OFFSET(M227,-1,0),MATCH($A227,$A$15:OFFSET($A227,-1,0),0)))))</f>
        <v/>
      </c>
      <c r="N227" s="167" t="str">
        <f ca="1">IF($D227&lt;&gt;"Serviço","",
         IF(AUTOEVENTO="Manual",
                IF($A227=0,"&lt;-- defina o número do agrupador",
                       OFFSET(EVENTOS!$D$15,$A227-$A$15,0)),
                OFFSET($F$15,$A227,0)))</f>
        <v/>
      </c>
      <c r="O227" s="168"/>
      <c r="Q227" s="168"/>
      <c r="R227" s="169"/>
      <c r="S227" s="169"/>
      <c r="T227" s="169"/>
      <c r="U227" s="169"/>
      <c r="V227" s="169"/>
      <c r="W227" s="169"/>
      <c r="X227" s="169"/>
      <c r="Y227" s="169"/>
      <c r="Z227" s="170"/>
      <c r="AB227" s="453">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3">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3">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3">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3">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3">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3">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3">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3">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3">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1">
        <f ca="1">IF(OR($D227&lt;&gt;"Serviço",AND(AUTOEVENTO="Manual",$M227=$A$15)),0,
         IF(OFFSET(CRONOPLE!$F$15,$M227-$A$15,AM$13)=0,10^12,OFFSET(CRONOPLE!$F$15,$M227-$A$15,AM$13)))</f>
        <v>0</v>
      </c>
      <c r="AN227" s="171">
        <f ca="1">IF(OR($D227&lt;&gt;"Serviço",AND(AUTOEVENTO="Manual",$M227=$A$15)),0,
         IF(OFFSET(CRONOPLE!$F$15,$M227-$A$15,AN$13)=0,10^12,OFFSET(CRONOPLE!$F$15,$M227-$A$15,AN$13)))</f>
        <v>0</v>
      </c>
      <c r="AO227" s="171">
        <f ca="1">IF(OR($D227&lt;&gt;"Serviço",AND(AUTOEVENTO="Manual",$M227=$A$15)),0,
         IF(OFFSET(CRONOPLE!$F$15,$M227-$A$15,AO$13)=0,10^12,OFFSET(CRONOPLE!$F$15,$M227-$A$15,AO$13)))</f>
        <v>0</v>
      </c>
      <c r="AP227" s="171">
        <f ca="1">IF(OR($D227&lt;&gt;"Serviço",AND(AUTOEVENTO="Manual",$M227=$A$15)),0,
         IF(OFFSET(CRONOPLE!$F$15,$M227-$A$15,AP$13)=0,10^12,OFFSET(CRONOPLE!$F$15,$M227-$A$15,AP$13)))</f>
        <v>0</v>
      </c>
      <c r="AQ227" s="171">
        <f ca="1">IF(OR($D227&lt;&gt;"Serviço",AND(AUTOEVENTO="Manual",$M227=$A$15)),0,
         IF(OFFSET(CRONOPLE!$F$15,$M227-$A$15,AQ$13)=0,10^12,OFFSET(CRONOPLE!$F$15,$M227-$A$15,AQ$13)))</f>
        <v>0</v>
      </c>
      <c r="AR227" s="171">
        <f ca="1">IF(OR($D227&lt;&gt;"Serviço",AND(AUTOEVENTO="Manual",$M227=$A$15)),0,
         IF(OFFSET(CRONOPLE!$F$15,$M227-$A$15,AR$13)=0,10^12,OFFSET(CRONOPLE!$F$15,$M227-$A$15,AR$13)))</f>
        <v>0</v>
      </c>
      <c r="AS227" s="171">
        <f ca="1">IF(OR($D227&lt;&gt;"Serviço",AND(AUTOEVENTO="Manual",$M227=$A$15)),0,
         IF(OFFSET(CRONOPLE!$F$15,$M227-$A$15,AS$13)=0,10^12,OFFSET(CRONOPLE!$F$15,$M227-$A$15,AS$13)))</f>
        <v>0</v>
      </c>
      <c r="AT227" s="171">
        <f ca="1">IF(OR($D227&lt;&gt;"Serviço",AND(AUTOEVENTO="Manual",$M227=$A$15)),0,
         IF(OFFSET(CRONOPLE!$F$15,$M227-$A$15,AT$13)=0,10^12,OFFSET(CRONOPLE!$F$15,$M227-$A$15,AT$13)))</f>
        <v>0</v>
      </c>
      <c r="AU227" s="171">
        <f ca="1">IF(OR($D227&lt;&gt;"Serviço",AND(AUTOEVENTO="Manual",$M227=$A$15)),0,
         IF(OFFSET(CRONOPLE!$F$15,$M227-$A$15,AU$13)=0,10^12,OFFSET(CRONOPLE!$F$15,$M227-$A$15,AU$13)))</f>
        <v>0</v>
      </c>
      <c r="AV227" s="171">
        <f ca="1">IF(OR($D227&lt;&gt;"Serviço",AND(AUTOEVENTO="Manual",$M227=$A$15)),0,
         IF(OFFSET(CRONOPLE!$F$15,$M227-$A$15,AV$13)=0,10^12,OFFSET(CRONOPLE!$F$15,$M227-$A$15,AV$13)))</f>
        <v>0</v>
      </c>
      <c r="AX227" s="172" cm="1">
        <f t="array" aca="1" ref="AX227" ca="1">IF(OR($D227&lt;&gt;"Serviço",AND(AUTOEVENTO="Manual",$M227=$A$15),$M227&gt;(ROW(PLE.lastrow)-ROW(PLE.firstrow))),0,
           IF(OFFSET(PLE!$G$15,$M227-$A$15,AX$13)="",10^12,OFFSET(PLE!$G$15,$M227-$A$15,AX$13)))</f>
        <v>0</v>
      </c>
      <c r="AY227" s="172" cm="1">
        <f t="array" aca="1" ref="AY227" ca="1">IF(OR($D227&lt;&gt;"Serviço",AND(AUTOEVENTO="Manual",$M227=$A$15),$M227&gt;(ROW(PLE.lastrow)-ROW(PLE.firstrow))),0,
           IF(OFFSET(PLE!$G$15,$M227-$A$15,AY$13)="",10^12,OFFSET(PLE!$G$15,$M227-$A$15,AY$13)))</f>
        <v>0</v>
      </c>
      <c r="AZ227" s="172" cm="1">
        <f t="array" aca="1" ref="AZ227" ca="1">IF(OR($D227&lt;&gt;"Serviço",AND(AUTOEVENTO="Manual",$M227=$A$15),$M227&gt;(ROW(PLE.lastrow)-ROW(PLE.firstrow))),0,
           IF(OFFSET(PLE!$G$15,$M227-$A$15,AZ$13)="",10^12,OFFSET(PLE!$G$15,$M227-$A$15,AZ$13)))</f>
        <v>0</v>
      </c>
      <c r="BA227" s="172" cm="1">
        <f t="array" aca="1" ref="BA227" ca="1">IF(OR($D227&lt;&gt;"Serviço",AND(AUTOEVENTO="Manual",$M227=$A$15),$M227&gt;(ROW(PLE.lastrow)-ROW(PLE.firstrow))),0,
           IF(OFFSET(PLE!$G$15,$M227-$A$15,BA$13)="",10^12,OFFSET(PLE!$G$15,$M227-$A$15,BA$13)))</f>
        <v>0</v>
      </c>
      <c r="BB227" s="172" cm="1">
        <f t="array" aca="1" ref="BB227" ca="1">IF(OR($D227&lt;&gt;"Serviço",AND(AUTOEVENTO="Manual",$M227=$A$15),$M227&gt;(ROW(PLE.lastrow)-ROW(PLE.firstrow))),0,
           IF(OFFSET(PLE!$G$15,$M227-$A$15,BB$13)="",10^12,OFFSET(PLE!$G$15,$M227-$A$15,BB$13)))</f>
        <v>0</v>
      </c>
      <c r="BC227" s="172" cm="1">
        <f t="array" aca="1" ref="BC227" ca="1">IF(OR($D227&lt;&gt;"Serviço",AND(AUTOEVENTO="Manual",$M227=$A$15),$M227&gt;(ROW(PLE.lastrow)-ROW(PLE.firstrow))),0,
           IF(OFFSET(PLE!$G$15,$M227-$A$15,BC$13)="",10^12,OFFSET(PLE!$G$15,$M227-$A$15,BC$13)))</f>
        <v>0</v>
      </c>
      <c r="BD227" s="172" cm="1">
        <f t="array" aca="1" ref="BD227" ca="1">IF(OR($D227&lt;&gt;"Serviço",AND(AUTOEVENTO="Manual",$M227=$A$15),$M227&gt;(ROW(PLE.lastrow)-ROW(PLE.firstrow))),0,
           IF(OFFSET(PLE!$G$15,$M227-$A$15,BD$13)="",10^12,OFFSET(PLE!$G$15,$M227-$A$15,BD$13)))</f>
        <v>0</v>
      </c>
      <c r="BE227" s="172" cm="1">
        <f t="array" aca="1" ref="BE227" ca="1">IF(OR($D227&lt;&gt;"Serviço",AND(AUTOEVENTO="Manual",$M227=$A$15),$M227&gt;(ROW(PLE.lastrow)-ROW(PLE.firstrow))),0,
           IF(OFFSET(PLE!$G$15,$M227-$A$15,BE$13)="",10^12,OFFSET(PLE!$G$15,$M227-$A$15,BE$13)))</f>
        <v>0</v>
      </c>
      <c r="BF227" s="172" cm="1">
        <f t="array" aca="1" ref="BF227" ca="1">IF(OR($D227&lt;&gt;"Serviço",AND(AUTOEVENTO="Manual",$M227=$A$15),$M227&gt;(ROW(PLE.lastrow)-ROW(PLE.firstrow))),0,
           IF(OFFSET(PLE!$G$15,$M227-$A$15,BF$13)="",10^12,OFFSET(PLE!$G$15,$M227-$A$15,BF$13)))</f>
        <v>0</v>
      </c>
      <c r="BG227" s="172" cm="1">
        <f t="array" aca="1" ref="BG227" ca="1">IF(OR($D227&lt;&gt;"Serviço",AND(AUTOEVENTO="Manual",$M227=$A$15),$M227&gt;(ROW(PLE.lastrow)-ROW(PLE.firstrow))),0,
           IF(OFFSET(PLE!$G$15,$M227-$A$15,BG$13)="",10^12,OFFSET(PLE!$G$15,$M227-$A$15,BG$13)))</f>
        <v>0</v>
      </c>
    </row>
    <row r="228" spans="1:59" ht="25.5" x14ac:dyDescent="0.2">
      <c r="A228" s="7" t="str">
        <f t="shared" ca="1" si="8"/>
        <v>207</v>
      </c>
      <c r="B228" s="7" t="str">
        <f ca="1">OFFSET(ORÇAMENTO!C$15,$L228,0)</f>
        <v>S</v>
      </c>
      <c r="C228" s="7" t="str">
        <f ca="1">OFFSET(ORÇAMENTO!L$15,$L228,0)</f>
        <v>F</v>
      </c>
      <c r="D228" s="116" t="str">
        <f ca="1">OFFSET(ORÇAMENTO!N$15,$L228,0)</f>
        <v>Serviço</v>
      </c>
      <c r="E228" s="117" t="str">
        <f ca="1">OFFSET(ORÇAMENTO!O$15,$L228,0)</f>
        <v>1.12.2.1.1.</v>
      </c>
      <c r="F228" s="163" t="str">
        <f ca="1">OFFSET(ORÇAMENTO!R$15,$L228,0)</f>
        <v>FUNDO SELADOR ACRÍLICO, APLICAÇÃO MANUAL EM PAREDE, UMA DEMÃO. AF_04/2023</v>
      </c>
      <c r="G228" s="164" t="str">
        <f ca="1">IF($D228&lt;&gt;"Serviço","",OFFSET(ORÇAMENTO!S$15,$L228,0))</f>
        <v>M2</v>
      </c>
      <c r="H228" s="122" cm="1">
        <f t="array" aca="1" ref="H228" ca="1">IF($D228&lt;&gt;"Serviço",0,IF(ACOMPANHAMENTO="BM",ROUND(OFFSET(ORÇAMENTO!AJ$15,$L228,0),15-13*ORÇAMENTO!$AF$7),IF(IFERROR(CÁLCULO.FrentesPreenchidas,0)=0,0,SUM(ROUND(OFFSET($P228,0,1,1,CÁLCULO.FrentesPreenchidas),15-13*ORÇAMENTO!$AF$7)))))</f>
        <v>2987.1</v>
      </c>
      <c r="I228" s="468"/>
      <c r="J228" s="651" t="str" cm="1">
        <f t="array" aca="1" ref="J228" ca="1">IF(OR(B228&lt;&gt;"S",CÁLCULO.FrentesPreenchidas=0),"",IF(AND(ACOMPANHAMENTO="PLE",AUTOEVENTO="Manual",OR(H228&gt;0,ORÇAMENTO!AC228="QUANT."),OR(K228="",M228=0,N228="")),"►E",IF(AND(ACOMPANHAMENTO="PLE",ORÇAMENTO!AC228="QUANT."),"►Q",IF(AND(ACOMPANHAMENTO="PLE",H228&lt;&gt;SUMPRODUCT(($Q$1:$AA$1=1)*ROUND(Q228:AA228,15))),"►S",IF(AND(COUNTIF($P$11:$AA$11,"▼")=0,H228&gt;0,I228=""),"◄M","")))))</f>
        <v/>
      </c>
      <c r="K228" s="652"/>
      <c r="L228" s="165">
        <f t="shared" ca="1" si="9"/>
        <v>213</v>
      </c>
      <c r="M228" s="166">
        <f ca="1">IF($D228&lt;&gt;"Serviço","",
          IF(AUTOEVENTO="manual",$A228,
                IF(ISERROR(MATCH($A228,$A$15:OFFSET($A228,-1,0),0)),MAX($M$15:OFFSET(M228,-1,0))+1,
                      INDEX($M$15:OFFSET(M228,-1,0),MATCH($A228,$A$15:OFFSET($A228,-1,0),0)))))</f>
        <v>12</v>
      </c>
      <c r="N228" s="167" t="str">
        <f ca="1">IF($D228&lt;&gt;"Serviço","",
         IF(AUTOEVENTO="Manual",
                IF($A228=0,"&lt;-- defina o número do agrupador",
                       OFFSET(EVENTOS!$D$15,$A228-$A$15,0)),
                OFFSET($F$15,$A228,0)))</f>
        <v>PINTURAS</v>
      </c>
      <c r="O228" s="168"/>
      <c r="Q228" s="168"/>
      <c r="R228" s="169"/>
      <c r="S228" s="169"/>
      <c r="T228" s="169"/>
      <c r="U228" s="169"/>
      <c r="V228" s="169"/>
      <c r="W228" s="169"/>
      <c r="X228" s="169"/>
      <c r="Y228" s="169"/>
      <c r="Z228" s="170"/>
      <c r="AB228" s="453">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3">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3">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3">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3">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3">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3">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3">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3">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3">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1">
        <f ca="1">IF(OR($D228&lt;&gt;"Serviço",AND(AUTOEVENTO="Manual",$M228=$A$15)),0,
         IF(OFFSET(CRONOPLE!$F$15,$M228-$A$15,AM$13)=0,10^12,OFFSET(CRONOPLE!$F$15,$M228-$A$15,AM$13)))</f>
        <v>1000000000000</v>
      </c>
      <c r="AN228" s="171">
        <f ca="1">IF(OR($D228&lt;&gt;"Serviço",AND(AUTOEVENTO="Manual",$M228=$A$15)),0,
         IF(OFFSET(CRONOPLE!$F$15,$M228-$A$15,AN$13)=0,10^12,OFFSET(CRONOPLE!$F$15,$M228-$A$15,AN$13)))</f>
        <v>1000000000000</v>
      </c>
      <c r="AO228" s="171">
        <f ca="1">IF(OR($D228&lt;&gt;"Serviço",AND(AUTOEVENTO="Manual",$M228=$A$15)),0,
         IF(OFFSET(CRONOPLE!$F$15,$M228-$A$15,AO$13)=0,10^12,OFFSET(CRONOPLE!$F$15,$M228-$A$15,AO$13)))</f>
        <v>1000000000000</v>
      </c>
      <c r="AP228" s="171">
        <f ca="1">IF(OR($D228&lt;&gt;"Serviço",AND(AUTOEVENTO="Manual",$M228=$A$15)),0,
         IF(OFFSET(CRONOPLE!$F$15,$M228-$A$15,AP$13)=0,10^12,OFFSET(CRONOPLE!$F$15,$M228-$A$15,AP$13)))</f>
        <v>1000000000000</v>
      </c>
      <c r="AQ228" s="171">
        <f ca="1">IF(OR($D228&lt;&gt;"Serviço",AND(AUTOEVENTO="Manual",$M228=$A$15)),0,
         IF(OFFSET(CRONOPLE!$F$15,$M228-$A$15,AQ$13)=0,10^12,OFFSET(CRONOPLE!$F$15,$M228-$A$15,AQ$13)))</f>
        <v>1000000000000</v>
      </c>
      <c r="AR228" s="171">
        <f ca="1">IF(OR($D228&lt;&gt;"Serviço",AND(AUTOEVENTO="Manual",$M228=$A$15)),0,
         IF(OFFSET(CRONOPLE!$F$15,$M228-$A$15,AR$13)=0,10^12,OFFSET(CRONOPLE!$F$15,$M228-$A$15,AR$13)))</f>
        <v>1000000000000</v>
      </c>
      <c r="AS228" s="171">
        <f ca="1">IF(OR($D228&lt;&gt;"Serviço",AND(AUTOEVENTO="Manual",$M228=$A$15)),0,
         IF(OFFSET(CRONOPLE!$F$15,$M228-$A$15,AS$13)=0,10^12,OFFSET(CRONOPLE!$F$15,$M228-$A$15,AS$13)))</f>
        <v>1000000000000</v>
      </c>
      <c r="AT228" s="171">
        <f ca="1">IF(OR($D228&lt;&gt;"Serviço",AND(AUTOEVENTO="Manual",$M228=$A$15)),0,
         IF(OFFSET(CRONOPLE!$F$15,$M228-$A$15,AT$13)=0,10^12,OFFSET(CRONOPLE!$F$15,$M228-$A$15,AT$13)))</f>
        <v>1000000000000</v>
      </c>
      <c r="AU228" s="171">
        <f ca="1">IF(OR($D228&lt;&gt;"Serviço",AND(AUTOEVENTO="Manual",$M228=$A$15)),0,
         IF(OFFSET(CRONOPLE!$F$15,$M228-$A$15,AU$13)=0,10^12,OFFSET(CRONOPLE!$F$15,$M228-$A$15,AU$13)))</f>
        <v>1000000000000</v>
      </c>
      <c r="AV228" s="171">
        <f ca="1">IF(OR($D228&lt;&gt;"Serviço",AND(AUTOEVENTO="Manual",$M228=$A$15)),0,
         IF(OFFSET(CRONOPLE!$F$15,$M228-$A$15,AV$13)=0,10^12,OFFSET(CRONOPLE!$F$15,$M228-$A$15,AV$13)))</f>
        <v>1000000000000</v>
      </c>
      <c r="AX228" s="172" cm="1">
        <f t="array" aca="1" ref="AX228" ca="1">IF(OR($D228&lt;&gt;"Serviço",AND(AUTOEVENTO="Manual",$M228=$A$15),$M228&gt;(ROW(PLE.lastrow)-ROW(PLE.firstrow))),0,
           IF(OFFSET(PLE!$G$15,$M228-$A$15,AX$13)="",10^12,OFFSET(PLE!$G$15,$M228-$A$15,AX$13)))</f>
        <v>1000000000000</v>
      </c>
      <c r="AY228" s="172" cm="1">
        <f t="array" aca="1" ref="AY228" ca="1">IF(OR($D228&lt;&gt;"Serviço",AND(AUTOEVENTO="Manual",$M228=$A$15),$M228&gt;(ROW(PLE.lastrow)-ROW(PLE.firstrow))),0,
           IF(OFFSET(PLE!$G$15,$M228-$A$15,AY$13)="",10^12,OFFSET(PLE!$G$15,$M228-$A$15,AY$13)))</f>
        <v>1000000000000</v>
      </c>
      <c r="AZ228" s="172" cm="1">
        <f t="array" aca="1" ref="AZ228" ca="1">IF(OR($D228&lt;&gt;"Serviço",AND(AUTOEVENTO="Manual",$M228=$A$15),$M228&gt;(ROW(PLE.lastrow)-ROW(PLE.firstrow))),0,
           IF(OFFSET(PLE!$G$15,$M228-$A$15,AZ$13)="",10^12,OFFSET(PLE!$G$15,$M228-$A$15,AZ$13)))</f>
        <v>1000000000000</v>
      </c>
      <c r="BA228" s="172" cm="1">
        <f t="array" aca="1" ref="BA228" ca="1">IF(OR($D228&lt;&gt;"Serviço",AND(AUTOEVENTO="Manual",$M228=$A$15),$M228&gt;(ROW(PLE.lastrow)-ROW(PLE.firstrow))),0,
           IF(OFFSET(PLE!$G$15,$M228-$A$15,BA$13)="",10^12,OFFSET(PLE!$G$15,$M228-$A$15,BA$13)))</f>
        <v>1000000000000</v>
      </c>
      <c r="BB228" s="172" cm="1">
        <f t="array" aca="1" ref="BB228" ca="1">IF(OR($D228&lt;&gt;"Serviço",AND(AUTOEVENTO="Manual",$M228=$A$15),$M228&gt;(ROW(PLE.lastrow)-ROW(PLE.firstrow))),0,
           IF(OFFSET(PLE!$G$15,$M228-$A$15,BB$13)="",10^12,OFFSET(PLE!$G$15,$M228-$A$15,BB$13)))</f>
        <v>1000000000000</v>
      </c>
      <c r="BC228" s="172" cm="1">
        <f t="array" aca="1" ref="BC228" ca="1">IF(OR($D228&lt;&gt;"Serviço",AND(AUTOEVENTO="Manual",$M228=$A$15),$M228&gt;(ROW(PLE.lastrow)-ROW(PLE.firstrow))),0,
           IF(OFFSET(PLE!$G$15,$M228-$A$15,BC$13)="",10^12,OFFSET(PLE!$G$15,$M228-$A$15,BC$13)))</f>
        <v>1000000000000</v>
      </c>
      <c r="BD228" s="172" cm="1">
        <f t="array" aca="1" ref="BD228" ca="1">IF(OR($D228&lt;&gt;"Serviço",AND(AUTOEVENTO="Manual",$M228=$A$15),$M228&gt;(ROW(PLE.lastrow)-ROW(PLE.firstrow))),0,
           IF(OFFSET(PLE!$G$15,$M228-$A$15,BD$13)="",10^12,OFFSET(PLE!$G$15,$M228-$A$15,BD$13)))</f>
        <v>1000000000000</v>
      </c>
      <c r="BE228" s="172" cm="1">
        <f t="array" aca="1" ref="BE228" ca="1">IF(OR($D228&lt;&gt;"Serviço",AND(AUTOEVENTO="Manual",$M228=$A$15),$M228&gt;(ROW(PLE.lastrow)-ROW(PLE.firstrow))),0,
           IF(OFFSET(PLE!$G$15,$M228-$A$15,BE$13)="",10^12,OFFSET(PLE!$G$15,$M228-$A$15,BE$13)))</f>
        <v>1000000000000</v>
      </c>
      <c r="BF228" s="172" cm="1">
        <f t="array" aca="1" ref="BF228" ca="1">IF(OR($D228&lt;&gt;"Serviço",AND(AUTOEVENTO="Manual",$M228=$A$15),$M228&gt;(ROW(PLE.lastrow)-ROW(PLE.firstrow))),0,
           IF(OFFSET(PLE!$G$15,$M228-$A$15,BF$13)="",10^12,OFFSET(PLE!$G$15,$M228-$A$15,BF$13)))</f>
        <v>1000000000000</v>
      </c>
      <c r="BG228" s="172" cm="1">
        <f t="array" aca="1" ref="BG228" ca="1">IF(OR($D228&lt;&gt;"Serviço",AND(AUTOEVENTO="Manual",$M228=$A$15),$M228&gt;(ROW(PLE.lastrow)-ROW(PLE.firstrow))),0,
           IF(OFFSET(PLE!$G$15,$M228-$A$15,BG$13)="",10^12,OFFSET(PLE!$G$15,$M228-$A$15,BG$13)))</f>
        <v>1000000000000</v>
      </c>
    </row>
    <row r="229" spans="1:59" ht="25.5" x14ac:dyDescent="0.2">
      <c r="A229" s="7" t="str">
        <f t="shared" ca="1" si="8"/>
        <v>207</v>
      </c>
      <c r="B229" s="7" t="str">
        <f ca="1">OFFSET(ORÇAMENTO!C$15,$L229,0)</f>
        <v>S</v>
      </c>
      <c r="C229" s="7" t="str">
        <f ca="1">OFFSET(ORÇAMENTO!L$15,$L229,0)</f>
        <v>F</v>
      </c>
      <c r="D229" s="116" t="str">
        <f ca="1">OFFSET(ORÇAMENTO!N$15,$L229,0)</f>
        <v>Serviço</v>
      </c>
      <c r="E229" s="117" t="str">
        <f ca="1">OFFSET(ORÇAMENTO!O$15,$L229,0)</f>
        <v>1.12.2.1.2.</v>
      </c>
      <c r="F229" s="163" t="str">
        <f ca="1">OFFSET(ORÇAMENTO!R$15,$L229,0)</f>
        <v>PINTURA LÁTEX ACRÍLICA ECONÔMICA, APLICAÇÃO MANUAL EM PAREDES, DUAS DEMÃOS. AF_04/2023</v>
      </c>
      <c r="G229" s="164" t="str">
        <f ca="1">IF($D229&lt;&gt;"Serviço","",OFFSET(ORÇAMENTO!S$15,$L229,0))</f>
        <v>M2</v>
      </c>
      <c r="H229" s="122" cm="1">
        <f t="array" aca="1" ref="H229" ca="1">IF($D229&lt;&gt;"Serviço",0,IF(ACOMPANHAMENTO="BM",ROUND(OFFSET(ORÇAMENTO!AJ$15,$L229,0),15-13*ORÇAMENTO!$AF$7),IF(IFERROR(CÁLCULO.FrentesPreenchidas,0)=0,0,SUM(ROUND(OFFSET($P229,0,1,1,CÁLCULO.FrentesPreenchidas),15-13*ORÇAMENTO!$AF$7)))))</f>
        <v>2987.1</v>
      </c>
      <c r="I229" s="468"/>
      <c r="J229" s="651" t="str" cm="1">
        <f t="array" aca="1" ref="J229" ca="1">IF(OR(B229&lt;&gt;"S",CÁLCULO.FrentesPreenchidas=0),"",IF(AND(ACOMPANHAMENTO="PLE",AUTOEVENTO="Manual",OR(H229&gt;0,ORÇAMENTO!AC229="QUANT."),OR(K229="",M229=0,N229="")),"►E",IF(AND(ACOMPANHAMENTO="PLE",ORÇAMENTO!AC229="QUANT."),"►Q",IF(AND(ACOMPANHAMENTO="PLE",H229&lt;&gt;SUMPRODUCT(($Q$1:$AA$1=1)*ROUND(Q229:AA229,15))),"►S",IF(AND(COUNTIF($P$11:$AA$11,"▼")=0,H229&gt;0,I229=""),"◄M","")))))</f>
        <v/>
      </c>
      <c r="K229" s="652"/>
      <c r="L229" s="165">
        <f t="shared" ca="1" si="9"/>
        <v>214</v>
      </c>
      <c r="M229" s="166">
        <f ca="1">IF($D229&lt;&gt;"Serviço","",
          IF(AUTOEVENTO="manual",$A229,
                IF(ISERROR(MATCH($A229,$A$15:OFFSET($A229,-1,0),0)),MAX($M$15:OFFSET(M229,-1,0))+1,
                      INDEX($M$15:OFFSET(M229,-1,0),MATCH($A229,$A$15:OFFSET($A229,-1,0),0)))))</f>
        <v>12</v>
      </c>
      <c r="N229" s="167" t="str">
        <f ca="1">IF($D229&lt;&gt;"Serviço","",
         IF(AUTOEVENTO="Manual",
                IF($A229=0,"&lt;-- defina o número do agrupador",
                       OFFSET(EVENTOS!$D$15,$A229-$A$15,0)),
                OFFSET($F$15,$A229,0)))</f>
        <v>PINTURAS</v>
      </c>
      <c r="O229" s="168"/>
      <c r="Q229" s="168"/>
      <c r="R229" s="169"/>
      <c r="S229" s="169"/>
      <c r="T229" s="169"/>
      <c r="U229" s="169"/>
      <c r="V229" s="169"/>
      <c r="W229" s="169"/>
      <c r="X229" s="169"/>
      <c r="Y229" s="169"/>
      <c r="Z229" s="170"/>
      <c r="AB229" s="453">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3">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3">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3">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3">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3">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3">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3">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3">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3">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1">
        <f ca="1">IF(OR($D229&lt;&gt;"Serviço",AND(AUTOEVENTO="Manual",$M229=$A$15)),0,
         IF(OFFSET(CRONOPLE!$F$15,$M229-$A$15,AM$13)=0,10^12,OFFSET(CRONOPLE!$F$15,$M229-$A$15,AM$13)))</f>
        <v>1000000000000</v>
      </c>
      <c r="AN229" s="171">
        <f ca="1">IF(OR($D229&lt;&gt;"Serviço",AND(AUTOEVENTO="Manual",$M229=$A$15)),0,
         IF(OFFSET(CRONOPLE!$F$15,$M229-$A$15,AN$13)=0,10^12,OFFSET(CRONOPLE!$F$15,$M229-$A$15,AN$13)))</f>
        <v>1000000000000</v>
      </c>
      <c r="AO229" s="171">
        <f ca="1">IF(OR($D229&lt;&gt;"Serviço",AND(AUTOEVENTO="Manual",$M229=$A$15)),0,
         IF(OFFSET(CRONOPLE!$F$15,$M229-$A$15,AO$13)=0,10^12,OFFSET(CRONOPLE!$F$15,$M229-$A$15,AO$13)))</f>
        <v>1000000000000</v>
      </c>
      <c r="AP229" s="171">
        <f ca="1">IF(OR($D229&lt;&gt;"Serviço",AND(AUTOEVENTO="Manual",$M229=$A$15)),0,
         IF(OFFSET(CRONOPLE!$F$15,$M229-$A$15,AP$13)=0,10^12,OFFSET(CRONOPLE!$F$15,$M229-$A$15,AP$13)))</f>
        <v>1000000000000</v>
      </c>
      <c r="AQ229" s="171">
        <f ca="1">IF(OR($D229&lt;&gt;"Serviço",AND(AUTOEVENTO="Manual",$M229=$A$15)),0,
         IF(OFFSET(CRONOPLE!$F$15,$M229-$A$15,AQ$13)=0,10^12,OFFSET(CRONOPLE!$F$15,$M229-$A$15,AQ$13)))</f>
        <v>1000000000000</v>
      </c>
      <c r="AR229" s="171">
        <f ca="1">IF(OR($D229&lt;&gt;"Serviço",AND(AUTOEVENTO="Manual",$M229=$A$15)),0,
         IF(OFFSET(CRONOPLE!$F$15,$M229-$A$15,AR$13)=0,10^12,OFFSET(CRONOPLE!$F$15,$M229-$A$15,AR$13)))</f>
        <v>1000000000000</v>
      </c>
      <c r="AS229" s="171">
        <f ca="1">IF(OR($D229&lt;&gt;"Serviço",AND(AUTOEVENTO="Manual",$M229=$A$15)),0,
         IF(OFFSET(CRONOPLE!$F$15,$M229-$A$15,AS$13)=0,10^12,OFFSET(CRONOPLE!$F$15,$M229-$A$15,AS$13)))</f>
        <v>1000000000000</v>
      </c>
      <c r="AT229" s="171">
        <f ca="1">IF(OR($D229&lt;&gt;"Serviço",AND(AUTOEVENTO="Manual",$M229=$A$15)),0,
         IF(OFFSET(CRONOPLE!$F$15,$M229-$A$15,AT$13)=0,10^12,OFFSET(CRONOPLE!$F$15,$M229-$A$15,AT$13)))</f>
        <v>1000000000000</v>
      </c>
      <c r="AU229" s="171">
        <f ca="1">IF(OR($D229&lt;&gt;"Serviço",AND(AUTOEVENTO="Manual",$M229=$A$15)),0,
         IF(OFFSET(CRONOPLE!$F$15,$M229-$A$15,AU$13)=0,10^12,OFFSET(CRONOPLE!$F$15,$M229-$A$15,AU$13)))</f>
        <v>1000000000000</v>
      </c>
      <c r="AV229" s="171">
        <f ca="1">IF(OR($D229&lt;&gt;"Serviço",AND(AUTOEVENTO="Manual",$M229=$A$15)),0,
         IF(OFFSET(CRONOPLE!$F$15,$M229-$A$15,AV$13)=0,10^12,OFFSET(CRONOPLE!$F$15,$M229-$A$15,AV$13)))</f>
        <v>1000000000000</v>
      </c>
      <c r="AX229" s="172" cm="1">
        <f t="array" aca="1" ref="AX229" ca="1">IF(OR($D229&lt;&gt;"Serviço",AND(AUTOEVENTO="Manual",$M229=$A$15),$M229&gt;(ROW(PLE.lastrow)-ROW(PLE.firstrow))),0,
           IF(OFFSET(PLE!$G$15,$M229-$A$15,AX$13)="",10^12,OFFSET(PLE!$G$15,$M229-$A$15,AX$13)))</f>
        <v>1000000000000</v>
      </c>
      <c r="AY229" s="172" cm="1">
        <f t="array" aca="1" ref="AY229" ca="1">IF(OR($D229&lt;&gt;"Serviço",AND(AUTOEVENTO="Manual",$M229=$A$15),$M229&gt;(ROW(PLE.lastrow)-ROW(PLE.firstrow))),0,
           IF(OFFSET(PLE!$G$15,$M229-$A$15,AY$13)="",10^12,OFFSET(PLE!$G$15,$M229-$A$15,AY$13)))</f>
        <v>1000000000000</v>
      </c>
      <c r="AZ229" s="172" cm="1">
        <f t="array" aca="1" ref="AZ229" ca="1">IF(OR($D229&lt;&gt;"Serviço",AND(AUTOEVENTO="Manual",$M229=$A$15),$M229&gt;(ROW(PLE.lastrow)-ROW(PLE.firstrow))),0,
           IF(OFFSET(PLE!$G$15,$M229-$A$15,AZ$13)="",10^12,OFFSET(PLE!$G$15,$M229-$A$15,AZ$13)))</f>
        <v>1000000000000</v>
      </c>
      <c r="BA229" s="172" cm="1">
        <f t="array" aca="1" ref="BA229" ca="1">IF(OR($D229&lt;&gt;"Serviço",AND(AUTOEVENTO="Manual",$M229=$A$15),$M229&gt;(ROW(PLE.lastrow)-ROW(PLE.firstrow))),0,
           IF(OFFSET(PLE!$G$15,$M229-$A$15,BA$13)="",10^12,OFFSET(PLE!$G$15,$M229-$A$15,BA$13)))</f>
        <v>1000000000000</v>
      </c>
      <c r="BB229" s="172" cm="1">
        <f t="array" aca="1" ref="BB229" ca="1">IF(OR($D229&lt;&gt;"Serviço",AND(AUTOEVENTO="Manual",$M229=$A$15),$M229&gt;(ROW(PLE.lastrow)-ROW(PLE.firstrow))),0,
           IF(OFFSET(PLE!$G$15,$M229-$A$15,BB$13)="",10^12,OFFSET(PLE!$G$15,$M229-$A$15,BB$13)))</f>
        <v>1000000000000</v>
      </c>
      <c r="BC229" s="172" cm="1">
        <f t="array" aca="1" ref="BC229" ca="1">IF(OR($D229&lt;&gt;"Serviço",AND(AUTOEVENTO="Manual",$M229=$A$15),$M229&gt;(ROW(PLE.lastrow)-ROW(PLE.firstrow))),0,
           IF(OFFSET(PLE!$G$15,$M229-$A$15,BC$13)="",10^12,OFFSET(PLE!$G$15,$M229-$A$15,BC$13)))</f>
        <v>1000000000000</v>
      </c>
      <c r="BD229" s="172" cm="1">
        <f t="array" aca="1" ref="BD229" ca="1">IF(OR($D229&lt;&gt;"Serviço",AND(AUTOEVENTO="Manual",$M229=$A$15),$M229&gt;(ROW(PLE.lastrow)-ROW(PLE.firstrow))),0,
           IF(OFFSET(PLE!$G$15,$M229-$A$15,BD$13)="",10^12,OFFSET(PLE!$G$15,$M229-$A$15,BD$13)))</f>
        <v>1000000000000</v>
      </c>
      <c r="BE229" s="172" cm="1">
        <f t="array" aca="1" ref="BE229" ca="1">IF(OR($D229&lt;&gt;"Serviço",AND(AUTOEVENTO="Manual",$M229=$A$15),$M229&gt;(ROW(PLE.lastrow)-ROW(PLE.firstrow))),0,
           IF(OFFSET(PLE!$G$15,$M229-$A$15,BE$13)="",10^12,OFFSET(PLE!$G$15,$M229-$A$15,BE$13)))</f>
        <v>1000000000000</v>
      </c>
      <c r="BF229" s="172" cm="1">
        <f t="array" aca="1" ref="BF229" ca="1">IF(OR($D229&lt;&gt;"Serviço",AND(AUTOEVENTO="Manual",$M229=$A$15),$M229&gt;(ROW(PLE.lastrow)-ROW(PLE.firstrow))),0,
           IF(OFFSET(PLE!$G$15,$M229-$A$15,BF$13)="",10^12,OFFSET(PLE!$G$15,$M229-$A$15,BF$13)))</f>
        <v>1000000000000</v>
      </c>
      <c r="BG229" s="172" cm="1">
        <f t="array" aca="1" ref="BG229" ca="1">IF(OR($D229&lt;&gt;"Serviço",AND(AUTOEVENTO="Manual",$M229=$A$15),$M229&gt;(ROW(PLE.lastrow)-ROW(PLE.firstrow))),0,
           IF(OFFSET(PLE!$G$15,$M229-$A$15,BG$13)="",10^12,OFFSET(PLE!$G$15,$M229-$A$15,BG$13)))</f>
        <v>1000000000000</v>
      </c>
    </row>
    <row r="230" spans="1:59" ht="12.75" x14ac:dyDescent="0.2">
      <c r="A230" s="7" t="str">
        <f t="shared" ca="1" si="8"/>
        <v>207</v>
      </c>
      <c r="B230" s="7">
        <f ca="1">OFFSET(ORÇAMENTO!C$15,$L230,0)</f>
        <v>4</v>
      </c>
      <c r="C230" s="7" t="str">
        <f ca="1">OFFSET(ORÇAMENTO!L$15,$L230,0)</f>
        <v>F</v>
      </c>
      <c r="D230" s="116" t="str">
        <f ca="1">OFFSET(ORÇAMENTO!N$15,$L230,0)</f>
        <v>Nível 4</v>
      </c>
      <c r="E230" s="117" t="str">
        <f ca="1">OFFSET(ORÇAMENTO!O$15,$L230,0)</f>
        <v>1.12.2.2.</v>
      </c>
      <c r="F230" s="163" t="str">
        <f ca="1">OFFSET(ORÇAMENTO!R$15,$L230,0)</f>
        <v>ESQUADRIAS</v>
      </c>
      <c r="G230" s="164" t="str">
        <f ca="1">IF($D230&lt;&gt;"Serviço","",OFFSET(ORÇAMENTO!S$15,$L230,0))</f>
        <v/>
      </c>
      <c r="H230" s="122" cm="1">
        <f t="array" aca="1" ref="H230" ca="1">IF($D230&lt;&gt;"Serviço",0,IF(ACOMPANHAMENTO="BM",ROUND(OFFSET(ORÇAMENTO!AJ$15,$L230,0),15-13*ORÇAMENTO!$AF$7),IF(IFERROR(CÁLCULO.FrentesPreenchidas,0)=0,0,SUM(ROUND(OFFSET($P230,0,1,1,CÁLCULO.FrentesPreenchidas),15-13*ORÇAMENTO!$AF$7)))))</f>
        <v>0</v>
      </c>
      <c r="I230" s="468"/>
      <c r="J230" s="651" t="str" cm="1">
        <f t="array" aca="1" ref="J230" ca="1">IF(OR(B230&lt;&gt;"S",CÁLCULO.FrentesPreenchidas=0),"",IF(AND(ACOMPANHAMENTO="PLE",AUTOEVENTO="Manual",OR(H230&gt;0,ORÇAMENTO!AC230="QUANT."),OR(K230="",M230=0,N230="")),"►E",IF(AND(ACOMPANHAMENTO="PLE",ORÇAMENTO!AC230="QUANT."),"►Q",IF(AND(ACOMPANHAMENTO="PLE",H230&lt;&gt;SUMPRODUCT(($Q$1:$AA$1=1)*ROUND(Q230:AA230,15))),"►S",IF(AND(COUNTIF($P$11:$AA$11,"▼")=0,H230&gt;0,I230=""),"◄M","")))))</f>
        <v/>
      </c>
      <c r="K230" s="652"/>
      <c r="L230" s="165">
        <f t="shared" ca="1" si="9"/>
        <v>215</v>
      </c>
      <c r="M230" s="166" t="str">
        <f ca="1">IF($D230&lt;&gt;"Serviço","",
          IF(AUTOEVENTO="manual",$A230,
                IF(ISERROR(MATCH($A230,$A$15:OFFSET($A230,-1,0),0)),MAX($M$15:OFFSET(M230,-1,0))+1,
                      INDEX($M$15:OFFSET(M230,-1,0),MATCH($A230,$A$15:OFFSET($A230,-1,0),0)))))</f>
        <v/>
      </c>
      <c r="N230" s="167" t="str">
        <f ca="1">IF($D230&lt;&gt;"Serviço","",
         IF(AUTOEVENTO="Manual",
                IF($A230=0,"&lt;-- defina o número do agrupador",
                       OFFSET(EVENTOS!$D$15,$A230-$A$15,0)),
                OFFSET($F$15,$A230,0)))</f>
        <v/>
      </c>
      <c r="O230" s="168"/>
      <c r="Q230" s="168"/>
      <c r="R230" s="169"/>
      <c r="S230" s="169"/>
      <c r="T230" s="169"/>
      <c r="U230" s="169"/>
      <c r="V230" s="169"/>
      <c r="W230" s="169"/>
      <c r="X230" s="169"/>
      <c r="Y230" s="169"/>
      <c r="Z230" s="170"/>
      <c r="AB230" s="453">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3">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3">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3">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3">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3">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3">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3">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3">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3">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1">
        <f ca="1">IF(OR($D230&lt;&gt;"Serviço",AND(AUTOEVENTO="Manual",$M230=$A$15)),0,
         IF(OFFSET(CRONOPLE!$F$15,$M230-$A$15,AM$13)=0,10^12,OFFSET(CRONOPLE!$F$15,$M230-$A$15,AM$13)))</f>
        <v>0</v>
      </c>
      <c r="AN230" s="171">
        <f ca="1">IF(OR($D230&lt;&gt;"Serviço",AND(AUTOEVENTO="Manual",$M230=$A$15)),0,
         IF(OFFSET(CRONOPLE!$F$15,$M230-$A$15,AN$13)=0,10^12,OFFSET(CRONOPLE!$F$15,$M230-$A$15,AN$13)))</f>
        <v>0</v>
      </c>
      <c r="AO230" s="171">
        <f ca="1">IF(OR($D230&lt;&gt;"Serviço",AND(AUTOEVENTO="Manual",$M230=$A$15)),0,
         IF(OFFSET(CRONOPLE!$F$15,$M230-$A$15,AO$13)=0,10^12,OFFSET(CRONOPLE!$F$15,$M230-$A$15,AO$13)))</f>
        <v>0</v>
      </c>
      <c r="AP230" s="171">
        <f ca="1">IF(OR($D230&lt;&gt;"Serviço",AND(AUTOEVENTO="Manual",$M230=$A$15)),0,
         IF(OFFSET(CRONOPLE!$F$15,$M230-$A$15,AP$13)=0,10^12,OFFSET(CRONOPLE!$F$15,$M230-$A$15,AP$13)))</f>
        <v>0</v>
      </c>
      <c r="AQ230" s="171">
        <f ca="1">IF(OR($D230&lt;&gt;"Serviço",AND(AUTOEVENTO="Manual",$M230=$A$15)),0,
         IF(OFFSET(CRONOPLE!$F$15,$M230-$A$15,AQ$13)=0,10^12,OFFSET(CRONOPLE!$F$15,$M230-$A$15,AQ$13)))</f>
        <v>0</v>
      </c>
      <c r="AR230" s="171">
        <f ca="1">IF(OR($D230&lt;&gt;"Serviço",AND(AUTOEVENTO="Manual",$M230=$A$15)),0,
         IF(OFFSET(CRONOPLE!$F$15,$M230-$A$15,AR$13)=0,10^12,OFFSET(CRONOPLE!$F$15,$M230-$A$15,AR$13)))</f>
        <v>0</v>
      </c>
      <c r="AS230" s="171">
        <f ca="1">IF(OR($D230&lt;&gt;"Serviço",AND(AUTOEVENTO="Manual",$M230=$A$15)),0,
         IF(OFFSET(CRONOPLE!$F$15,$M230-$A$15,AS$13)=0,10^12,OFFSET(CRONOPLE!$F$15,$M230-$A$15,AS$13)))</f>
        <v>0</v>
      </c>
      <c r="AT230" s="171">
        <f ca="1">IF(OR($D230&lt;&gt;"Serviço",AND(AUTOEVENTO="Manual",$M230=$A$15)),0,
         IF(OFFSET(CRONOPLE!$F$15,$M230-$A$15,AT$13)=0,10^12,OFFSET(CRONOPLE!$F$15,$M230-$A$15,AT$13)))</f>
        <v>0</v>
      </c>
      <c r="AU230" s="171">
        <f ca="1">IF(OR($D230&lt;&gt;"Serviço",AND(AUTOEVENTO="Manual",$M230=$A$15)),0,
         IF(OFFSET(CRONOPLE!$F$15,$M230-$A$15,AU$13)=0,10^12,OFFSET(CRONOPLE!$F$15,$M230-$A$15,AU$13)))</f>
        <v>0</v>
      </c>
      <c r="AV230" s="171">
        <f ca="1">IF(OR($D230&lt;&gt;"Serviço",AND(AUTOEVENTO="Manual",$M230=$A$15)),0,
         IF(OFFSET(CRONOPLE!$F$15,$M230-$A$15,AV$13)=0,10^12,OFFSET(CRONOPLE!$F$15,$M230-$A$15,AV$13)))</f>
        <v>0</v>
      </c>
      <c r="AX230" s="172" cm="1">
        <f t="array" aca="1" ref="AX230" ca="1">IF(OR($D230&lt;&gt;"Serviço",AND(AUTOEVENTO="Manual",$M230=$A$15),$M230&gt;(ROW(PLE.lastrow)-ROW(PLE.firstrow))),0,
           IF(OFFSET(PLE!$G$15,$M230-$A$15,AX$13)="",10^12,OFFSET(PLE!$G$15,$M230-$A$15,AX$13)))</f>
        <v>0</v>
      </c>
      <c r="AY230" s="172" cm="1">
        <f t="array" aca="1" ref="AY230" ca="1">IF(OR($D230&lt;&gt;"Serviço",AND(AUTOEVENTO="Manual",$M230=$A$15),$M230&gt;(ROW(PLE.lastrow)-ROW(PLE.firstrow))),0,
           IF(OFFSET(PLE!$G$15,$M230-$A$15,AY$13)="",10^12,OFFSET(PLE!$G$15,$M230-$A$15,AY$13)))</f>
        <v>0</v>
      </c>
      <c r="AZ230" s="172" cm="1">
        <f t="array" aca="1" ref="AZ230" ca="1">IF(OR($D230&lt;&gt;"Serviço",AND(AUTOEVENTO="Manual",$M230=$A$15),$M230&gt;(ROW(PLE.lastrow)-ROW(PLE.firstrow))),0,
           IF(OFFSET(PLE!$G$15,$M230-$A$15,AZ$13)="",10^12,OFFSET(PLE!$G$15,$M230-$A$15,AZ$13)))</f>
        <v>0</v>
      </c>
      <c r="BA230" s="172" cm="1">
        <f t="array" aca="1" ref="BA230" ca="1">IF(OR($D230&lt;&gt;"Serviço",AND(AUTOEVENTO="Manual",$M230=$A$15),$M230&gt;(ROW(PLE.lastrow)-ROW(PLE.firstrow))),0,
           IF(OFFSET(PLE!$G$15,$M230-$A$15,BA$13)="",10^12,OFFSET(PLE!$G$15,$M230-$A$15,BA$13)))</f>
        <v>0</v>
      </c>
      <c r="BB230" s="172" cm="1">
        <f t="array" aca="1" ref="BB230" ca="1">IF(OR($D230&lt;&gt;"Serviço",AND(AUTOEVENTO="Manual",$M230=$A$15),$M230&gt;(ROW(PLE.lastrow)-ROW(PLE.firstrow))),0,
           IF(OFFSET(PLE!$G$15,$M230-$A$15,BB$13)="",10^12,OFFSET(PLE!$G$15,$M230-$A$15,BB$13)))</f>
        <v>0</v>
      </c>
      <c r="BC230" s="172" cm="1">
        <f t="array" aca="1" ref="BC230" ca="1">IF(OR($D230&lt;&gt;"Serviço",AND(AUTOEVENTO="Manual",$M230=$A$15),$M230&gt;(ROW(PLE.lastrow)-ROW(PLE.firstrow))),0,
           IF(OFFSET(PLE!$G$15,$M230-$A$15,BC$13)="",10^12,OFFSET(PLE!$G$15,$M230-$A$15,BC$13)))</f>
        <v>0</v>
      </c>
      <c r="BD230" s="172" cm="1">
        <f t="array" aca="1" ref="BD230" ca="1">IF(OR($D230&lt;&gt;"Serviço",AND(AUTOEVENTO="Manual",$M230=$A$15),$M230&gt;(ROW(PLE.lastrow)-ROW(PLE.firstrow))),0,
           IF(OFFSET(PLE!$G$15,$M230-$A$15,BD$13)="",10^12,OFFSET(PLE!$G$15,$M230-$A$15,BD$13)))</f>
        <v>0</v>
      </c>
      <c r="BE230" s="172" cm="1">
        <f t="array" aca="1" ref="BE230" ca="1">IF(OR($D230&lt;&gt;"Serviço",AND(AUTOEVENTO="Manual",$M230=$A$15),$M230&gt;(ROW(PLE.lastrow)-ROW(PLE.firstrow))),0,
           IF(OFFSET(PLE!$G$15,$M230-$A$15,BE$13)="",10^12,OFFSET(PLE!$G$15,$M230-$A$15,BE$13)))</f>
        <v>0</v>
      </c>
      <c r="BF230" s="172" cm="1">
        <f t="array" aca="1" ref="BF230" ca="1">IF(OR($D230&lt;&gt;"Serviço",AND(AUTOEVENTO="Manual",$M230=$A$15),$M230&gt;(ROW(PLE.lastrow)-ROW(PLE.firstrow))),0,
           IF(OFFSET(PLE!$G$15,$M230-$A$15,BF$13)="",10^12,OFFSET(PLE!$G$15,$M230-$A$15,BF$13)))</f>
        <v>0</v>
      </c>
      <c r="BG230" s="172" cm="1">
        <f t="array" aca="1" ref="BG230" ca="1">IF(OR($D230&lt;&gt;"Serviço",AND(AUTOEVENTO="Manual",$M230=$A$15),$M230&gt;(ROW(PLE.lastrow)-ROW(PLE.firstrow))),0,
           IF(OFFSET(PLE!$G$15,$M230-$A$15,BG$13)="",10^12,OFFSET(PLE!$G$15,$M230-$A$15,BG$13)))</f>
        <v>0</v>
      </c>
    </row>
    <row r="231" spans="1:59" ht="25.5" x14ac:dyDescent="0.2">
      <c r="A231" s="7" t="str">
        <f t="shared" ca="1" si="8"/>
        <v>207</v>
      </c>
      <c r="B231" s="7" t="str">
        <f ca="1">OFFSET(ORÇAMENTO!C$15,$L231,0)</f>
        <v>S</v>
      </c>
      <c r="C231" s="7" t="str">
        <f ca="1">OFFSET(ORÇAMENTO!L$15,$L231,0)</f>
        <v>F</v>
      </c>
      <c r="D231" s="116" t="str">
        <f ca="1">OFFSET(ORÇAMENTO!N$15,$L231,0)</f>
        <v>Serviço</v>
      </c>
      <c r="E231" s="117" t="str">
        <f ca="1">OFFSET(ORÇAMENTO!O$15,$L231,0)</f>
        <v>1.12.2.2.1.</v>
      </c>
      <c r="F231" s="163" t="str">
        <f ca="1">OFFSET(ORÇAMENTO!R$15,$L231,0)</f>
        <v>LIXAMENTO DE MADEIRA PARA APLICAÇÃO DE FUNDO OU PINTURA. AF_01/2021</v>
      </c>
      <c r="G231" s="164" t="str">
        <f ca="1">IF($D231&lt;&gt;"Serviço","",OFFSET(ORÇAMENTO!S$15,$L231,0))</f>
        <v>M2</v>
      </c>
      <c r="H231" s="122" cm="1">
        <f t="array" aca="1" ref="H231" ca="1">IF($D231&lt;&gt;"Serviço",0,IF(ACOMPANHAMENTO="BM",ROUND(OFFSET(ORÇAMENTO!AJ$15,$L231,0),15-13*ORÇAMENTO!$AF$7),IF(IFERROR(CÁLCULO.FrentesPreenchidas,0)=0,0,SUM(ROUND(OFFSET($P231,0,1,1,CÁLCULO.FrentesPreenchidas),15-13*ORÇAMENTO!$AF$7)))))</f>
        <v>302.39999999999998</v>
      </c>
      <c r="I231" s="468"/>
      <c r="J231" s="651" t="str" cm="1">
        <f t="array" aca="1" ref="J231" ca="1">IF(OR(B231&lt;&gt;"S",CÁLCULO.FrentesPreenchidas=0),"",IF(AND(ACOMPANHAMENTO="PLE",AUTOEVENTO="Manual",OR(H231&gt;0,ORÇAMENTO!AC231="QUANT."),OR(K231="",M231=0,N231="")),"►E",IF(AND(ACOMPANHAMENTO="PLE",ORÇAMENTO!AC231="QUANT."),"►Q",IF(AND(ACOMPANHAMENTO="PLE",H231&lt;&gt;SUMPRODUCT(($Q$1:$AA$1=1)*ROUND(Q231:AA231,15))),"►S",IF(AND(COUNTIF($P$11:$AA$11,"▼")=0,H231&gt;0,I231=""),"◄M","")))))</f>
        <v/>
      </c>
      <c r="K231" s="652"/>
      <c r="L231" s="165">
        <f t="shared" ca="1" si="9"/>
        <v>216</v>
      </c>
      <c r="M231" s="166">
        <f ca="1">IF($D231&lt;&gt;"Serviço","",
          IF(AUTOEVENTO="manual",$A231,
                IF(ISERROR(MATCH($A231,$A$15:OFFSET($A231,-1,0),0)),MAX($M$15:OFFSET(M231,-1,0))+1,
                      INDEX($M$15:OFFSET(M231,-1,0),MATCH($A231,$A$15:OFFSET($A231,-1,0),0)))))</f>
        <v>12</v>
      </c>
      <c r="N231" s="167" t="str">
        <f ca="1">IF($D231&lt;&gt;"Serviço","",
         IF(AUTOEVENTO="Manual",
                IF($A231=0,"&lt;-- defina o número do agrupador",
                       OFFSET(EVENTOS!$D$15,$A231-$A$15,0)),
                OFFSET($F$15,$A231,0)))</f>
        <v>PINTURAS</v>
      </c>
      <c r="O231" s="168"/>
      <c r="Q231" s="168"/>
      <c r="R231" s="169"/>
      <c r="S231" s="169"/>
      <c r="T231" s="169"/>
      <c r="U231" s="169"/>
      <c r="V231" s="169"/>
      <c r="W231" s="169"/>
      <c r="X231" s="169"/>
      <c r="Y231" s="169"/>
      <c r="Z231" s="170"/>
      <c r="AB231" s="453">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3">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3">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3">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3">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3">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3">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3">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3">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3">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1">
        <f ca="1">IF(OR($D231&lt;&gt;"Serviço",AND(AUTOEVENTO="Manual",$M231=$A$15)),0,
         IF(OFFSET(CRONOPLE!$F$15,$M231-$A$15,AM$13)=0,10^12,OFFSET(CRONOPLE!$F$15,$M231-$A$15,AM$13)))</f>
        <v>1000000000000</v>
      </c>
      <c r="AN231" s="171">
        <f ca="1">IF(OR($D231&lt;&gt;"Serviço",AND(AUTOEVENTO="Manual",$M231=$A$15)),0,
         IF(OFFSET(CRONOPLE!$F$15,$M231-$A$15,AN$13)=0,10^12,OFFSET(CRONOPLE!$F$15,$M231-$A$15,AN$13)))</f>
        <v>1000000000000</v>
      </c>
      <c r="AO231" s="171">
        <f ca="1">IF(OR($D231&lt;&gt;"Serviço",AND(AUTOEVENTO="Manual",$M231=$A$15)),0,
         IF(OFFSET(CRONOPLE!$F$15,$M231-$A$15,AO$13)=0,10^12,OFFSET(CRONOPLE!$F$15,$M231-$A$15,AO$13)))</f>
        <v>1000000000000</v>
      </c>
      <c r="AP231" s="171">
        <f ca="1">IF(OR($D231&lt;&gt;"Serviço",AND(AUTOEVENTO="Manual",$M231=$A$15)),0,
         IF(OFFSET(CRONOPLE!$F$15,$M231-$A$15,AP$13)=0,10^12,OFFSET(CRONOPLE!$F$15,$M231-$A$15,AP$13)))</f>
        <v>1000000000000</v>
      </c>
      <c r="AQ231" s="171">
        <f ca="1">IF(OR($D231&lt;&gt;"Serviço",AND(AUTOEVENTO="Manual",$M231=$A$15)),0,
         IF(OFFSET(CRONOPLE!$F$15,$M231-$A$15,AQ$13)=0,10^12,OFFSET(CRONOPLE!$F$15,$M231-$A$15,AQ$13)))</f>
        <v>1000000000000</v>
      </c>
      <c r="AR231" s="171">
        <f ca="1">IF(OR($D231&lt;&gt;"Serviço",AND(AUTOEVENTO="Manual",$M231=$A$15)),0,
         IF(OFFSET(CRONOPLE!$F$15,$M231-$A$15,AR$13)=0,10^12,OFFSET(CRONOPLE!$F$15,$M231-$A$15,AR$13)))</f>
        <v>1000000000000</v>
      </c>
      <c r="AS231" s="171">
        <f ca="1">IF(OR($D231&lt;&gt;"Serviço",AND(AUTOEVENTO="Manual",$M231=$A$15)),0,
         IF(OFFSET(CRONOPLE!$F$15,$M231-$A$15,AS$13)=0,10^12,OFFSET(CRONOPLE!$F$15,$M231-$A$15,AS$13)))</f>
        <v>1000000000000</v>
      </c>
      <c r="AT231" s="171">
        <f ca="1">IF(OR($D231&lt;&gt;"Serviço",AND(AUTOEVENTO="Manual",$M231=$A$15)),0,
         IF(OFFSET(CRONOPLE!$F$15,$M231-$A$15,AT$13)=0,10^12,OFFSET(CRONOPLE!$F$15,$M231-$A$15,AT$13)))</f>
        <v>1000000000000</v>
      </c>
      <c r="AU231" s="171">
        <f ca="1">IF(OR($D231&lt;&gt;"Serviço",AND(AUTOEVENTO="Manual",$M231=$A$15)),0,
         IF(OFFSET(CRONOPLE!$F$15,$M231-$A$15,AU$13)=0,10^12,OFFSET(CRONOPLE!$F$15,$M231-$A$15,AU$13)))</f>
        <v>1000000000000</v>
      </c>
      <c r="AV231" s="171">
        <f ca="1">IF(OR($D231&lt;&gt;"Serviço",AND(AUTOEVENTO="Manual",$M231=$A$15)),0,
         IF(OFFSET(CRONOPLE!$F$15,$M231-$A$15,AV$13)=0,10^12,OFFSET(CRONOPLE!$F$15,$M231-$A$15,AV$13)))</f>
        <v>1000000000000</v>
      </c>
      <c r="AX231" s="172" cm="1">
        <f t="array" aca="1" ref="AX231" ca="1">IF(OR($D231&lt;&gt;"Serviço",AND(AUTOEVENTO="Manual",$M231=$A$15),$M231&gt;(ROW(PLE.lastrow)-ROW(PLE.firstrow))),0,
           IF(OFFSET(PLE!$G$15,$M231-$A$15,AX$13)="",10^12,OFFSET(PLE!$G$15,$M231-$A$15,AX$13)))</f>
        <v>1000000000000</v>
      </c>
      <c r="AY231" s="172" cm="1">
        <f t="array" aca="1" ref="AY231" ca="1">IF(OR($D231&lt;&gt;"Serviço",AND(AUTOEVENTO="Manual",$M231=$A$15),$M231&gt;(ROW(PLE.lastrow)-ROW(PLE.firstrow))),0,
           IF(OFFSET(PLE!$G$15,$M231-$A$15,AY$13)="",10^12,OFFSET(PLE!$G$15,$M231-$A$15,AY$13)))</f>
        <v>1000000000000</v>
      </c>
      <c r="AZ231" s="172" cm="1">
        <f t="array" aca="1" ref="AZ231" ca="1">IF(OR($D231&lt;&gt;"Serviço",AND(AUTOEVENTO="Manual",$M231=$A$15),$M231&gt;(ROW(PLE.lastrow)-ROW(PLE.firstrow))),0,
           IF(OFFSET(PLE!$G$15,$M231-$A$15,AZ$13)="",10^12,OFFSET(PLE!$G$15,$M231-$A$15,AZ$13)))</f>
        <v>1000000000000</v>
      </c>
      <c r="BA231" s="172" cm="1">
        <f t="array" aca="1" ref="BA231" ca="1">IF(OR($D231&lt;&gt;"Serviço",AND(AUTOEVENTO="Manual",$M231=$A$15),$M231&gt;(ROW(PLE.lastrow)-ROW(PLE.firstrow))),0,
           IF(OFFSET(PLE!$G$15,$M231-$A$15,BA$13)="",10^12,OFFSET(PLE!$G$15,$M231-$A$15,BA$13)))</f>
        <v>1000000000000</v>
      </c>
      <c r="BB231" s="172" cm="1">
        <f t="array" aca="1" ref="BB231" ca="1">IF(OR($D231&lt;&gt;"Serviço",AND(AUTOEVENTO="Manual",$M231=$A$15),$M231&gt;(ROW(PLE.lastrow)-ROW(PLE.firstrow))),0,
           IF(OFFSET(PLE!$G$15,$M231-$A$15,BB$13)="",10^12,OFFSET(PLE!$G$15,$M231-$A$15,BB$13)))</f>
        <v>1000000000000</v>
      </c>
      <c r="BC231" s="172" cm="1">
        <f t="array" aca="1" ref="BC231" ca="1">IF(OR($D231&lt;&gt;"Serviço",AND(AUTOEVENTO="Manual",$M231=$A$15),$M231&gt;(ROW(PLE.lastrow)-ROW(PLE.firstrow))),0,
           IF(OFFSET(PLE!$G$15,$M231-$A$15,BC$13)="",10^12,OFFSET(PLE!$G$15,$M231-$A$15,BC$13)))</f>
        <v>1000000000000</v>
      </c>
      <c r="BD231" s="172" cm="1">
        <f t="array" aca="1" ref="BD231" ca="1">IF(OR($D231&lt;&gt;"Serviço",AND(AUTOEVENTO="Manual",$M231=$A$15),$M231&gt;(ROW(PLE.lastrow)-ROW(PLE.firstrow))),0,
           IF(OFFSET(PLE!$G$15,$M231-$A$15,BD$13)="",10^12,OFFSET(PLE!$G$15,$M231-$A$15,BD$13)))</f>
        <v>1000000000000</v>
      </c>
      <c r="BE231" s="172" cm="1">
        <f t="array" aca="1" ref="BE231" ca="1">IF(OR($D231&lt;&gt;"Serviço",AND(AUTOEVENTO="Manual",$M231=$A$15),$M231&gt;(ROW(PLE.lastrow)-ROW(PLE.firstrow))),0,
           IF(OFFSET(PLE!$G$15,$M231-$A$15,BE$13)="",10^12,OFFSET(PLE!$G$15,$M231-$A$15,BE$13)))</f>
        <v>1000000000000</v>
      </c>
      <c r="BF231" s="172" cm="1">
        <f t="array" aca="1" ref="BF231" ca="1">IF(OR($D231&lt;&gt;"Serviço",AND(AUTOEVENTO="Manual",$M231=$A$15),$M231&gt;(ROW(PLE.lastrow)-ROW(PLE.firstrow))),0,
           IF(OFFSET(PLE!$G$15,$M231-$A$15,BF$13)="",10^12,OFFSET(PLE!$G$15,$M231-$A$15,BF$13)))</f>
        <v>1000000000000</v>
      </c>
      <c r="BG231" s="172" cm="1">
        <f t="array" aca="1" ref="BG231" ca="1">IF(OR($D231&lt;&gt;"Serviço",AND(AUTOEVENTO="Manual",$M231=$A$15),$M231&gt;(ROW(PLE.lastrow)-ROW(PLE.firstrow))),0,
           IF(OFFSET(PLE!$G$15,$M231-$A$15,BG$13)="",10^12,OFFSET(PLE!$G$15,$M231-$A$15,BG$13)))</f>
        <v>1000000000000</v>
      </c>
    </row>
    <row r="232" spans="1:59" ht="25.5" x14ac:dyDescent="0.2">
      <c r="A232" s="7" t="str">
        <f t="shared" ca="1" si="8"/>
        <v>207</v>
      </c>
      <c r="B232" s="7" t="str">
        <f ca="1">OFFSET(ORÇAMENTO!C$15,$L232,0)</f>
        <v>S</v>
      </c>
      <c r="C232" s="7" t="str">
        <f ca="1">OFFSET(ORÇAMENTO!L$15,$L232,0)</f>
        <v>F</v>
      </c>
      <c r="D232" s="116" t="str">
        <f ca="1">OFFSET(ORÇAMENTO!N$15,$L232,0)</f>
        <v>Serviço</v>
      </c>
      <c r="E232" s="117" t="str">
        <f ca="1">OFFSET(ORÇAMENTO!O$15,$L232,0)</f>
        <v>1.12.2.2.2.</v>
      </c>
      <c r="F232" s="163" t="str">
        <f ca="1">OFFSET(ORÇAMENTO!R$15,$L232,0)</f>
        <v>PINTURA FUNDO NIVELADOR ALQUÍDICO BRANCO EM MADEIRA. AF_01/2021</v>
      </c>
      <c r="G232" s="164" t="str">
        <f ca="1">IF($D232&lt;&gt;"Serviço","",OFFSET(ORÇAMENTO!S$15,$L232,0))</f>
        <v>M2</v>
      </c>
      <c r="H232" s="122" cm="1">
        <f t="array" aca="1" ref="H232" ca="1">IF($D232&lt;&gt;"Serviço",0,IF(ACOMPANHAMENTO="BM",ROUND(OFFSET(ORÇAMENTO!AJ$15,$L232,0),15-13*ORÇAMENTO!$AF$7),IF(IFERROR(CÁLCULO.FrentesPreenchidas,0)=0,0,SUM(ROUND(OFFSET($P232,0,1,1,CÁLCULO.FrentesPreenchidas),15-13*ORÇAMENTO!$AF$7)))))</f>
        <v>302.39999999999998</v>
      </c>
      <c r="I232" s="468"/>
      <c r="J232" s="651" t="str" cm="1">
        <f t="array" aca="1" ref="J232" ca="1">IF(OR(B232&lt;&gt;"S",CÁLCULO.FrentesPreenchidas=0),"",IF(AND(ACOMPANHAMENTO="PLE",AUTOEVENTO="Manual",OR(H232&gt;0,ORÇAMENTO!AC232="QUANT."),OR(K232="",M232=0,N232="")),"►E",IF(AND(ACOMPANHAMENTO="PLE",ORÇAMENTO!AC232="QUANT."),"►Q",IF(AND(ACOMPANHAMENTO="PLE",H232&lt;&gt;SUMPRODUCT(($Q$1:$AA$1=1)*ROUND(Q232:AA232,15))),"►S",IF(AND(COUNTIF($P$11:$AA$11,"▼")=0,H232&gt;0,I232=""),"◄M","")))))</f>
        <v/>
      </c>
      <c r="K232" s="652"/>
      <c r="L232" s="165">
        <f t="shared" ca="1" si="9"/>
        <v>217</v>
      </c>
      <c r="M232" s="166">
        <f ca="1">IF($D232&lt;&gt;"Serviço","",
          IF(AUTOEVENTO="manual",$A232,
                IF(ISERROR(MATCH($A232,$A$15:OFFSET($A232,-1,0),0)),MAX($M$15:OFFSET(M232,-1,0))+1,
                      INDEX($M$15:OFFSET(M232,-1,0),MATCH($A232,$A$15:OFFSET($A232,-1,0),0)))))</f>
        <v>12</v>
      </c>
      <c r="N232" s="167" t="str">
        <f ca="1">IF($D232&lt;&gt;"Serviço","",
         IF(AUTOEVENTO="Manual",
                IF($A232=0,"&lt;-- defina o número do agrupador",
                       OFFSET(EVENTOS!$D$15,$A232-$A$15,0)),
                OFFSET($F$15,$A232,0)))</f>
        <v>PINTURAS</v>
      </c>
      <c r="O232" s="168"/>
      <c r="Q232" s="168"/>
      <c r="R232" s="169"/>
      <c r="S232" s="169"/>
      <c r="T232" s="169"/>
      <c r="U232" s="169"/>
      <c r="V232" s="169"/>
      <c r="W232" s="169"/>
      <c r="X232" s="169"/>
      <c r="Y232" s="169"/>
      <c r="Z232" s="170"/>
      <c r="AB232" s="453">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3">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3">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3">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3">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3">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3">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3">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3">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3">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1">
        <f ca="1">IF(OR($D232&lt;&gt;"Serviço",AND(AUTOEVENTO="Manual",$M232=$A$15)),0,
         IF(OFFSET(CRONOPLE!$F$15,$M232-$A$15,AM$13)=0,10^12,OFFSET(CRONOPLE!$F$15,$M232-$A$15,AM$13)))</f>
        <v>1000000000000</v>
      </c>
      <c r="AN232" s="171">
        <f ca="1">IF(OR($D232&lt;&gt;"Serviço",AND(AUTOEVENTO="Manual",$M232=$A$15)),0,
         IF(OFFSET(CRONOPLE!$F$15,$M232-$A$15,AN$13)=0,10^12,OFFSET(CRONOPLE!$F$15,$M232-$A$15,AN$13)))</f>
        <v>1000000000000</v>
      </c>
      <c r="AO232" s="171">
        <f ca="1">IF(OR($D232&lt;&gt;"Serviço",AND(AUTOEVENTO="Manual",$M232=$A$15)),0,
         IF(OFFSET(CRONOPLE!$F$15,$M232-$A$15,AO$13)=0,10^12,OFFSET(CRONOPLE!$F$15,$M232-$A$15,AO$13)))</f>
        <v>1000000000000</v>
      </c>
      <c r="AP232" s="171">
        <f ca="1">IF(OR($D232&lt;&gt;"Serviço",AND(AUTOEVENTO="Manual",$M232=$A$15)),0,
         IF(OFFSET(CRONOPLE!$F$15,$M232-$A$15,AP$13)=0,10^12,OFFSET(CRONOPLE!$F$15,$M232-$A$15,AP$13)))</f>
        <v>1000000000000</v>
      </c>
      <c r="AQ232" s="171">
        <f ca="1">IF(OR($D232&lt;&gt;"Serviço",AND(AUTOEVENTO="Manual",$M232=$A$15)),0,
         IF(OFFSET(CRONOPLE!$F$15,$M232-$A$15,AQ$13)=0,10^12,OFFSET(CRONOPLE!$F$15,$M232-$A$15,AQ$13)))</f>
        <v>1000000000000</v>
      </c>
      <c r="AR232" s="171">
        <f ca="1">IF(OR($D232&lt;&gt;"Serviço",AND(AUTOEVENTO="Manual",$M232=$A$15)),0,
         IF(OFFSET(CRONOPLE!$F$15,$M232-$A$15,AR$13)=0,10^12,OFFSET(CRONOPLE!$F$15,$M232-$A$15,AR$13)))</f>
        <v>1000000000000</v>
      </c>
      <c r="AS232" s="171">
        <f ca="1">IF(OR($D232&lt;&gt;"Serviço",AND(AUTOEVENTO="Manual",$M232=$A$15)),0,
         IF(OFFSET(CRONOPLE!$F$15,$M232-$A$15,AS$13)=0,10^12,OFFSET(CRONOPLE!$F$15,$M232-$A$15,AS$13)))</f>
        <v>1000000000000</v>
      </c>
      <c r="AT232" s="171">
        <f ca="1">IF(OR($D232&lt;&gt;"Serviço",AND(AUTOEVENTO="Manual",$M232=$A$15)),0,
         IF(OFFSET(CRONOPLE!$F$15,$M232-$A$15,AT$13)=0,10^12,OFFSET(CRONOPLE!$F$15,$M232-$A$15,AT$13)))</f>
        <v>1000000000000</v>
      </c>
      <c r="AU232" s="171">
        <f ca="1">IF(OR($D232&lt;&gt;"Serviço",AND(AUTOEVENTO="Manual",$M232=$A$15)),0,
         IF(OFFSET(CRONOPLE!$F$15,$M232-$A$15,AU$13)=0,10^12,OFFSET(CRONOPLE!$F$15,$M232-$A$15,AU$13)))</f>
        <v>1000000000000</v>
      </c>
      <c r="AV232" s="171">
        <f ca="1">IF(OR($D232&lt;&gt;"Serviço",AND(AUTOEVENTO="Manual",$M232=$A$15)),0,
         IF(OFFSET(CRONOPLE!$F$15,$M232-$A$15,AV$13)=0,10^12,OFFSET(CRONOPLE!$F$15,$M232-$A$15,AV$13)))</f>
        <v>1000000000000</v>
      </c>
      <c r="AX232" s="172" cm="1">
        <f t="array" aca="1" ref="AX232" ca="1">IF(OR($D232&lt;&gt;"Serviço",AND(AUTOEVENTO="Manual",$M232=$A$15),$M232&gt;(ROW(PLE.lastrow)-ROW(PLE.firstrow))),0,
           IF(OFFSET(PLE!$G$15,$M232-$A$15,AX$13)="",10^12,OFFSET(PLE!$G$15,$M232-$A$15,AX$13)))</f>
        <v>1000000000000</v>
      </c>
      <c r="AY232" s="172" cm="1">
        <f t="array" aca="1" ref="AY232" ca="1">IF(OR($D232&lt;&gt;"Serviço",AND(AUTOEVENTO="Manual",$M232=$A$15),$M232&gt;(ROW(PLE.lastrow)-ROW(PLE.firstrow))),0,
           IF(OFFSET(PLE!$G$15,$M232-$A$15,AY$13)="",10^12,OFFSET(PLE!$G$15,$M232-$A$15,AY$13)))</f>
        <v>1000000000000</v>
      </c>
      <c r="AZ232" s="172" cm="1">
        <f t="array" aca="1" ref="AZ232" ca="1">IF(OR($D232&lt;&gt;"Serviço",AND(AUTOEVENTO="Manual",$M232=$A$15),$M232&gt;(ROW(PLE.lastrow)-ROW(PLE.firstrow))),0,
           IF(OFFSET(PLE!$G$15,$M232-$A$15,AZ$13)="",10^12,OFFSET(PLE!$G$15,$M232-$A$15,AZ$13)))</f>
        <v>1000000000000</v>
      </c>
      <c r="BA232" s="172" cm="1">
        <f t="array" aca="1" ref="BA232" ca="1">IF(OR($D232&lt;&gt;"Serviço",AND(AUTOEVENTO="Manual",$M232=$A$15),$M232&gt;(ROW(PLE.lastrow)-ROW(PLE.firstrow))),0,
           IF(OFFSET(PLE!$G$15,$M232-$A$15,BA$13)="",10^12,OFFSET(PLE!$G$15,$M232-$A$15,BA$13)))</f>
        <v>1000000000000</v>
      </c>
      <c r="BB232" s="172" cm="1">
        <f t="array" aca="1" ref="BB232" ca="1">IF(OR($D232&lt;&gt;"Serviço",AND(AUTOEVENTO="Manual",$M232=$A$15),$M232&gt;(ROW(PLE.lastrow)-ROW(PLE.firstrow))),0,
           IF(OFFSET(PLE!$G$15,$M232-$A$15,BB$13)="",10^12,OFFSET(PLE!$G$15,$M232-$A$15,BB$13)))</f>
        <v>1000000000000</v>
      </c>
      <c r="BC232" s="172" cm="1">
        <f t="array" aca="1" ref="BC232" ca="1">IF(OR($D232&lt;&gt;"Serviço",AND(AUTOEVENTO="Manual",$M232=$A$15),$M232&gt;(ROW(PLE.lastrow)-ROW(PLE.firstrow))),0,
           IF(OFFSET(PLE!$G$15,$M232-$A$15,BC$13)="",10^12,OFFSET(PLE!$G$15,$M232-$A$15,BC$13)))</f>
        <v>1000000000000</v>
      </c>
      <c r="BD232" s="172" cm="1">
        <f t="array" aca="1" ref="BD232" ca="1">IF(OR($D232&lt;&gt;"Serviço",AND(AUTOEVENTO="Manual",$M232=$A$15),$M232&gt;(ROW(PLE.lastrow)-ROW(PLE.firstrow))),0,
           IF(OFFSET(PLE!$G$15,$M232-$A$15,BD$13)="",10^12,OFFSET(PLE!$G$15,$M232-$A$15,BD$13)))</f>
        <v>1000000000000</v>
      </c>
      <c r="BE232" s="172" cm="1">
        <f t="array" aca="1" ref="BE232" ca="1">IF(OR($D232&lt;&gt;"Serviço",AND(AUTOEVENTO="Manual",$M232=$A$15),$M232&gt;(ROW(PLE.lastrow)-ROW(PLE.firstrow))),0,
           IF(OFFSET(PLE!$G$15,$M232-$A$15,BE$13)="",10^12,OFFSET(PLE!$G$15,$M232-$A$15,BE$13)))</f>
        <v>1000000000000</v>
      </c>
      <c r="BF232" s="172" cm="1">
        <f t="array" aca="1" ref="BF232" ca="1">IF(OR($D232&lt;&gt;"Serviço",AND(AUTOEVENTO="Manual",$M232=$A$15),$M232&gt;(ROW(PLE.lastrow)-ROW(PLE.firstrow))),0,
           IF(OFFSET(PLE!$G$15,$M232-$A$15,BF$13)="",10^12,OFFSET(PLE!$G$15,$M232-$A$15,BF$13)))</f>
        <v>1000000000000</v>
      </c>
      <c r="BG232" s="172" cm="1">
        <f t="array" aca="1" ref="BG232" ca="1">IF(OR($D232&lt;&gt;"Serviço",AND(AUTOEVENTO="Manual",$M232=$A$15),$M232&gt;(ROW(PLE.lastrow)-ROW(PLE.firstrow))),0,
           IF(OFFSET(PLE!$G$15,$M232-$A$15,BG$13)="",10^12,OFFSET(PLE!$G$15,$M232-$A$15,BG$13)))</f>
        <v>1000000000000</v>
      </c>
    </row>
    <row r="233" spans="1:59" ht="25.5" x14ac:dyDescent="0.2">
      <c r="A233" s="7" t="str">
        <f t="shared" ca="1" si="8"/>
        <v>207</v>
      </c>
      <c r="B233" s="7" t="str">
        <f ca="1">OFFSET(ORÇAMENTO!C$15,$L233,0)</f>
        <v>S</v>
      </c>
      <c r="C233" s="7" t="str">
        <f ca="1">OFFSET(ORÇAMENTO!L$15,$L233,0)</f>
        <v>F</v>
      </c>
      <c r="D233" s="116" t="str">
        <f ca="1">OFFSET(ORÇAMENTO!N$15,$L233,0)</f>
        <v>Serviço</v>
      </c>
      <c r="E233" s="117" t="str">
        <f ca="1">OFFSET(ORÇAMENTO!O$15,$L233,0)</f>
        <v>1.12.2.2.3.</v>
      </c>
      <c r="F233" s="163" t="str">
        <f ca="1">OFFSET(ORÇAMENTO!R$15,$L233,0)</f>
        <v>PINTURA TINTA DE ACABAMENTO (PIGMENTADA) ESMALTE SINTÉTICO FOSCO EM MADEIRA, 2 DEMÃOS. AF_01/2021</v>
      </c>
      <c r="G233" s="164" t="str">
        <f ca="1">IF($D233&lt;&gt;"Serviço","",OFFSET(ORÇAMENTO!S$15,$L233,0))</f>
        <v>M2</v>
      </c>
      <c r="H233" s="122" cm="1">
        <f t="array" aca="1" ref="H233" ca="1">IF($D233&lt;&gt;"Serviço",0,IF(ACOMPANHAMENTO="BM",ROUND(OFFSET(ORÇAMENTO!AJ$15,$L233,0),15-13*ORÇAMENTO!$AF$7),IF(IFERROR(CÁLCULO.FrentesPreenchidas,0)=0,0,SUM(ROUND(OFFSET($P233,0,1,1,CÁLCULO.FrentesPreenchidas),15-13*ORÇAMENTO!$AF$7)))))</f>
        <v>302.39999999999998</v>
      </c>
      <c r="I233" s="468"/>
      <c r="J233" s="651" t="str" cm="1">
        <f t="array" aca="1" ref="J233" ca="1">IF(OR(B233&lt;&gt;"S",CÁLCULO.FrentesPreenchidas=0),"",IF(AND(ACOMPANHAMENTO="PLE",AUTOEVENTO="Manual",OR(H233&gt;0,ORÇAMENTO!AC233="QUANT."),OR(K233="",M233=0,N233="")),"►E",IF(AND(ACOMPANHAMENTO="PLE",ORÇAMENTO!AC233="QUANT."),"►Q",IF(AND(ACOMPANHAMENTO="PLE",H233&lt;&gt;SUMPRODUCT(($Q$1:$AA$1=1)*ROUND(Q233:AA233,15))),"►S",IF(AND(COUNTIF($P$11:$AA$11,"▼")=0,H233&gt;0,I233=""),"◄M","")))))</f>
        <v/>
      </c>
      <c r="K233" s="652"/>
      <c r="L233" s="165">
        <f t="shared" ca="1" si="9"/>
        <v>218</v>
      </c>
      <c r="M233" s="166">
        <f ca="1">IF($D233&lt;&gt;"Serviço","",
          IF(AUTOEVENTO="manual",$A233,
                IF(ISERROR(MATCH($A233,$A$15:OFFSET($A233,-1,0),0)),MAX($M$15:OFFSET(M233,-1,0))+1,
                      INDEX($M$15:OFFSET(M233,-1,0),MATCH($A233,$A$15:OFFSET($A233,-1,0),0)))))</f>
        <v>12</v>
      </c>
      <c r="N233" s="167" t="str">
        <f ca="1">IF($D233&lt;&gt;"Serviço","",
         IF(AUTOEVENTO="Manual",
                IF($A233=0,"&lt;-- defina o número do agrupador",
                       OFFSET(EVENTOS!$D$15,$A233-$A$15,0)),
                OFFSET($F$15,$A233,0)))</f>
        <v>PINTURAS</v>
      </c>
      <c r="O233" s="168"/>
      <c r="Q233" s="168"/>
      <c r="R233" s="169"/>
      <c r="S233" s="169"/>
      <c r="T233" s="169"/>
      <c r="U233" s="169"/>
      <c r="V233" s="169"/>
      <c r="W233" s="169"/>
      <c r="X233" s="169"/>
      <c r="Y233" s="169"/>
      <c r="Z233" s="170"/>
      <c r="AB233" s="453">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3">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3">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3">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3">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3">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3">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3">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3">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3">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1">
        <f ca="1">IF(OR($D233&lt;&gt;"Serviço",AND(AUTOEVENTO="Manual",$M233=$A$15)),0,
         IF(OFFSET(CRONOPLE!$F$15,$M233-$A$15,AM$13)=0,10^12,OFFSET(CRONOPLE!$F$15,$M233-$A$15,AM$13)))</f>
        <v>1000000000000</v>
      </c>
      <c r="AN233" s="171">
        <f ca="1">IF(OR($D233&lt;&gt;"Serviço",AND(AUTOEVENTO="Manual",$M233=$A$15)),0,
         IF(OFFSET(CRONOPLE!$F$15,$M233-$A$15,AN$13)=0,10^12,OFFSET(CRONOPLE!$F$15,$M233-$A$15,AN$13)))</f>
        <v>1000000000000</v>
      </c>
      <c r="AO233" s="171">
        <f ca="1">IF(OR($D233&lt;&gt;"Serviço",AND(AUTOEVENTO="Manual",$M233=$A$15)),0,
         IF(OFFSET(CRONOPLE!$F$15,$M233-$A$15,AO$13)=0,10^12,OFFSET(CRONOPLE!$F$15,$M233-$A$15,AO$13)))</f>
        <v>1000000000000</v>
      </c>
      <c r="AP233" s="171">
        <f ca="1">IF(OR($D233&lt;&gt;"Serviço",AND(AUTOEVENTO="Manual",$M233=$A$15)),0,
         IF(OFFSET(CRONOPLE!$F$15,$M233-$A$15,AP$13)=0,10^12,OFFSET(CRONOPLE!$F$15,$M233-$A$15,AP$13)))</f>
        <v>1000000000000</v>
      </c>
      <c r="AQ233" s="171">
        <f ca="1">IF(OR($D233&lt;&gt;"Serviço",AND(AUTOEVENTO="Manual",$M233=$A$15)),0,
         IF(OFFSET(CRONOPLE!$F$15,$M233-$A$15,AQ$13)=0,10^12,OFFSET(CRONOPLE!$F$15,$M233-$A$15,AQ$13)))</f>
        <v>1000000000000</v>
      </c>
      <c r="AR233" s="171">
        <f ca="1">IF(OR($D233&lt;&gt;"Serviço",AND(AUTOEVENTO="Manual",$M233=$A$15)),0,
         IF(OFFSET(CRONOPLE!$F$15,$M233-$A$15,AR$13)=0,10^12,OFFSET(CRONOPLE!$F$15,$M233-$A$15,AR$13)))</f>
        <v>1000000000000</v>
      </c>
      <c r="AS233" s="171">
        <f ca="1">IF(OR($D233&lt;&gt;"Serviço",AND(AUTOEVENTO="Manual",$M233=$A$15)),0,
         IF(OFFSET(CRONOPLE!$F$15,$M233-$A$15,AS$13)=0,10^12,OFFSET(CRONOPLE!$F$15,$M233-$A$15,AS$13)))</f>
        <v>1000000000000</v>
      </c>
      <c r="AT233" s="171">
        <f ca="1">IF(OR($D233&lt;&gt;"Serviço",AND(AUTOEVENTO="Manual",$M233=$A$15)),0,
         IF(OFFSET(CRONOPLE!$F$15,$M233-$A$15,AT$13)=0,10^12,OFFSET(CRONOPLE!$F$15,$M233-$A$15,AT$13)))</f>
        <v>1000000000000</v>
      </c>
      <c r="AU233" s="171">
        <f ca="1">IF(OR($D233&lt;&gt;"Serviço",AND(AUTOEVENTO="Manual",$M233=$A$15)),0,
         IF(OFFSET(CRONOPLE!$F$15,$M233-$A$15,AU$13)=0,10^12,OFFSET(CRONOPLE!$F$15,$M233-$A$15,AU$13)))</f>
        <v>1000000000000</v>
      </c>
      <c r="AV233" s="171">
        <f ca="1">IF(OR($D233&lt;&gt;"Serviço",AND(AUTOEVENTO="Manual",$M233=$A$15)),0,
         IF(OFFSET(CRONOPLE!$F$15,$M233-$A$15,AV$13)=0,10^12,OFFSET(CRONOPLE!$F$15,$M233-$A$15,AV$13)))</f>
        <v>1000000000000</v>
      </c>
      <c r="AX233" s="172" cm="1">
        <f t="array" aca="1" ref="AX233" ca="1">IF(OR($D233&lt;&gt;"Serviço",AND(AUTOEVENTO="Manual",$M233=$A$15),$M233&gt;(ROW(PLE.lastrow)-ROW(PLE.firstrow))),0,
           IF(OFFSET(PLE!$G$15,$M233-$A$15,AX$13)="",10^12,OFFSET(PLE!$G$15,$M233-$A$15,AX$13)))</f>
        <v>1000000000000</v>
      </c>
      <c r="AY233" s="172" cm="1">
        <f t="array" aca="1" ref="AY233" ca="1">IF(OR($D233&lt;&gt;"Serviço",AND(AUTOEVENTO="Manual",$M233=$A$15),$M233&gt;(ROW(PLE.lastrow)-ROW(PLE.firstrow))),0,
           IF(OFFSET(PLE!$G$15,$M233-$A$15,AY$13)="",10^12,OFFSET(PLE!$G$15,$M233-$A$15,AY$13)))</f>
        <v>1000000000000</v>
      </c>
      <c r="AZ233" s="172" cm="1">
        <f t="array" aca="1" ref="AZ233" ca="1">IF(OR($D233&lt;&gt;"Serviço",AND(AUTOEVENTO="Manual",$M233=$A$15),$M233&gt;(ROW(PLE.lastrow)-ROW(PLE.firstrow))),0,
           IF(OFFSET(PLE!$G$15,$M233-$A$15,AZ$13)="",10^12,OFFSET(PLE!$G$15,$M233-$A$15,AZ$13)))</f>
        <v>1000000000000</v>
      </c>
      <c r="BA233" s="172" cm="1">
        <f t="array" aca="1" ref="BA233" ca="1">IF(OR($D233&lt;&gt;"Serviço",AND(AUTOEVENTO="Manual",$M233=$A$15),$M233&gt;(ROW(PLE.lastrow)-ROW(PLE.firstrow))),0,
           IF(OFFSET(PLE!$G$15,$M233-$A$15,BA$13)="",10^12,OFFSET(PLE!$G$15,$M233-$A$15,BA$13)))</f>
        <v>1000000000000</v>
      </c>
      <c r="BB233" s="172" cm="1">
        <f t="array" aca="1" ref="BB233" ca="1">IF(OR($D233&lt;&gt;"Serviço",AND(AUTOEVENTO="Manual",$M233=$A$15),$M233&gt;(ROW(PLE.lastrow)-ROW(PLE.firstrow))),0,
           IF(OFFSET(PLE!$G$15,$M233-$A$15,BB$13)="",10^12,OFFSET(PLE!$G$15,$M233-$A$15,BB$13)))</f>
        <v>1000000000000</v>
      </c>
      <c r="BC233" s="172" cm="1">
        <f t="array" aca="1" ref="BC233" ca="1">IF(OR($D233&lt;&gt;"Serviço",AND(AUTOEVENTO="Manual",$M233=$A$15),$M233&gt;(ROW(PLE.lastrow)-ROW(PLE.firstrow))),0,
           IF(OFFSET(PLE!$G$15,$M233-$A$15,BC$13)="",10^12,OFFSET(PLE!$G$15,$M233-$A$15,BC$13)))</f>
        <v>1000000000000</v>
      </c>
      <c r="BD233" s="172" cm="1">
        <f t="array" aca="1" ref="BD233" ca="1">IF(OR($D233&lt;&gt;"Serviço",AND(AUTOEVENTO="Manual",$M233=$A$15),$M233&gt;(ROW(PLE.lastrow)-ROW(PLE.firstrow))),0,
           IF(OFFSET(PLE!$G$15,$M233-$A$15,BD$13)="",10^12,OFFSET(PLE!$G$15,$M233-$A$15,BD$13)))</f>
        <v>1000000000000</v>
      </c>
      <c r="BE233" s="172" cm="1">
        <f t="array" aca="1" ref="BE233" ca="1">IF(OR($D233&lt;&gt;"Serviço",AND(AUTOEVENTO="Manual",$M233=$A$15),$M233&gt;(ROW(PLE.lastrow)-ROW(PLE.firstrow))),0,
           IF(OFFSET(PLE!$G$15,$M233-$A$15,BE$13)="",10^12,OFFSET(PLE!$G$15,$M233-$A$15,BE$13)))</f>
        <v>1000000000000</v>
      </c>
      <c r="BF233" s="172" cm="1">
        <f t="array" aca="1" ref="BF233" ca="1">IF(OR($D233&lt;&gt;"Serviço",AND(AUTOEVENTO="Manual",$M233=$A$15),$M233&gt;(ROW(PLE.lastrow)-ROW(PLE.firstrow))),0,
           IF(OFFSET(PLE!$G$15,$M233-$A$15,BF$13)="",10^12,OFFSET(PLE!$G$15,$M233-$A$15,BF$13)))</f>
        <v>1000000000000</v>
      </c>
      <c r="BG233" s="172" cm="1">
        <f t="array" aca="1" ref="BG233" ca="1">IF(OR($D233&lt;&gt;"Serviço",AND(AUTOEVENTO="Manual",$M233=$A$15),$M233&gt;(ROW(PLE.lastrow)-ROW(PLE.firstrow))),0,
           IF(OFFSET(PLE!$G$15,$M233-$A$15,BG$13)="",10^12,OFFSET(PLE!$G$15,$M233-$A$15,BG$13)))</f>
        <v>1000000000000</v>
      </c>
    </row>
    <row r="234" spans="1:59" ht="12.75" x14ac:dyDescent="0.2">
      <c r="A234" s="7" t="str">
        <f t="shared" ca="1" si="8"/>
        <v>219.</v>
      </c>
      <c r="B234" s="7">
        <f ca="1">OFFSET(ORÇAMENTO!C$15,$L234,0)</f>
        <v>2</v>
      </c>
      <c r="C234" s="7" t="str">
        <f ca="1">OFFSET(ORÇAMENTO!L$15,$L234,0)</f>
        <v>F</v>
      </c>
      <c r="D234" s="116" t="str">
        <f ca="1">OFFSET(ORÇAMENTO!N$15,$L234,0)</f>
        <v>Nível 2</v>
      </c>
      <c r="E234" s="117" t="str">
        <f ca="1">OFFSET(ORÇAMENTO!O$15,$L234,0)</f>
        <v>1.13.</v>
      </c>
      <c r="F234" s="163" t="str">
        <f ca="1">OFFSET(ORÇAMENTO!R$15,$L234,0)</f>
        <v>LIMPEZA FINAL DE OBRA</v>
      </c>
      <c r="G234" s="164" t="str">
        <f ca="1">IF($D234&lt;&gt;"Serviço","",OFFSET(ORÇAMENTO!S$15,$L234,0))</f>
        <v/>
      </c>
      <c r="H234" s="122" cm="1">
        <f t="array" aca="1" ref="H234" ca="1">IF($D234&lt;&gt;"Serviço",0,IF(ACOMPANHAMENTO="BM",ROUND(OFFSET(ORÇAMENTO!AJ$15,$L234,0),15-13*ORÇAMENTO!$AF$7),IF(IFERROR(CÁLCULO.FrentesPreenchidas,0)=0,0,SUM(ROUND(OFFSET($P234,0,1,1,CÁLCULO.FrentesPreenchidas),15-13*ORÇAMENTO!$AF$7)))))</f>
        <v>0</v>
      </c>
      <c r="I234" s="468"/>
      <c r="J234" s="651" t="str" cm="1">
        <f t="array" aca="1" ref="J234" ca="1">IF(OR(B234&lt;&gt;"S",CÁLCULO.FrentesPreenchidas=0),"",IF(AND(ACOMPANHAMENTO="PLE",AUTOEVENTO="Manual",OR(H234&gt;0,ORÇAMENTO!AC234="QUANT."),OR(K234="",M234=0,N234="")),"►E",IF(AND(ACOMPANHAMENTO="PLE",ORÇAMENTO!AC234="QUANT."),"►Q",IF(AND(ACOMPANHAMENTO="PLE",H234&lt;&gt;SUMPRODUCT(($Q$1:$AA$1=1)*ROUND(Q234:AA234,15))),"►S",IF(AND(COUNTIF($P$11:$AA$11,"▼")=0,H234&gt;0,I234=""),"◄M","")))))</f>
        <v/>
      </c>
      <c r="K234" s="652"/>
      <c r="L234" s="165">
        <f t="shared" ca="1" si="9"/>
        <v>219</v>
      </c>
      <c r="M234" s="166" t="str">
        <f ca="1">IF($D234&lt;&gt;"Serviço","",
          IF(AUTOEVENTO="manual",$A234,
                IF(ISERROR(MATCH($A234,$A$15:OFFSET($A234,-1,0),0)),MAX($M$15:OFFSET(M234,-1,0))+1,
                      INDEX($M$15:OFFSET(M234,-1,0),MATCH($A234,$A$15:OFFSET($A234,-1,0),0)))))</f>
        <v/>
      </c>
      <c r="N234" s="167" t="str">
        <f ca="1">IF($D234&lt;&gt;"Serviço","",
         IF(AUTOEVENTO="Manual",
                IF($A234=0,"&lt;-- defina o número do agrupador",
                       OFFSET(EVENTOS!$D$15,$A234-$A$15,0)),
                OFFSET($F$15,$A234,0)))</f>
        <v/>
      </c>
      <c r="O234" s="168"/>
      <c r="Q234" s="168"/>
      <c r="R234" s="169"/>
      <c r="S234" s="169"/>
      <c r="T234" s="169"/>
      <c r="U234" s="169"/>
      <c r="V234" s="169"/>
      <c r="W234" s="169"/>
      <c r="X234" s="169"/>
      <c r="Y234" s="169"/>
      <c r="Z234" s="170"/>
      <c r="AB234" s="453">
        <f ca="1">IF(AND($D234="Serviço",AB$12&lt;&gt;0,$H234&gt;0,OR(AUTOEVENTO&lt;&gt;"manual",$M234&lt;&gt;$A$15)),
        IF(Import.TipoArredondamento&lt;&gt;"TransfereGOV",
              ROUND(OFFSET($P234,0,AB$13),15-13*ORÇAMENTO!$AF$7)/$H234*OFFSET(ORÇAMENTO!$X$15,ROW(AB234)-ROW(AB$15),0),
              ROUND(ROUND(OFFSET($P234,0,AB$13),15-13*ORÇAMENTO!$AF$7)*OFFSET(ORÇAMENTO!$W$15,ROW(AB234)-ROW(AB$15),0),15-13*ORÇAMENTO!$AF$11)),
         0)</f>
        <v>0</v>
      </c>
      <c r="AC234" s="453">
        <f ca="1">IF(AND($D234="Serviço",AC$12&lt;&gt;0,$H234&gt;0,OR(AUTOEVENTO&lt;&gt;"manual",$M234&lt;&gt;$A$15)),
        IF(Import.TipoArredondamento&lt;&gt;"TransfereGOV",
              ROUND(OFFSET($P234,0,AC$13),15-13*ORÇAMENTO!$AF$7)/$H234*OFFSET(ORÇAMENTO!$X$15,ROW(AC234)-ROW(AC$15),0),
              ROUND(ROUND(OFFSET($P234,0,AC$13),15-13*ORÇAMENTO!$AF$7)*OFFSET(ORÇAMENTO!$W$15,ROW(AC234)-ROW(AC$15),0),15-13*ORÇAMENTO!$AF$11)),
         0)</f>
        <v>0</v>
      </c>
      <c r="AD234" s="453">
        <f ca="1">IF(AND($D234="Serviço",AD$12&lt;&gt;0,$H234&gt;0,OR(AUTOEVENTO&lt;&gt;"manual",$M234&lt;&gt;$A$15)),
        IF(Import.TipoArredondamento&lt;&gt;"TransfereGOV",
              ROUND(OFFSET($P234,0,AD$13),15-13*ORÇAMENTO!$AF$7)/$H234*OFFSET(ORÇAMENTO!$X$15,ROW(AD234)-ROW(AD$15),0),
              ROUND(ROUND(OFFSET($P234,0,AD$13),15-13*ORÇAMENTO!$AF$7)*OFFSET(ORÇAMENTO!$W$15,ROW(AD234)-ROW(AD$15),0),15-13*ORÇAMENTO!$AF$11)),
         0)</f>
        <v>0</v>
      </c>
      <c r="AE234" s="453">
        <f ca="1">IF(AND($D234="Serviço",AE$12&lt;&gt;0,$H234&gt;0,OR(AUTOEVENTO&lt;&gt;"manual",$M234&lt;&gt;$A$15)),
        IF(Import.TipoArredondamento&lt;&gt;"TransfereGOV",
              ROUND(OFFSET($P234,0,AE$13),15-13*ORÇAMENTO!$AF$7)/$H234*OFFSET(ORÇAMENTO!$X$15,ROW(AE234)-ROW(AE$15),0),
              ROUND(ROUND(OFFSET($P234,0,AE$13),15-13*ORÇAMENTO!$AF$7)*OFFSET(ORÇAMENTO!$W$15,ROW(AE234)-ROW(AE$15),0),15-13*ORÇAMENTO!$AF$11)),
         0)</f>
        <v>0</v>
      </c>
      <c r="AF234" s="453">
        <f ca="1">IF(AND($D234="Serviço",AF$12&lt;&gt;0,$H234&gt;0,OR(AUTOEVENTO&lt;&gt;"manual",$M234&lt;&gt;$A$15)),
        IF(Import.TipoArredondamento&lt;&gt;"TransfereGOV",
              ROUND(OFFSET($P234,0,AF$13),15-13*ORÇAMENTO!$AF$7)/$H234*OFFSET(ORÇAMENTO!$X$15,ROW(AF234)-ROW(AF$15),0),
              ROUND(ROUND(OFFSET($P234,0,AF$13),15-13*ORÇAMENTO!$AF$7)*OFFSET(ORÇAMENTO!$W$15,ROW(AF234)-ROW(AF$15),0),15-13*ORÇAMENTO!$AF$11)),
         0)</f>
        <v>0</v>
      </c>
      <c r="AG234" s="453">
        <f ca="1">IF(AND($D234="Serviço",AG$12&lt;&gt;0,$H234&gt;0,OR(AUTOEVENTO&lt;&gt;"manual",$M234&lt;&gt;$A$15)),
        IF(Import.TipoArredondamento&lt;&gt;"TransfereGOV",
              ROUND(OFFSET($P234,0,AG$13),15-13*ORÇAMENTO!$AF$7)/$H234*OFFSET(ORÇAMENTO!$X$15,ROW(AG234)-ROW(AG$15),0),
              ROUND(ROUND(OFFSET($P234,0,AG$13),15-13*ORÇAMENTO!$AF$7)*OFFSET(ORÇAMENTO!$W$15,ROW(AG234)-ROW(AG$15),0),15-13*ORÇAMENTO!$AF$11)),
         0)</f>
        <v>0</v>
      </c>
      <c r="AH234" s="453">
        <f ca="1">IF(AND($D234="Serviço",AH$12&lt;&gt;0,$H234&gt;0,OR(AUTOEVENTO&lt;&gt;"manual",$M234&lt;&gt;$A$15)),
        IF(Import.TipoArredondamento&lt;&gt;"TransfereGOV",
              ROUND(OFFSET($P234,0,AH$13),15-13*ORÇAMENTO!$AF$7)/$H234*OFFSET(ORÇAMENTO!$X$15,ROW(AH234)-ROW(AH$15),0),
              ROUND(ROUND(OFFSET($P234,0,AH$13),15-13*ORÇAMENTO!$AF$7)*OFFSET(ORÇAMENTO!$W$15,ROW(AH234)-ROW(AH$15),0),15-13*ORÇAMENTO!$AF$11)),
         0)</f>
        <v>0</v>
      </c>
      <c r="AI234" s="453">
        <f ca="1">IF(AND($D234="Serviço",AI$12&lt;&gt;0,$H234&gt;0,OR(AUTOEVENTO&lt;&gt;"manual",$M234&lt;&gt;$A$15)),
        IF(Import.TipoArredondamento&lt;&gt;"TransfereGOV",
              ROUND(OFFSET($P234,0,AI$13),15-13*ORÇAMENTO!$AF$7)/$H234*OFFSET(ORÇAMENTO!$X$15,ROW(AI234)-ROW(AI$15),0),
              ROUND(ROUND(OFFSET($P234,0,AI$13),15-13*ORÇAMENTO!$AF$7)*OFFSET(ORÇAMENTO!$W$15,ROW(AI234)-ROW(AI$15),0),15-13*ORÇAMENTO!$AF$11)),
         0)</f>
        <v>0</v>
      </c>
      <c r="AJ234" s="453">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3">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M234" s="171">
        <f ca="1">IF(OR($D234&lt;&gt;"Serviço",AND(AUTOEVENTO="Manual",$M234=$A$15)),0,
         IF(OFFSET(CRONOPLE!$F$15,$M234-$A$15,AM$13)=0,10^12,OFFSET(CRONOPLE!$F$15,$M234-$A$15,AM$13)))</f>
        <v>0</v>
      </c>
      <c r="AN234" s="171">
        <f ca="1">IF(OR($D234&lt;&gt;"Serviço",AND(AUTOEVENTO="Manual",$M234=$A$15)),0,
         IF(OFFSET(CRONOPLE!$F$15,$M234-$A$15,AN$13)=0,10^12,OFFSET(CRONOPLE!$F$15,$M234-$A$15,AN$13)))</f>
        <v>0</v>
      </c>
      <c r="AO234" s="171">
        <f ca="1">IF(OR($D234&lt;&gt;"Serviço",AND(AUTOEVENTO="Manual",$M234=$A$15)),0,
         IF(OFFSET(CRONOPLE!$F$15,$M234-$A$15,AO$13)=0,10^12,OFFSET(CRONOPLE!$F$15,$M234-$A$15,AO$13)))</f>
        <v>0</v>
      </c>
      <c r="AP234" s="171">
        <f ca="1">IF(OR($D234&lt;&gt;"Serviço",AND(AUTOEVENTO="Manual",$M234=$A$15)),0,
         IF(OFFSET(CRONOPLE!$F$15,$M234-$A$15,AP$13)=0,10^12,OFFSET(CRONOPLE!$F$15,$M234-$A$15,AP$13)))</f>
        <v>0</v>
      </c>
      <c r="AQ234" s="171">
        <f ca="1">IF(OR($D234&lt;&gt;"Serviço",AND(AUTOEVENTO="Manual",$M234=$A$15)),0,
         IF(OFFSET(CRONOPLE!$F$15,$M234-$A$15,AQ$13)=0,10^12,OFFSET(CRONOPLE!$F$15,$M234-$A$15,AQ$13)))</f>
        <v>0</v>
      </c>
      <c r="AR234" s="171">
        <f ca="1">IF(OR($D234&lt;&gt;"Serviço",AND(AUTOEVENTO="Manual",$M234=$A$15)),0,
         IF(OFFSET(CRONOPLE!$F$15,$M234-$A$15,AR$13)=0,10^12,OFFSET(CRONOPLE!$F$15,$M234-$A$15,AR$13)))</f>
        <v>0</v>
      </c>
      <c r="AS234" s="171">
        <f ca="1">IF(OR($D234&lt;&gt;"Serviço",AND(AUTOEVENTO="Manual",$M234=$A$15)),0,
         IF(OFFSET(CRONOPLE!$F$15,$M234-$A$15,AS$13)=0,10^12,OFFSET(CRONOPLE!$F$15,$M234-$A$15,AS$13)))</f>
        <v>0</v>
      </c>
      <c r="AT234" s="171">
        <f ca="1">IF(OR($D234&lt;&gt;"Serviço",AND(AUTOEVENTO="Manual",$M234=$A$15)),0,
         IF(OFFSET(CRONOPLE!$F$15,$M234-$A$15,AT$13)=0,10^12,OFFSET(CRONOPLE!$F$15,$M234-$A$15,AT$13)))</f>
        <v>0</v>
      </c>
      <c r="AU234" s="171">
        <f ca="1">IF(OR($D234&lt;&gt;"Serviço",AND(AUTOEVENTO="Manual",$M234=$A$15)),0,
         IF(OFFSET(CRONOPLE!$F$15,$M234-$A$15,AU$13)=0,10^12,OFFSET(CRONOPLE!$F$15,$M234-$A$15,AU$13)))</f>
        <v>0</v>
      </c>
      <c r="AV234" s="171">
        <f ca="1">IF(OR($D234&lt;&gt;"Serviço",AND(AUTOEVENTO="Manual",$M234=$A$15)),0,
         IF(OFFSET(CRONOPLE!$F$15,$M234-$A$15,AV$13)=0,10^12,OFFSET(CRONOPLE!$F$15,$M234-$A$15,AV$13)))</f>
        <v>0</v>
      </c>
      <c r="AX234" s="172" cm="1">
        <f t="array" aca="1" ref="AX234" ca="1">IF(OR($D234&lt;&gt;"Serviço",AND(AUTOEVENTO="Manual",$M234=$A$15),$M234&gt;(ROW(PLE.lastrow)-ROW(PLE.firstrow))),0,
           IF(OFFSET(PLE!$G$15,$M234-$A$15,AX$13)="",10^12,OFFSET(PLE!$G$15,$M234-$A$15,AX$13)))</f>
        <v>0</v>
      </c>
      <c r="AY234" s="172" cm="1">
        <f t="array" aca="1" ref="AY234" ca="1">IF(OR($D234&lt;&gt;"Serviço",AND(AUTOEVENTO="Manual",$M234=$A$15),$M234&gt;(ROW(PLE.lastrow)-ROW(PLE.firstrow))),0,
           IF(OFFSET(PLE!$G$15,$M234-$A$15,AY$13)="",10^12,OFFSET(PLE!$G$15,$M234-$A$15,AY$13)))</f>
        <v>0</v>
      </c>
      <c r="AZ234" s="172" cm="1">
        <f t="array" aca="1" ref="AZ234" ca="1">IF(OR($D234&lt;&gt;"Serviço",AND(AUTOEVENTO="Manual",$M234=$A$15),$M234&gt;(ROW(PLE.lastrow)-ROW(PLE.firstrow))),0,
           IF(OFFSET(PLE!$G$15,$M234-$A$15,AZ$13)="",10^12,OFFSET(PLE!$G$15,$M234-$A$15,AZ$13)))</f>
        <v>0</v>
      </c>
      <c r="BA234" s="172" cm="1">
        <f t="array" aca="1" ref="BA234" ca="1">IF(OR($D234&lt;&gt;"Serviço",AND(AUTOEVENTO="Manual",$M234=$A$15),$M234&gt;(ROW(PLE.lastrow)-ROW(PLE.firstrow))),0,
           IF(OFFSET(PLE!$G$15,$M234-$A$15,BA$13)="",10^12,OFFSET(PLE!$G$15,$M234-$A$15,BA$13)))</f>
        <v>0</v>
      </c>
      <c r="BB234" s="172" cm="1">
        <f t="array" aca="1" ref="BB234" ca="1">IF(OR($D234&lt;&gt;"Serviço",AND(AUTOEVENTO="Manual",$M234=$A$15),$M234&gt;(ROW(PLE.lastrow)-ROW(PLE.firstrow))),0,
           IF(OFFSET(PLE!$G$15,$M234-$A$15,BB$13)="",10^12,OFFSET(PLE!$G$15,$M234-$A$15,BB$13)))</f>
        <v>0</v>
      </c>
      <c r="BC234" s="172" cm="1">
        <f t="array" aca="1" ref="BC234" ca="1">IF(OR($D234&lt;&gt;"Serviço",AND(AUTOEVENTO="Manual",$M234=$A$15),$M234&gt;(ROW(PLE.lastrow)-ROW(PLE.firstrow))),0,
           IF(OFFSET(PLE!$G$15,$M234-$A$15,BC$13)="",10^12,OFFSET(PLE!$G$15,$M234-$A$15,BC$13)))</f>
        <v>0</v>
      </c>
      <c r="BD234" s="172" cm="1">
        <f t="array" aca="1" ref="BD234" ca="1">IF(OR($D234&lt;&gt;"Serviço",AND(AUTOEVENTO="Manual",$M234=$A$15),$M234&gt;(ROW(PLE.lastrow)-ROW(PLE.firstrow))),0,
           IF(OFFSET(PLE!$G$15,$M234-$A$15,BD$13)="",10^12,OFFSET(PLE!$G$15,$M234-$A$15,BD$13)))</f>
        <v>0</v>
      </c>
      <c r="BE234" s="172" cm="1">
        <f t="array" aca="1" ref="BE234" ca="1">IF(OR($D234&lt;&gt;"Serviço",AND(AUTOEVENTO="Manual",$M234=$A$15),$M234&gt;(ROW(PLE.lastrow)-ROW(PLE.firstrow))),0,
           IF(OFFSET(PLE!$G$15,$M234-$A$15,BE$13)="",10^12,OFFSET(PLE!$G$15,$M234-$A$15,BE$13)))</f>
        <v>0</v>
      </c>
      <c r="BF234" s="172" cm="1">
        <f t="array" aca="1" ref="BF234" ca="1">IF(OR($D234&lt;&gt;"Serviço",AND(AUTOEVENTO="Manual",$M234=$A$15),$M234&gt;(ROW(PLE.lastrow)-ROW(PLE.firstrow))),0,
           IF(OFFSET(PLE!$G$15,$M234-$A$15,BF$13)="",10^12,OFFSET(PLE!$G$15,$M234-$A$15,BF$13)))</f>
        <v>0</v>
      </c>
      <c r="BG234" s="172" cm="1">
        <f t="array" aca="1" ref="BG234" ca="1">IF(OR($D234&lt;&gt;"Serviço",AND(AUTOEVENTO="Manual",$M234=$A$15),$M234&gt;(ROW(PLE.lastrow)-ROW(PLE.firstrow))),0,
           IF(OFFSET(PLE!$G$15,$M234-$A$15,BG$13)="",10^12,OFFSET(PLE!$G$15,$M234-$A$15,BG$13)))</f>
        <v>0</v>
      </c>
    </row>
    <row r="235" spans="1:59" ht="38.25" x14ac:dyDescent="0.2">
      <c r="A235" s="7" t="str">
        <f t="shared" ca="1" si="8"/>
        <v>219</v>
      </c>
      <c r="B235" s="7" t="str">
        <f ca="1">OFFSET(ORÇAMENTO!C$15,$L235,0)</f>
        <v>S</v>
      </c>
      <c r="C235" s="7" t="str">
        <f ca="1">OFFSET(ORÇAMENTO!L$15,$L235,0)</f>
        <v>F</v>
      </c>
      <c r="D235" s="116" t="str">
        <f ca="1">OFFSET(ORÇAMENTO!N$15,$L235,0)</f>
        <v>Serviço</v>
      </c>
      <c r="E235" s="117" t="str">
        <f ca="1">OFFSET(ORÇAMENTO!O$15,$L235,0)</f>
        <v>1.13.0.0.1.</v>
      </c>
      <c r="F235" s="163" t="str">
        <f ca="1">OFFSET(ORÇAMENTO!R$15,$L235,0)</f>
        <v>LIMPEZA DE PISO CERÂMICO/ PORCELANATO/ MÁRMORE/ GRANITO UTILIZANDO DETERGENTE NEUTRO E ESCOVAÇÃO MANUAL. AF_10/2025_PS</v>
      </c>
      <c r="G235" s="164" t="str">
        <f ca="1">IF($D235&lt;&gt;"Serviço","",OFFSET(ORÇAMENTO!S$15,$L235,0))</f>
        <v>M2</v>
      </c>
      <c r="H235" s="122" cm="1">
        <f t="array" aca="1" ref="H235" ca="1">IF($D235&lt;&gt;"Serviço",0,IF(ACOMPANHAMENTO="BM",ROUND(OFFSET(ORÇAMENTO!AJ$15,$L235,0),15-13*ORÇAMENTO!$AF$7),IF(IFERROR(CÁLCULO.FrentesPreenchidas,0)=0,0,SUM(ROUND(OFFSET($P235,0,1,1,CÁLCULO.FrentesPreenchidas),15-13*ORÇAMENTO!$AF$7)))))</f>
        <v>1160.7</v>
      </c>
      <c r="I235" s="468"/>
      <c r="J235" s="651" t="str" cm="1">
        <f t="array" aca="1" ref="J235" ca="1">IF(OR(B235&lt;&gt;"S",CÁLCULO.FrentesPreenchidas=0),"",IF(AND(ACOMPANHAMENTO="PLE",AUTOEVENTO="Manual",OR(H235&gt;0,ORÇAMENTO!AC235="QUANT."),OR(K235="",M235=0,N235="")),"►E",IF(AND(ACOMPANHAMENTO="PLE",ORÇAMENTO!AC235="QUANT."),"►Q",IF(AND(ACOMPANHAMENTO="PLE",H235&lt;&gt;SUMPRODUCT(($Q$1:$AA$1=1)*ROUND(Q235:AA235,15))),"►S",IF(AND(COUNTIF($P$11:$AA$11,"▼")=0,H235&gt;0,I235=""),"◄M","")))))</f>
        <v/>
      </c>
      <c r="K235" s="652"/>
      <c r="L235" s="165">
        <f t="shared" ca="1" si="9"/>
        <v>220</v>
      </c>
      <c r="M235" s="166">
        <f ca="1">IF($D235&lt;&gt;"Serviço","",
          IF(AUTOEVENTO="manual",$A235,
                IF(ISERROR(MATCH($A235,$A$15:OFFSET($A235,-1,0),0)),MAX($M$15:OFFSET(M235,-1,0))+1,
                      INDEX($M$15:OFFSET(M235,-1,0),MATCH($A235,$A$15:OFFSET($A235,-1,0),0)))))</f>
        <v>13</v>
      </c>
      <c r="N235" s="167" t="str">
        <f ca="1">IF($D235&lt;&gt;"Serviço","",
         IF(AUTOEVENTO="Manual",
                IF($A235=0,"&lt;-- defina o número do agrupador",
                       OFFSET(EVENTOS!$D$15,$A235-$A$15,0)),
                OFFSET($F$15,$A235,0)))</f>
        <v>LIMPEZA FINAL DE OBRA</v>
      </c>
      <c r="O235" s="168"/>
      <c r="Q235" s="168"/>
      <c r="R235" s="169"/>
      <c r="S235" s="169"/>
      <c r="T235" s="169"/>
      <c r="U235" s="169"/>
      <c r="V235" s="169"/>
      <c r="W235" s="169"/>
      <c r="X235" s="169"/>
      <c r="Y235" s="169"/>
      <c r="Z235" s="170"/>
      <c r="AB235" s="453">
        <f ca="1">IF(AND($D235="Serviço",AB$12&lt;&gt;0,$H235&gt;0,OR(AUTOEVENTO&lt;&gt;"manual",$M235&lt;&gt;$A$15)),
        IF(Import.TipoArredondamento&lt;&gt;"TransfereGOV",
              ROUND(OFFSET($P235,0,AB$13),15-13*ORÇAMENTO!$AF$7)/$H235*OFFSET(ORÇAMENTO!$X$15,ROW(AB235)-ROW(AB$15),0),
              ROUND(ROUND(OFFSET($P235,0,AB$13),15-13*ORÇAMENTO!$AF$7)*OFFSET(ORÇAMENTO!$W$15,ROW(AB235)-ROW(AB$15),0),15-13*ORÇAMENTO!$AF$11)),
         0)</f>
        <v>0</v>
      </c>
      <c r="AC235" s="453">
        <f ca="1">IF(AND($D235="Serviço",AC$12&lt;&gt;0,$H235&gt;0,OR(AUTOEVENTO&lt;&gt;"manual",$M235&lt;&gt;$A$15)),
        IF(Import.TipoArredondamento&lt;&gt;"TransfereGOV",
              ROUND(OFFSET($P235,0,AC$13),15-13*ORÇAMENTO!$AF$7)/$H235*OFFSET(ORÇAMENTO!$X$15,ROW(AC235)-ROW(AC$15),0),
              ROUND(ROUND(OFFSET($P235,0,AC$13),15-13*ORÇAMENTO!$AF$7)*OFFSET(ORÇAMENTO!$W$15,ROW(AC235)-ROW(AC$15),0),15-13*ORÇAMENTO!$AF$11)),
         0)</f>
        <v>0</v>
      </c>
      <c r="AD235" s="453">
        <f ca="1">IF(AND($D235="Serviço",AD$12&lt;&gt;0,$H235&gt;0,OR(AUTOEVENTO&lt;&gt;"manual",$M235&lt;&gt;$A$15)),
        IF(Import.TipoArredondamento&lt;&gt;"TransfereGOV",
              ROUND(OFFSET($P235,0,AD$13),15-13*ORÇAMENTO!$AF$7)/$H235*OFFSET(ORÇAMENTO!$X$15,ROW(AD235)-ROW(AD$15),0),
              ROUND(ROUND(OFFSET($P235,0,AD$13),15-13*ORÇAMENTO!$AF$7)*OFFSET(ORÇAMENTO!$W$15,ROW(AD235)-ROW(AD$15),0),15-13*ORÇAMENTO!$AF$11)),
         0)</f>
        <v>0</v>
      </c>
      <c r="AE235" s="453">
        <f ca="1">IF(AND($D235="Serviço",AE$12&lt;&gt;0,$H235&gt;0,OR(AUTOEVENTO&lt;&gt;"manual",$M235&lt;&gt;$A$15)),
        IF(Import.TipoArredondamento&lt;&gt;"TransfereGOV",
              ROUND(OFFSET($P235,0,AE$13),15-13*ORÇAMENTO!$AF$7)/$H235*OFFSET(ORÇAMENTO!$X$15,ROW(AE235)-ROW(AE$15),0),
              ROUND(ROUND(OFFSET($P235,0,AE$13),15-13*ORÇAMENTO!$AF$7)*OFFSET(ORÇAMENTO!$W$15,ROW(AE235)-ROW(AE$15),0),15-13*ORÇAMENTO!$AF$11)),
         0)</f>
        <v>0</v>
      </c>
      <c r="AF235" s="453">
        <f ca="1">IF(AND($D235="Serviço",AF$12&lt;&gt;0,$H235&gt;0,OR(AUTOEVENTO&lt;&gt;"manual",$M235&lt;&gt;$A$15)),
        IF(Import.TipoArredondamento&lt;&gt;"TransfereGOV",
              ROUND(OFFSET($P235,0,AF$13),15-13*ORÇAMENTO!$AF$7)/$H235*OFFSET(ORÇAMENTO!$X$15,ROW(AF235)-ROW(AF$15),0),
              ROUND(ROUND(OFFSET($P235,0,AF$13),15-13*ORÇAMENTO!$AF$7)*OFFSET(ORÇAMENTO!$W$15,ROW(AF235)-ROW(AF$15),0),15-13*ORÇAMENTO!$AF$11)),
         0)</f>
        <v>0</v>
      </c>
      <c r="AG235" s="453">
        <f ca="1">IF(AND($D235="Serviço",AG$12&lt;&gt;0,$H235&gt;0,OR(AUTOEVENTO&lt;&gt;"manual",$M235&lt;&gt;$A$15)),
        IF(Import.TipoArredondamento&lt;&gt;"TransfereGOV",
              ROUND(OFFSET($P235,0,AG$13),15-13*ORÇAMENTO!$AF$7)/$H235*OFFSET(ORÇAMENTO!$X$15,ROW(AG235)-ROW(AG$15),0),
              ROUND(ROUND(OFFSET($P235,0,AG$13),15-13*ORÇAMENTO!$AF$7)*OFFSET(ORÇAMENTO!$W$15,ROW(AG235)-ROW(AG$15),0),15-13*ORÇAMENTO!$AF$11)),
         0)</f>
        <v>0</v>
      </c>
      <c r="AH235" s="453">
        <f ca="1">IF(AND($D235="Serviço",AH$12&lt;&gt;0,$H235&gt;0,OR(AUTOEVENTO&lt;&gt;"manual",$M235&lt;&gt;$A$15)),
        IF(Import.TipoArredondamento&lt;&gt;"TransfereGOV",
              ROUND(OFFSET($P235,0,AH$13),15-13*ORÇAMENTO!$AF$7)/$H235*OFFSET(ORÇAMENTO!$X$15,ROW(AH235)-ROW(AH$15),0),
              ROUND(ROUND(OFFSET($P235,0,AH$13),15-13*ORÇAMENTO!$AF$7)*OFFSET(ORÇAMENTO!$W$15,ROW(AH235)-ROW(AH$15),0),15-13*ORÇAMENTO!$AF$11)),
         0)</f>
        <v>0</v>
      </c>
      <c r="AI235" s="453">
        <f ca="1">IF(AND($D235="Serviço",AI$12&lt;&gt;0,$H235&gt;0,OR(AUTOEVENTO&lt;&gt;"manual",$M235&lt;&gt;$A$15)),
        IF(Import.TipoArredondamento&lt;&gt;"TransfereGOV",
              ROUND(OFFSET($P235,0,AI$13),15-13*ORÇAMENTO!$AF$7)/$H235*OFFSET(ORÇAMENTO!$X$15,ROW(AI235)-ROW(AI$15),0),
              ROUND(ROUND(OFFSET($P235,0,AI$13),15-13*ORÇAMENTO!$AF$7)*OFFSET(ORÇAMENTO!$W$15,ROW(AI235)-ROW(AI$15),0),15-13*ORÇAMENTO!$AF$11)),
         0)</f>
        <v>0</v>
      </c>
      <c r="AJ235" s="453">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3">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M235" s="171">
        <f ca="1">IF(OR($D235&lt;&gt;"Serviço",AND(AUTOEVENTO="Manual",$M235=$A$15)),0,
         IF(OFFSET(CRONOPLE!$F$15,$M235-$A$15,AM$13)=0,10^12,OFFSET(CRONOPLE!$F$15,$M235-$A$15,AM$13)))</f>
        <v>1000000000000</v>
      </c>
      <c r="AN235" s="171">
        <f ca="1">IF(OR($D235&lt;&gt;"Serviço",AND(AUTOEVENTO="Manual",$M235=$A$15)),0,
         IF(OFFSET(CRONOPLE!$F$15,$M235-$A$15,AN$13)=0,10^12,OFFSET(CRONOPLE!$F$15,$M235-$A$15,AN$13)))</f>
        <v>1000000000000</v>
      </c>
      <c r="AO235" s="171">
        <f ca="1">IF(OR($D235&lt;&gt;"Serviço",AND(AUTOEVENTO="Manual",$M235=$A$15)),0,
         IF(OFFSET(CRONOPLE!$F$15,$M235-$A$15,AO$13)=0,10^12,OFFSET(CRONOPLE!$F$15,$M235-$A$15,AO$13)))</f>
        <v>1000000000000</v>
      </c>
      <c r="AP235" s="171">
        <f ca="1">IF(OR($D235&lt;&gt;"Serviço",AND(AUTOEVENTO="Manual",$M235=$A$15)),0,
         IF(OFFSET(CRONOPLE!$F$15,$M235-$A$15,AP$13)=0,10^12,OFFSET(CRONOPLE!$F$15,$M235-$A$15,AP$13)))</f>
        <v>1000000000000</v>
      </c>
      <c r="AQ235" s="171">
        <f ca="1">IF(OR($D235&lt;&gt;"Serviço",AND(AUTOEVENTO="Manual",$M235=$A$15)),0,
         IF(OFFSET(CRONOPLE!$F$15,$M235-$A$15,AQ$13)=0,10^12,OFFSET(CRONOPLE!$F$15,$M235-$A$15,AQ$13)))</f>
        <v>1000000000000</v>
      </c>
      <c r="AR235" s="171">
        <f ca="1">IF(OR($D235&lt;&gt;"Serviço",AND(AUTOEVENTO="Manual",$M235=$A$15)),0,
         IF(OFFSET(CRONOPLE!$F$15,$M235-$A$15,AR$13)=0,10^12,OFFSET(CRONOPLE!$F$15,$M235-$A$15,AR$13)))</f>
        <v>1000000000000</v>
      </c>
      <c r="AS235" s="171">
        <f ca="1">IF(OR($D235&lt;&gt;"Serviço",AND(AUTOEVENTO="Manual",$M235=$A$15)),0,
         IF(OFFSET(CRONOPLE!$F$15,$M235-$A$15,AS$13)=0,10^12,OFFSET(CRONOPLE!$F$15,$M235-$A$15,AS$13)))</f>
        <v>1000000000000</v>
      </c>
      <c r="AT235" s="171">
        <f ca="1">IF(OR($D235&lt;&gt;"Serviço",AND(AUTOEVENTO="Manual",$M235=$A$15)),0,
         IF(OFFSET(CRONOPLE!$F$15,$M235-$A$15,AT$13)=0,10^12,OFFSET(CRONOPLE!$F$15,$M235-$A$15,AT$13)))</f>
        <v>1000000000000</v>
      </c>
      <c r="AU235" s="171">
        <f ca="1">IF(OR($D235&lt;&gt;"Serviço",AND(AUTOEVENTO="Manual",$M235=$A$15)),0,
         IF(OFFSET(CRONOPLE!$F$15,$M235-$A$15,AU$13)=0,10^12,OFFSET(CRONOPLE!$F$15,$M235-$A$15,AU$13)))</f>
        <v>1000000000000</v>
      </c>
      <c r="AV235" s="171">
        <f ca="1">IF(OR($D235&lt;&gt;"Serviço",AND(AUTOEVENTO="Manual",$M235=$A$15)),0,
         IF(OFFSET(CRONOPLE!$F$15,$M235-$A$15,AV$13)=0,10^12,OFFSET(CRONOPLE!$F$15,$M235-$A$15,AV$13)))</f>
        <v>1000000000000</v>
      </c>
      <c r="AX235" s="172" cm="1">
        <f t="array" aca="1" ref="AX235" ca="1">IF(OR($D235&lt;&gt;"Serviço",AND(AUTOEVENTO="Manual",$M235=$A$15),$M235&gt;(ROW(PLE.lastrow)-ROW(PLE.firstrow))),0,
           IF(OFFSET(PLE!$G$15,$M235-$A$15,AX$13)="",10^12,OFFSET(PLE!$G$15,$M235-$A$15,AX$13)))</f>
        <v>1000000000000</v>
      </c>
      <c r="AY235" s="172" cm="1">
        <f t="array" aca="1" ref="AY235" ca="1">IF(OR($D235&lt;&gt;"Serviço",AND(AUTOEVENTO="Manual",$M235=$A$15),$M235&gt;(ROW(PLE.lastrow)-ROW(PLE.firstrow))),0,
           IF(OFFSET(PLE!$G$15,$M235-$A$15,AY$13)="",10^12,OFFSET(PLE!$G$15,$M235-$A$15,AY$13)))</f>
        <v>1000000000000</v>
      </c>
      <c r="AZ235" s="172" cm="1">
        <f t="array" aca="1" ref="AZ235" ca="1">IF(OR($D235&lt;&gt;"Serviço",AND(AUTOEVENTO="Manual",$M235=$A$15),$M235&gt;(ROW(PLE.lastrow)-ROW(PLE.firstrow))),0,
           IF(OFFSET(PLE!$G$15,$M235-$A$15,AZ$13)="",10^12,OFFSET(PLE!$G$15,$M235-$A$15,AZ$13)))</f>
        <v>1000000000000</v>
      </c>
      <c r="BA235" s="172" cm="1">
        <f t="array" aca="1" ref="BA235" ca="1">IF(OR($D235&lt;&gt;"Serviço",AND(AUTOEVENTO="Manual",$M235=$A$15),$M235&gt;(ROW(PLE.lastrow)-ROW(PLE.firstrow))),0,
           IF(OFFSET(PLE!$G$15,$M235-$A$15,BA$13)="",10^12,OFFSET(PLE!$G$15,$M235-$A$15,BA$13)))</f>
        <v>1000000000000</v>
      </c>
      <c r="BB235" s="172" cm="1">
        <f t="array" aca="1" ref="BB235" ca="1">IF(OR($D235&lt;&gt;"Serviço",AND(AUTOEVENTO="Manual",$M235=$A$15),$M235&gt;(ROW(PLE.lastrow)-ROW(PLE.firstrow))),0,
           IF(OFFSET(PLE!$G$15,$M235-$A$15,BB$13)="",10^12,OFFSET(PLE!$G$15,$M235-$A$15,BB$13)))</f>
        <v>1000000000000</v>
      </c>
      <c r="BC235" s="172" cm="1">
        <f t="array" aca="1" ref="BC235" ca="1">IF(OR($D235&lt;&gt;"Serviço",AND(AUTOEVENTO="Manual",$M235=$A$15),$M235&gt;(ROW(PLE.lastrow)-ROW(PLE.firstrow))),0,
           IF(OFFSET(PLE!$G$15,$M235-$A$15,BC$13)="",10^12,OFFSET(PLE!$G$15,$M235-$A$15,BC$13)))</f>
        <v>1000000000000</v>
      </c>
      <c r="BD235" s="172" cm="1">
        <f t="array" aca="1" ref="BD235" ca="1">IF(OR($D235&lt;&gt;"Serviço",AND(AUTOEVENTO="Manual",$M235=$A$15),$M235&gt;(ROW(PLE.lastrow)-ROW(PLE.firstrow))),0,
           IF(OFFSET(PLE!$G$15,$M235-$A$15,BD$13)="",10^12,OFFSET(PLE!$G$15,$M235-$A$15,BD$13)))</f>
        <v>1000000000000</v>
      </c>
      <c r="BE235" s="172" cm="1">
        <f t="array" aca="1" ref="BE235" ca="1">IF(OR($D235&lt;&gt;"Serviço",AND(AUTOEVENTO="Manual",$M235=$A$15),$M235&gt;(ROW(PLE.lastrow)-ROW(PLE.firstrow))),0,
           IF(OFFSET(PLE!$G$15,$M235-$A$15,BE$13)="",10^12,OFFSET(PLE!$G$15,$M235-$A$15,BE$13)))</f>
        <v>1000000000000</v>
      </c>
      <c r="BF235" s="172" cm="1">
        <f t="array" aca="1" ref="BF235" ca="1">IF(OR($D235&lt;&gt;"Serviço",AND(AUTOEVENTO="Manual",$M235=$A$15),$M235&gt;(ROW(PLE.lastrow)-ROW(PLE.firstrow))),0,
           IF(OFFSET(PLE!$G$15,$M235-$A$15,BF$13)="",10^12,OFFSET(PLE!$G$15,$M235-$A$15,BF$13)))</f>
        <v>1000000000000</v>
      </c>
      <c r="BG235" s="172" cm="1">
        <f t="array" aca="1" ref="BG235" ca="1">IF(OR($D235&lt;&gt;"Serviço",AND(AUTOEVENTO="Manual",$M235=$A$15),$M235&gt;(ROW(PLE.lastrow)-ROW(PLE.firstrow))),0,
           IF(OFFSET(PLE!$G$15,$M235-$A$15,BG$13)="",10^12,OFFSET(PLE!$G$15,$M235-$A$15,BG$13)))</f>
        <v>1000000000000</v>
      </c>
    </row>
    <row r="236" spans="1:59" ht="38.25" x14ac:dyDescent="0.2">
      <c r="A236" s="7" t="str">
        <f t="shared" ca="1" si="8"/>
        <v>219</v>
      </c>
      <c r="B236" s="7" t="str">
        <f ca="1">OFFSET(ORÇAMENTO!C$15,$L236,0)</f>
        <v>S</v>
      </c>
      <c r="C236" s="7" t="str">
        <f ca="1">OFFSET(ORÇAMENTO!L$15,$L236,0)</f>
        <v>F</v>
      </c>
      <c r="D236" s="116" t="str">
        <f ca="1">OFFSET(ORÇAMENTO!N$15,$L236,0)</f>
        <v>Serviço</v>
      </c>
      <c r="E236" s="117" t="str">
        <f ca="1">OFFSET(ORÇAMENTO!O$15,$L236,0)</f>
        <v>1.13.0.0.2.</v>
      </c>
      <c r="F236" s="163" t="str">
        <f ca="1">OFFSET(ORÇAMENTO!R$15,$L236,0)</f>
        <v>LIMPEZA DE REVESTIMENTO CERÂMICO/ MÁRMORE/ GRANITO EM PAREDE UTILIZANDO DETERGENTE NEUTRO E ESCOVAÇÃO MANUAL. AF_10/2025_PS</v>
      </c>
      <c r="G236" s="164" t="str">
        <f ca="1">IF($D236&lt;&gt;"Serviço","",OFFSET(ORÇAMENTO!S$15,$L236,0))</f>
        <v>M2</v>
      </c>
      <c r="H236" s="122" cm="1">
        <f t="array" aca="1" ref="H236" ca="1">IF($D236&lt;&gt;"Serviço",0,IF(ACOMPANHAMENTO="BM",ROUND(OFFSET(ORÇAMENTO!AJ$15,$L236,0),15-13*ORÇAMENTO!$AF$7),IF(IFERROR(CÁLCULO.FrentesPreenchidas,0)=0,0,SUM(ROUND(OFFSET($P236,0,1,1,CÁLCULO.FrentesPreenchidas),15-13*ORÇAMENTO!$AF$7)))))</f>
        <v>751.5</v>
      </c>
      <c r="I236" s="468"/>
      <c r="J236" s="651" t="str" cm="1">
        <f t="array" aca="1" ref="J236" ca="1">IF(OR(B236&lt;&gt;"S",CÁLCULO.FrentesPreenchidas=0),"",IF(AND(ACOMPANHAMENTO="PLE",AUTOEVENTO="Manual",OR(H236&gt;0,ORÇAMENTO!AC236="QUANT."),OR(K236="",M236=0,N236="")),"►E",IF(AND(ACOMPANHAMENTO="PLE",ORÇAMENTO!AC236="QUANT."),"►Q",IF(AND(ACOMPANHAMENTO="PLE",H236&lt;&gt;SUMPRODUCT(($Q$1:$AA$1=1)*ROUND(Q236:AA236,15))),"►S",IF(AND(COUNTIF($P$11:$AA$11,"▼")=0,H236&gt;0,I236=""),"◄M","")))))</f>
        <v/>
      </c>
      <c r="K236" s="652"/>
      <c r="L236" s="165">
        <f t="shared" ca="1" si="9"/>
        <v>221</v>
      </c>
      <c r="M236" s="166">
        <f ca="1">IF($D236&lt;&gt;"Serviço","",
          IF(AUTOEVENTO="manual",$A236,
                IF(ISERROR(MATCH($A236,$A$15:OFFSET($A236,-1,0),0)),MAX($M$15:OFFSET(M236,-1,0))+1,
                      INDEX($M$15:OFFSET(M236,-1,0),MATCH($A236,$A$15:OFFSET($A236,-1,0),0)))))</f>
        <v>13</v>
      </c>
      <c r="N236" s="167" t="str">
        <f ca="1">IF($D236&lt;&gt;"Serviço","",
         IF(AUTOEVENTO="Manual",
                IF($A236=0,"&lt;-- defina o número do agrupador",
                       OFFSET(EVENTOS!$D$15,$A236-$A$15,0)),
                OFFSET($F$15,$A236,0)))</f>
        <v>LIMPEZA FINAL DE OBRA</v>
      </c>
      <c r="O236" s="168"/>
      <c r="Q236" s="168"/>
      <c r="R236" s="169"/>
      <c r="S236" s="169"/>
      <c r="T236" s="169"/>
      <c r="U236" s="169"/>
      <c r="V236" s="169"/>
      <c r="W236" s="169"/>
      <c r="X236" s="169"/>
      <c r="Y236" s="169"/>
      <c r="Z236" s="170"/>
      <c r="AB236" s="453">
        <f ca="1">IF(AND($D236="Serviço",AB$12&lt;&gt;0,$H236&gt;0,OR(AUTOEVENTO&lt;&gt;"manual",$M236&lt;&gt;$A$15)),
        IF(Import.TipoArredondamento&lt;&gt;"TransfereGOV",
              ROUND(OFFSET($P236,0,AB$13),15-13*ORÇAMENTO!$AF$7)/$H236*OFFSET(ORÇAMENTO!$X$15,ROW(AB236)-ROW(AB$15),0),
              ROUND(ROUND(OFFSET($P236,0,AB$13),15-13*ORÇAMENTO!$AF$7)*OFFSET(ORÇAMENTO!$W$15,ROW(AB236)-ROW(AB$15),0),15-13*ORÇAMENTO!$AF$11)),
         0)</f>
        <v>0</v>
      </c>
      <c r="AC236" s="453">
        <f ca="1">IF(AND($D236="Serviço",AC$12&lt;&gt;0,$H236&gt;0,OR(AUTOEVENTO&lt;&gt;"manual",$M236&lt;&gt;$A$15)),
        IF(Import.TipoArredondamento&lt;&gt;"TransfereGOV",
              ROUND(OFFSET($P236,0,AC$13),15-13*ORÇAMENTO!$AF$7)/$H236*OFFSET(ORÇAMENTO!$X$15,ROW(AC236)-ROW(AC$15),0),
              ROUND(ROUND(OFFSET($P236,0,AC$13),15-13*ORÇAMENTO!$AF$7)*OFFSET(ORÇAMENTO!$W$15,ROW(AC236)-ROW(AC$15),0),15-13*ORÇAMENTO!$AF$11)),
         0)</f>
        <v>0</v>
      </c>
      <c r="AD236" s="453">
        <f ca="1">IF(AND($D236="Serviço",AD$12&lt;&gt;0,$H236&gt;0,OR(AUTOEVENTO&lt;&gt;"manual",$M236&lt;&gt;$A$15)),
        IF(Import.TipoArredondamento&lt;&gt;"TransfereGOV",
              ROUND(OFFSET($P236,0,AD$13),15-13*ORÇAMENTO!$AF$7)/$H236*OFFSET(ORÇAMENTO!$X$15,ROW(AD236)-ROW(AD$15),0),
              ROUND(ROUND(OFFSET($P236,0,AD$13),15-13*ORÇAMENTO!$AF$7)*OFFSET(ORÇAMENTO!$W$15,ROW(AD236)-ROW(AD$15),0),15-13*ORÇAMENTO!$AF$11)),
         0)</f>
        <v>0</v>
      </c>
      <c r="AE236" s="453">
        <f ca="1">IF(AND($D236="Serviço",AE$12&lt;&gt;0,$H236&gt;0,OR(AUTOEVENTO&lt;&gt;"manual",$M236&lt;&gt;$A$15)),
        IF(Import.TipoArredondamento&lt;&gt;"TransfereGOV",
              ROUND(OFFSET($P236,0,AE$13),15-13*ORÇAMENTO!$AF$7)/$H236*OFFSET(ORÇAMENTO!$X$15,ROW(AE236)-ROW(AE$15),0),
              ROUND(ROUND(OFFSET($P236,0,AE$13),15-13*ORÇAMENTO!$AF$7)*OFFSET(ORÇAMENTO!$W$15,ROW(AE236)-ROW(AE$15),0),15-13*ORÇAMENTO!$AF$11)),
         0)</f>
        <v>0</v>
      </c>
      <c r="AF236" s="453">
        <f ca="1">IF(AND($D236="Serviço",AF$12&lt;&gt;0,$H236&gt;0,OR(AUTOEVENTO&lt;&gt;"manual",$M236&lt;&gt;$A$15)),
        IF(Import.TipoArredondamento&lt;&gt;"TransfereGOV",
              ROUND(OFFSET($P236,0,AF$13),15-13*ORÇAMENTO!$AF$7)/$H236*OFFSET(ORÇAMENTO!$X$15,ROW(AF236)-ROW(AF$15),0),
              ROUND(ROUND(OFFSET($P236,0,AF$13),15-13*ORÇAMENTO!$AF$7)*OFFSET(ORÇAMENTO!$W$15,ROW(AF236)-ROW(AF$15),0),15-13*ORÇAMENTO!$AF$11)),
         0)</f>
        <v>0</v>
      </c>
      <c r="AG236" s="453">
        <f ca="1">IF(AND($D236="Serviço",AG$12&lt;&gt;0,$H236&gt;0,OR(AUTOEVENTO&lt;&gt;"manual",$M236&lt;&gt;$A$15)),
        IF(Import.TipoArredondamento&lt;&gt;"TransfereGOV",
              ROUND(OFFSET($P236,0,AG$13),15-13*ORÇAMENTO!$AF$7)/$H236*OFFSET(ORÇAMENTO!$X$15,ROW(AG236)-ROW(AG$15),0),
              ROUND(ROUND(OFFSET($P236,0,AG$13),15-13*ORÇAMENTO!$AF$7)*OFFSET(ORÇAMENTO!$W$15,ROW(AG236)-ROW(AG$15),0),15-13*ORÇAMENTO!$AF$11)),
         0)</f>
        <v>0</v>
      </c>
      <c r="AH236" s="453">
        <f ca="1">IF(AND($D236="Serviço",AH$12&lt;&gt;0,$H236&gt;0,OR(AUTOEVENTO&lt;&gt;"manual",$M236&lt;&gt;$A$15)),
        IF(Import.TipoArredondamento&lt;&gt;"TransfereGOV",
              ROUND(OFFSET($P236,0,AH$13),15-13*ORÇAMENTO!$AF$7)/$H236*OFFSET(ORÇAMENTO!$X$15,ROW(AH236)-ROW(AH$15),0),
              ROUND(ROUND(OFFSET($P236,0,AH$13),15-13*ORÇAMENTO!$AF$7)*OFFSET(ORÇAMENTO!$W$15,ROW(AH236)-ROW(AH$15),0),15-13*ORÇAMENTO!$AF$11)),
         0)</f>
        <v>0</v>
      </c>
      <c r="AI236" s="453">
        <f ca="1">IF(AND($D236="Serviço",AI$12&lt;&gt;0,$H236&gt;0,OR(AUTOEVENTO&lt;&gt;"manual",$M236&lt;&gt;$A$15)),
        IF(Import.TipoArredondamento&lt;&gt;"TransfereGOV",
              ROUND(OFFSET($P236,0,AI$13),15-13*ORÇAMENTO!$AF$7)/$H236*OFFSET(ORÇAMENTO!$X$15,ROW(AI236)-ROW(AI$15),0),
              ROUND(ROUND(OFFSET($P236,0,AI$13),15-13*ORÇAMENTO!$AF$7)*OFFSET(ORÇAMENTO!$W$15,ROW(AI236)-ROW(AI$15),0),15-13*ORÇAMENTO!$AF$11)),
         0)</f>
        <v>0</v>
      </c>
      <c r="AJ236" s="453">
        <f ca="1">IF(AND($D236="Serviço",AJ$12&lt;&gt;0,$H236&gt;0,OR(AUTOEVENTO&lt;&gt;"manual",$M236&lt;&gt;$A$15)),
        IF(Import.TipoArredondamento&lt;&gt;"TransfereGOV",
              ROUND(OFFSET($P236,0,AJ$13),15-13*ORÇAMENTO!$AF$7)/$H236*OFFSET(ORÇAMENTO!$X$15,ROW(AJ236)-ROW(AJ$15),0),
              ROUND(ROUND(OFFSET($P236,0,AJ$13),15-13*ORÇAMENTO!$AF$7)*OFFSET(ORÇAMENTO!$W$15,ROW(AJ236)-ROW(AJ$15),0),15-13*ORÇAMENTO!$AF$11)),
         0)</f>
        <v>0</v>
      </c>
      <c r="AK236" s="453">
        <f ca="1">IF(AND($D236="Serviço",AK$12&lt;&gt;0,$H236&gt;0,OR(AUTOEVENTO&lt;&gt;"manual",$M236&lt;&gt;$A$15)),
        IF(Import.TipoArredondamento&lt;&gt;"TransfereGOV",
              ROUND(OFFSET($P236,0,AK$13),15-13*ORÇAMENTO!$AF$7)/$H236*OFFSET(ORÇAMENTO!$X$15,ROW(AK236)-ROW(AK$15),0),
              ROUND(ROUND(OFFSET($P236,0,AK$13),15-13*ORÇAMENTO!$AF$7)*OFFSET(ORÇAMENTO!$W$15,ROW(AK236)-ROW(AK$15),0),15-13*ORÇAMENTO!$AF$11)),
         0)</f>
        <v>0</v>
      </c>
      <c r="AM236" s="171">
        <f ca="1">IF(OR($D236&lt;&gt;"Serviço",AND(AUTOEVENTO="Manual",$M236=$A$15)),0,
         IF(OFFSET(CRONOPLE!$F$15,$M236-$A$15,AM$13)=0,10^12,OFFSET(CRONOPLE!$F$15,$M236-$A$15,AM$13)))</f>
        <v>1000000000000</v>
      </c>
      <c r="AN236" s="171">
        <f ca="1">IF(OR($D236&lt;&gt;"Serviço",AND(AUTOEVENTO="Manual",$M236=$A$15)),0,
         IF(OFFSET(CRONOPLE!$F$15,$M236-$A$15,AN$13)=0,10^12,OFFSET(CRONOPLE!$F$15,$M236-$A$15,AN$13)))</f>
        <v>1000000000000</v>
      </c>
      <c r="AO236" s="171">
        <f ca="1">IF(OR($D236&lt;&gt;"Serviço",AND(AUTOEVENTO="Manual",$M236=$A$15)),0,
         IF(OFFSET(CRONOPLE!$F$15,$M236-$A$15,AO$13)=0,10^12,OFFSET(CRONOPLE!$F$15,$M236-$A$15,AO$13)))</f>
        <v>1000000000000</v>
      </c>
      <c r="AP236" s="171">
        <f ca="1">IF(OR($D236&lt;&gt;"Serviço",AND(AUTOEVENTO="Manual",$M236=$A$15)),0,
         IF(OFFSET(CRONOPLE!$F$15,$M236-$A$15,AP$13)=0,10^12,OFFSET(CRONOPLE!$F$15,$M236-$A$15,AP$13)))</f>
        <v>1000000000000</v>
      </c>
      <c r="AQ236" s="171">
        <f ca="1">IF(OR($D236&lt;&gt;"Serviço",AND(AUTOEVENTO="Manual",$M236=$A$15)),0,
         IF(OFFSET(CRONOPLE!$F$15,$M236-$A$15,AQ$13)=0,10^12,OFFSET(CRONOPLE!$F$15,$M236-$A$15,AQ$13)))</f>
        <v>1000000000000</v>
      </c>
      <c r="AR236" s="171">
        <f ca="1">IF(OR($D236&lt;&gt;"Serviço",AND(AUTOEVENTO="Manual",$M236=$A$15)),0,
         IF(OFFSET(CRONOPLE!$F$15,$M236-$A$15,AR$13)=0,10^12,OFFSET(CRONOPLE!$F$15,$M236-$A$15,AR$13)))</f>
        <v>1000000000000</v>
      </c>
      <c r="AS236" s="171">
        <f ca="1">IF(OR($D236&lt;&gt;"Serviço",AND(AUTOEVENTO="Manual",$M236=$A$15)),0,
         IF(OFFSET(CRONOPLE!$F$15,$M236-$A$15,AS$13)=0,10^12,OFFSET(CRONOPLE!$F$15,$M236-$A$15,AS$13)))</f>
        <v>1000000000000</v>
      </c>
      <c r="AT236" s="171">
        <f ca="1">IF(OR($D236&lt;&gt;"Serviço",AND(AUTOEVENTO="Manual",$M236=$A$15)),0,
         IF(OFFSET(CRONOPLE!$F$15,$M236-$A$15,AT$13)=0,10^12,OFFSET(CRONOPLE!$F$15,$M236-$A$15,AT$13)))</f>
        <v>1000000000000</v>
      </c>
      <c r="AU236" s="171">
        <f ca="1">IF(OR($D236&lt;&gt;"Serviço",AND(AUTOEVENTO="Manual",$M236=$A$15)),0,
         IF(OFFSET(CRONOPLE!$F$15,$M236-$A$15,AU$13)=0,10^12,OFFSET(CRONOPLE!$F$15,$M236-$A$15,AU$13)))</f>
        <v>1000000000000</v>
      </c>
      <c r="AV236" s="171">
        <f ca="1">IF(OR($D236&lt;&gt;"Serviço",AND(AUTOEVENTO="Manual",$M236=$A$15)),0,
         IF(OFFSET(CRONOPLE!$F$15,$M236-$A$15,AV$13)=0,10^12,OFFSET(CRONOPLE!$F$15,$M236-$A$15,AV$13)))</f>
        <v>1000000000000</v>
      </c>
      <c r="AX236" s="172" cm="1">
        <f t="array" aca="1" ref="AX236" ca="1">IF(OR($D236&lt;&gt;"Serviço",AND(AUTOEVENTO="Manual",$M236=$A$15),$M236&gt;(ROW(PLE.lastrow)-ROW(PLE.firstrow))),0,
           IF(OFFSET(PLE!$G$15,$M236-$A$15,AX$13)="",10^12,OFFSET(PLE!$G$15,$M236-$A$15,AX$13)))</f>
        <v>1000000000000</v>
      </c>
      <c r="AY236" s="172" cm="1">
        <f t="array" aca="1" ref="AY236" ca="1">IF(OR($D236&lt;&gt;"Serviço",AND(AUTOEVENTO="Manual",$M236=$A$15),$M236&gt;(ROW(PLE.lastrow)-ROW(PLE.firstrow))),0,
           IF(OFFSET(PLE!$G$15,$M236-$A$15,AY$13)="",10^12,OFFSET(PLE!$G$15,$M236-$A$15,AY$13)))</f>
        <v>1000000000000</v>
      </c>
      <c r="AZ236" s="172" cm="1">
        <f t="array" aca="1" ref="AZ236" ca="1">IF(OR($D236&lt;&gt;"Serviço",AND(AUTOEVENTO="Manual",$M236=$A$15),$M236&gt;(ROW(PLE.lastrow)-ROW(PLE.firstrow))),0,
           IF(OFFSET(PLE!$G$15,$M236-$A$15,AZ$13)="",10^12,OFFSET(PLE!$G$15,$M236-$A$15,AZ$13)))</f>
        <v>1000000000000</v>
      </c>
      <c r="BA236" s="172" cm="1">
        <f t="array" aca="1" ref="BA236" ca="1">IF(OR($D236&lt;&gt;"Serviço",AND(AUTOEVENTO="Manual",$M236=$A$15),$M236&gt;(ROW(PLE.lastrow)-ROW(PLE.firstrow))),0,
           IF(OFFSET(PLE!$G$15,$M236-$A$15,BA$13)="",10^12,OFFSET(PLE!$G$15,$M236-$A$15,BA$13)))</f>
        <v>1000000000000</v>
      </c>
      <c r="BB236" s="172" cm="1">
        <f t="array" aca="1" ref="BB236" ca="1">IF(OR($D236&lt;&gt;"Serviço",AND(AUTOEVENTO="Manual",$M236=$A$15),$M236&gt;(ROW(PLE.lastrow)-ROW(PLE.firstrow))),0,
           IF(OFFSET(PLE!$G$15,$M236-$A$15,BB$13)="",10^12,OFFSET(PLE!$G$15,$M236-$A$15,BB$13)))</f>
        <v>1000000000000</v>
      </c>
      <c r="BC236" s="172" cm="1">
        <f t="array" aca="1" ref="BC236" ca="1">IF(OR($D236&lt;&gt;"Serviço",AND(AUTOEVENTO="Manual",$M236=$A$15),$M236&gt;(ROW(PLE.lastrow)-ROW(PLE.firstrow))),0,
           IF(OFFSET(PLE!$G$15,$M236-$A$15,BC$13)="",10^12,OFFSET(PLE!$G$15,$M236-$A$15,BC$13)))</f>
        <v>1000000000000</v>
      </c>
      <c r="BD236" s="172" cm="1">
        <f t="array" aca="1" ref="BD236" ca="1">IF(OR($D236&lt;&gt;"Serviço",AND(AUTOEVENTO="Manual",$M236=$A$15),$M236&gt;(ROW(PLE.lastrow)-ROW(PLE.firstrow))),0,
           IF(OFFSET(PLE!$G$15,$M236-$A$15,BD$13)="",10^12,OFFSET(PLE!$G$15,$M236-$A$15,BD$13)))</f>
        <v>1000000000000</v>
      </c>
      <c r="BE236" s="172" cm="1">
        <f t="array" aca="1" ref="BE236" ca="1">IF(OR($D236&lt;&gt;"Serviço",AND(AUTOEVENTO="Manual",$M236=$A$15),$M236&gt;(ROW(PLE.lastrow)-ROW(PLE.firstrow))),0,
           IF(OFFSET(PLE!$G$15,$M236-$A$15,BE$13)="",10^12,OFFSET(PLE!$G$15,$M236-$A$15,BE$13)))</f>
        <v>1000000000000</v>
      </c>
      <c r="BF236" s="172" cm="1">
        <f t="array" aca="1" ref="BF236" ca="1">IF(OR($D236&lt;&gt;"Serviço",AND(AUTOEVENTO="Manual",$M236=$A$15),$M236&gt;(ROW(PLE.lastrow)-ROW(PLE.firstrow))),0,
           IF(OFFSET(PLE!$G$15,$M236-$A$15,BF$13)="",10^12,OFFSET(PLE!$G$15,$M236-$A$15,BF$13)))</f>
        <v>1000000000000</v>
      </c>
      <c r="BG236" s="172" cm="1">
        <f t="array" aca="1" ref="BG236" ca="1">IF(OR($D236&lt;&gt;"Serviço",AND(AUTOEVENTO="Manual",$M236=$A$15),$M236&gt;(ROW(PLE.lastrow)-ROW(PLE.firstrow))),0,
           IF(OFFSET(PLE!$G$15,$M236-$A$15,BG$13)="",10^12,OFFSET(PLE!$G$15,$M236-$A$15,BG$13)))</f>
        <v>1000000000000</v>
      </c>
    </row>
    <row r="237" spans="1:59" ht="25.5" x14ac:dyDescent="0.2">
      <c r="A237" s="7" t="str">
        <f t="shared" ca="1" si="8"/>
        <v>219</v>
      </c>
      <c r="B237" s="7" t="str">
        <f ca="1">OFFSET(ORÇAMENTO!C$15,$L237,0)</f>
        <v>S</v>
      </c>
      <c r="C237" s="7" t="str">
        <f ca="1">OFFSET(ORÇAMENTO!L$15,$L237,0)</f>
        <v>F</v>
      </c>
      <c r="D237" s="116" t="str">
        <f ca="1">OFFSET(ORÇAMENTO!N$15,$L237,0)</f>
        <v>Serviço</v>
      </c>
      <c r="E237" s="117" t="str">
        <f ca="1">OFFSET(ORÇAMENTO!O$15,$L237,0)</f>
        <v>1.13.0.0.3.</v>
      </c>
      <c r="F237" s="163" t="str">
        <f ca="1">OFFSET(ORÇAMENTO!R$15,$L237,0)</f>
        <v>LIMPEZA DE TANQUE OU LAVATÓRIO DE LOUÇA ISOLADO, INCLUSIVE METAIS CORRESPONDENTES. AF_10/2025_PS</v>
      </c>
      <c r="G237" s="164" t="str">
        <f ca="1">IF($D237&lt;&gt;"Serviço","",OFFSET(ORÇAMENTO!S$15,$L237,0))</f>
        <v>UN</v>
      </c>
      <c r="H237" s="122" cm="1">
        <f t="array" aca="1" ref="H237" ca="1">IF($D237&lt;&gt;"Serviço",0,IF(ACOMPANHAMENTO="BM",ROUND(OFFSET(ORÇAMENTO!AJ$15,$L237,0),15-13*ORÇAMENTO!$AF$7),IF(IFERROR(CÁLCULO.FrentesPreenchidas,0)=0,0,SUM(ROUND(OFFSET($P237,0,1,1,CÁLCULO.FrentesPreenchidas),15-13*ORÇAMENTO!$AF$7)))))</f>
        <v>30</v>
      </c>
      <c r="I237" s="468"/>
      <c r="J237" s="651" t="str" cm="1">
        <f t="array" aca="1" ref="J237" ca="1">IF(OR(B237&lt;&gt;"S",CÁLCULO.FrentesPreenchidas=0),"",IF(AND(ACOMPANHAMENTO="PLE",AUTOEVENTO="Manual",OR(H237&gt;0,ORÇAMENTO!AC237="QUANT."),OR(K237="",M237=0,N237="")),"►E",IF(AND(ACOMPANHAMENTO="PLE",ORÇAMENTO!AC237="QUANT."),"►Q",IF(AND(ACOMPANHAMENTO="PLE",H237&lt;&gt;SUMPRODUCT(($Q$1:$AA$1=1)*ROUND(Q237:AA237,15))),"►S",IF(AND(COUNTIF($P$11:$AA$11,"▼")=0,H237&gt;0,I237=""),"◄M","")))))</f>
        <v/>
      </c>
      <c r="K237" s="652"/>
      <c r="L237" s="165">
        <f t="shared" ca="1" si="9"/>
        <v>222</v>
      </c>
      <c r="M237" s="166">
        <f ca="1">IF($D237&lt;&gt;"Serviço","",
          IF(AUTOEVENTO="manual",$A237,
                IF(ISERROR(MATCH($A237,$A$15:OFFSET($A237,-1,0),0)),MAX($M$15:OFFSET(M237,-1,0))+1,
                      INDEX($M$15:OFFSET(M237,-1,0),MATCH($A237,$A$15:OFFSET($A237,-1,0),0)))))</f>
        <v>13</v>
      </c>
      <c r="N237" s="167" t="str">
        <f ca="1">IF($D237&lt;&gt;"Serviço","",
         IF(AUTOEVENTO="Manual",
                IF($A237=0,"&lt;-- defina o número do agrupador",
                       OFFSET(EVENTOS!$D$15,$A237-$A$15,0)),
                OFFSET($F$15,$A237,0)))</f>
        <v>LIMPEZA FINAL DE OBRA</v>
      </c>
      <c r="O237" s="168"/>
      <c r="Q237" s="168"/>
      <c r="R237" s="169"/>
      <c r="S237" s="169"/>
      <c r="T237" s="169"/>
      <c r="U237" s="169"/>
      <c r="V237" s="169"/>
      <c r="W237" s="169"/>
      <c r="X237" s="169"/>
      <c r="Y237" s="169"/>
      <c r="Z237" s="170"/>
      <c r="AB237" s="453">
        <f ca="1">IF(AND($D237="Serviço",AB$12&lt;&gt;0,$H237&gt;0,OR(AUTOEVENTO&lt;&gt;"manual",$M237&lt;&gt;$A$15)),
        IF(Import.TipoArredondamento&lt;&gt;"TransfereGOV",
              ROUND(OFFSET($P237,0,AB$13),15-13*ORÇAMENTO!$AF$7)/$H237*OFFSET(ORÇAMENTO!$X$15,ROW(AB237)-ROW(AB$15),0),
              ROUND(ROUND(OFFSET($P237,0,AB$13),15-13*ORÇAMENTO!$AF$7)*OFFSET(ORÇAMENTO!$W$15,ROW(AB237)-ROW(AB$15),0),15-13*ORÇAMENTO!$AF$11)),
         0)</f>
        <v>0</v>
      </c>
      <c r="AC237" s="453">
        <f ca="1">IF(AND($D237="Serviço",AC$12&lt;&gt;0,$H237&gt;0,OR(AUTOEVENTO&lt;&gt;"manual",$M237&lt;&gt;$A$15)),
        IF(Import.TipoArredondamento&lt;&gt;"TransfereGOV",
              ROUND(OFFSET($P237,0,AC$13),15-13*ORÇAMENTO!$AF$7)/$H237*OFFSET(ORÇAMENTO!$X$15,ROW(AC237)-ROW(AC$15),0),
              ROUND(ROUND(OFFSET($P237,0,AC$13),15-13*ORÇAMENTO!$AF$7)*OFFSET(ORÇAMENTO!$W$15,ROW(AC237)-ROW(AC$15),0),15-13*ORÇAMENTO!$AF$11)),
         0)</f>
        <v>0</v>
      </c>
      <c r="AD237" s="453">
        <f ca="1">IF(AND($D237="Serviço",AD$12&lt;&gt;0,$H237&gt;0,OR(AUTOEVENTO&lt;&gt;"manual",$M237&lt;&gt;$A$15)),
        IF(Import.TipoArredondamento&lt;&gt;"TransfereGOV",
              ROUND(OFFSET($P237,0,AD$13),15-13*ORÇAMENTO!$AF$7)/$H237*OFFSET(ORÇAMENTO!$X$15,ROW(AD237)-ROW(AD$15),0),
              ROUND(ROUND(OFFSET($P237,0,AD$13),15-13*ORÇAMENTO!$AF$7)*OFFSET(ORÇAMENTO!$W$15,ROW(AD237)-ROW(AD$15),0),15-13*ORÇAMENTO!$AF$11)),
         0)</f>
        <v>0</v>
      </c>
      <c r="AE237" s="453">
        <f ca="1">IF(AND($D237="Serviço",AE$12&lt;&gt;0,$H237&gt;0,OR(AUTOEVENTO&lt;&gt;"manual",$M237&lt;&gt;$A$15)),
        IF(Import.TipoArredondamento&lt;&gt;"TransfereGOV",
              ROUND(OFFSET($P237,0,AE$13),15-13*ORÇAMENTO!$AF$7)/$H237*OFFSET(ORÇAMENTO!$X$15,ROW(AE237)-ROW(AE$15),0),
              ROUND(ROUND(OFFSET($P237,0,AE$13),15-13*ORÇAMENTO!$AF$7)*OFFSET(ORÇAMENTO!$W$15,ROW(AE237)-ROW(AE$15),0),15-13*ORÇAMENTO!$AF$11)),
         0)</f>
        <v>0</v>
      </c>
      <c r="AF237" s="453">
        <f ca="1">IF(AND($D237="Serviço",AF$12&lt;&gt;0,$H237&gt;0,OR(AUTOEVENTO&lt;&gt;"manual",$M237&lt;&gt;$A$15)),
        IF(Import.TipoArredondamento&lt;&gt;"TransfereGOV",
              ROUND(OFFSET($P237,0,AF$13),15-13*ORÇAMENTO!$AF$7)/$H237*OFFSET(ORÇAMENTO!$X$15,ROW(AF237)-ROW(AF$15),0),
              ROUND(ROUND(OFFSET($P237,0,AF$13),15-13*ORÇAMENTO!$AF$7)*OFFSET(ORÇAMENTO!$W$15,ROW(AF237)-ROW(AF$15),0),15-13*ORÇAMENTO!$AF$11)),
         0)</f>
        <v>0</v>
      </c>
      <c r="AG237" s="453">
        <f ca="1">IF(AND($D237="Serviço",AG$12&lt;&gt;0,$H237&gt;0,OR(AUTOEVENTO&lt;&gt;"manual",$M237&lt;&gt;$A$15)),
        IF(Import.TipoArredondamento&lt;&gt;"TransfereGOV",
              ROUND(OFFSET($P237,0,AG$13),15-13*ORÇAMENTO!$AF$7)/$H237*OFFSET(ORÇAMENTO!$X$15,ROW(AG237)-ROW(AG$15),0),
              ROUND(ROUND(OFFSET($P237,0,AG$13),15-13*ORÇAMENTO!$AF$7)*OFFSET(ORÇAMENTO!$W$15,ROW(AG237)-ROW(AG$15),0),15-13*ORÇAMENTO!$AF$11)),
         0)</f>
        <v>0</v>
      </c>
      <c r="AH237" s="453">
        <f ca="1">IF(AND($D237="Serviço",AH$12&lt;&gt;0,$H237&gt;0,OR(AUTOEVENTO&lt;&gt;"manual",$M237&lt;&gt;$A$15)),
        IF(Import.TipoArredondamento&lt;&gt;"TransfereGOV",
              ROUND(OFFSET($P237,0,AH$13),15-13*ORÇAMENTO!$AF$7)/$H237*OFFSET(ORÇAMENTO!$X$15,ROW(AH237)-ROW(AH$15),0),
              ROUND(ROUND(OFFSET($P237,0,AH$13),15-13*ORÇAMENTO!$AF$7)*OFFSET(ORÇAMENTO!$W$15,ROW(AH237)-ROW(AH$15),0),15-13*ORÇAMENTO!$AF$11)),
         0)</f>
        <v>0</v>
      </c>
      <c r="AI237" s="453">
        <f ca="1">IF(AND($D237="Serviço",AI$12&lt;&gt;0,$H237&gt;0,OR(AUTOEVENTO&lt;&gt;"manual",$M237&lt;&gt;$A$15)),
        IF(Import.TipoArredondamento&lt;&gt;"TransfereGOV",
              ROUND(OFFSET($P237,0,AI$13),15-13*ORÇAMENTO!$AF$7)/$H237*OFFSET(ORÇAMENTO!$X$15,ROW(AI237)-ROW(AI$15),0),
              ROUND(ROUND(OFFSET($P237,0,AI$13),15-13*ORÇAMENTO!$AF$7)*OFFSET(ORÇAMENTO!$W$15,ROW(AI237)-ROW(AI$15),0),15-13*ORÇAMENTO!$AF$11)),
         0)</f>
        <v>0</v>
      </c>
      <c r="AJ237" s="453">
        <f ca="1">IF(AND($D237="Serviço",AJ$12&lt;&gt;0,$H237&gt;0,OR(AUTOEVENTO&lt;&gt;"manual",$M237&lt;&gt;$A$15)),
        IF(Import.TipoArredondamento&lt;&gt;"TransfereGOV",
              ROUND(OFFSET($P237,0,AJ$13),15-13*ORÇAMENTO!$AF$7)/$H237*OFFSET(ORÇAMENTO!$X$15,ROW(AJ237)-ROW(AJ$15),0),
              ROUND(ROUND(OFFSET($P237,0,AJ$13),15-13*ORÇAMENTO!$AF$7)*OFFSET(ORÇAMENTO!$W$15,ROW(AJ237)-ROW(AJ$15),0),15-13*ORÇAMENTO!$AF$11)),
         0)</f>
        <v>0</v>
      </c>
      <c r="AK237" s="453">
        <f ca="1">IF(AND($D237="Serviço",AK$12&lt;&gt;0,$H237&gt;0,OR(AUTOEVENTO&lt;&gt;"manual",$M237&lt;&gt;$A$15)),
        IF(Import.TipoArredondamento&lt;&gt;"TransfereGOV",
              ROUND(OFFSET($P237,0,AK$13),15-13*ORÇAMENTO!$AF$7)/$H237*OFFSET(ORÇAMENTO!$X$15,ROW(AK237)-ROW(AK$15),0),
              ROUND(ROUND(OFFSET($P237,0,AK$13),15-13*ORÇAMENTO!$AF$7)*OFFSET(ORÇAMENTO!$W$15,ROW(AK237)-ROW(AK$15),0),15-13*ORÇAMENTO!$AF$11)),
         0)</f>
        <v>0</v>
      </c>
      <c r="AM237" s="171">
        <f ca="1">IF(OR($D237&lt;&gt;"Serviço",AND(AUTOEVENTO="Manual",$M237=$A$15)),0,
         IF(OFFSET(CRONOPLE!$F$15,$M237-$A$15,AM$13)=0,10^12,OFFSET(CRONOPLE!$F$15,$M237-$A$15,AM$13)))</f>
        <v>1000000000000</v>
      </c>
      <c r="AN237" s="171">
        <f ca="1">IF(OR($D237&lt;&gt;"Serviço",AND(AUTOEVENTO="Manual",$M237=$A$15)),0,
         IF(OFFSET(CRONOPLE!$F$15,$M237-$A$15,AN$13)=0,10^12,OFFSET(CRONOPLE!$F$15,$M237-$A$15,AN$13)))</f>
        <v>1000000000000</v>
      </c>
      <c r="AO237" s="171">
        <f ca="1">IF(OR($D237&lt;&gt;"Serviço",AND(AUTOEVENTO="Manual",$M237=$A$15)),0,
         IF(OFFSET(CRONOPLE!$F$15,$M237-$A$15,AO$13)=0,10^12,OFFSET(CRONOPLE!$F$15,$M237-$A$15,AO$13)))</f>
        <v>1000000000000</v>
      </c>
      <c r="AP237" s="171">
        <f ca="1">IF(OR($D237&lt;&gt;"Serviço",AND(AUTOEVENTO="Manual",$M237=$A$15)),0,
         IF(OFFSET(CRONOPLE!$F$15,$M237-$A$15,AP$13)=0,10^12,OFFSET(CRONOPLE!$F$15,$M237-$A$15,AP$13)))</f>
        <v>1000000000000</v>
      </c>
      <c r="AQ237" s="171">
        <f ca="1">IF(OR($D237&lt;&gt;"Serviço",AND(AUTOEVENTO="Manual",$M237=$A$15)),0,
         IF(OFFSET(CRONOPLE!$F$15,$M237-$A$15,AQ$13)=0,10^12,OFFSET(CRONOPLE!$F$15,$M237-$A$15,AQ$13)))</f>
        <v>1000000000000</v>
      </c>
      <c r="AR237" s="171">
        <f ca="1">IF(OR($D237&lt;&gt;"Serviço",AND(AUTOEVENTO="Manual",$M237=$A$15)),0,
         IF(OFFSET(CRONOPLE!$F$15,$M237-$A$15,AR$13)=0,10^12,OFFSET(CRONOPLE!$F$15,$M237-$A$15,AR$13)))</f>
        <v>1000000000000</v>
      </c>
      <c r="AS237" s="171">
        <f ca="1">IF(OR($D237&lt;&gt;"Serviço",AND(AUTOEVENTO="Manual",$M237=$A$15)),0,
         IF(OFFSET(CRONOPLE!$F$15,$M237-$A$15,AS$13)=0,10^12,OFFSET(CRONOPLE!$F$15,$M237-$A$15,AS$13)))</f>
        <v>1000000000000</v>
      </c>
      <c r="AT237" s="171">
        <f ca="1">IF(OR($D237&lt;&gt;"Serviço",AND(AUTOEVENTO="Manual",$M237=$A$15)),0,
         IF(OFFSET(CRONOPLE!$F$15,$M237-$A$15,AT$13)=0,10^12,OFFSET(CRONOPLE!$F$15,$M237-$A$15,AT$13)))</f>
        <v>1000000000000</v>
      </c>
      <c r="AU237" s="171">
        <f ca="1">IF(OR($D237&lt;&gt;"Serviço",AND(AUTOEVENTO="Manual",$M237=$A$15)),0,
         IF(OFFSET(CRONOPLE!$F$15,$M237-$A$15,AU$13)=0,10^12,OFFSET(CRONOPLE!$F$15,$M237-$A$15,AU$13)))</f>
        <v>1000000000000</v>
      </c>
      <c r="AV237" s="171">
        <f ca="1">IF(OR($D237&lt;&gt;"Serviço",AND(AUTOEVENTO="Manual",$M237=$A$15)),0,
         IF(OFFSET(CRONOPLE!$F$15,$M237-$A$15,AV$13)=0,10^12,OFFSET(CRONOPLE!$F$15,$M237-$A$15,AV$13)))</f>
        <v>1000000000000</v>
      </c>
      <c r="AX237" s="172" cm="1">
        <f t="array" aca="1" ref="AX237" ca="1">IF(OR($D237&lt;&gt;"Serviço",AND(AUTOEVENTO="Manual",$M237=$A$15),$M237&gt;(ROW(PLE.lastrow)-ROW(PLE.firstrow))),0,
           IF(OFFSET(PLE!$G$15,$M237-$A$15,AX$13)="",10^12,OFFSET(PLE!$G$15,$M237-$A$15,AX$13)))</f>
        <v>1000000000000</v>
      </c>
      <c r="AY237" s="172" cm="1">
        <f t="array" aca="1" ref="AY237" ca="1">IF(OR($D237&lt;&gt;"Serviço",AND(AUTOEVENTO="Manual",$M237=$A$15),$M237&gt;(ROW(PLE.lastrow)-ROW(PLE.firstrow))),0,
           IF(OFFSET(PLE!$G$15,$M237-$A$15,AY$13)="",10^12,OFFSET(PLE!$G$15,$M237-$A$15,AY$13)))</f>
        <v>1000000000000</v>
      </c>
      <c r="AZ237" s="172" cm="1">
        <f t="array" aca="1" ref="AZ237" ca="1">IF(OR($D237&lt;&gt;"Serviço",AND(AUTOEVENTO="Manual",$M237=$A$15),$M237&gt;(ROW(PLE.lastrow)-ROW(PLE.firstrow))),0,
           IF(OFFSET(PLE!$G$15,$M237-$A$15,AZ$13)="",10^12,OFFSET(PLE!$G$15,$M237-$A$15,AZ$13)))</f>
        <v>1000000000000</v>
      </c>
      <c r="BA237" s="172" cm="1">
        <f t="array" aca="1" ref="BA237" ca="1">IF(OR($D237&lt;&gt;"Serviço",AND(AUTOEVENTO="Manual",$M237=$A$15),$M237&gt;(ROW(PLE.lastrow)-ROW(PLE.firstrow))),0,
           IF(OFFSET(PLE!$G$15,$M237-$A$15,BA$13)="",10^12,OFFSET(PLE!$G$15,$M237-$A$15,BA$13)))</f>
        <v>1000000000000</v>
      </c>
      <c r="BB237" s="172" cm="1">
        <f t="array" aca="1" ref="BB237" ca="1">IF(OR($D237&lt;&gt;"Serviço",AND(AUTOEVENTO="Manual",$M237=$A$15),$M237&gt;(ROW(PLE.lastrow)-ROW(PLE.firstrow))),0,
           IF(OFFSET(PLE!$G$15,$M237-$A$15,BB$13)="",10^12,OFFSET(PLE!$G$15,$M237-$A$15,BB$13)))</f>
        <v>1000000000000</v>
      </c>
      <c r="BC237" s="172" cm="1">
        <f t="array" aca="1" ref="BC237" ca="1">IF(OR($D237&lt;&gt;"Serviço",AND(AUTOEVENTO="Manual",$M237=$A$15),$M237&gt;(ROW(PLE.lastrow)-ROW(PLE.firstrow))),0,
           IF(OFFSET(PLE!$G$15,$M237-$A$15,BC$13)="",10^12,OFFSET(PLE!$G$15,$M237-$A$15,BC$13)))</f>
        <v>1000000000000</v>
      </c>
      <c r="BD237" s="172" cm="1">
        <f t="array" aca="1" ref="BD237" ca="1">IF(OR($D237&lt;&gt;"Serviço",AND(AUTOEVENTO="Manual",$M237=$A$15),$M237&gt;(ROW(PLE.lastrow)-ROW(PLE.firstrow))),0,
           IF(OFFSET(PLE!$G$15,$M237-$A$15,BD$13)="",10^12,OFFSET(PLE!$G$15,$M237-$A$15,BD$13)))</f>
        <v>1000000000000</v>
      </c>
      <c r="BE237" s="172" cm="1">
        <f t="array" aca="1" ref="BE237" ca="1">IF(OR($D237&lt;&gt;"Serviço",AND(AUTOEVENTO="Manual",$M237=$A$15),$M237&gt;(ROW(PLE.lastrow)-ROW(PLE.firstrow))),0,
           IF(OFFSET(PLE!$G$15,$M237-$A$15,BE$13)="",10^12,OFFSET(PLE!$G$15,$M237-$A$15,BE$13)))</f>
        <v>1000000000000</v>
      </c>
      <c r="BF237" s="172" cm="1">
        <f t="array" aca="1" ref="BF237" ca="1">IF(OR($D237&lt;&gt;"Serviço",AND(AUTOEVENTO="Manual",$M237=$A$15),$M237&gt;(ROW(PLE.lastrow)-ROW(PLE.firstrow))),0,
           IF(OFFSET(PLE!$G$15,$M237-$A$15,BF$13)="",10^12,OFFSET(PLE!$G$15,$M237-$A$15,BF$13)))</f>
        <v>1000000000000</v>
      </c>
      <c r="BG237" s="172" cm="1">
        <f t="array" aca="1" ref="BG237" ca="1">IF(OR($D237&lt;&gt;"Serviço",AND(AUTOEVENTO="Manual",$M237=$A$15),$M237&gt;(ROW(PLE.lastrow)-ROW(PLE.firstrow))),0,
           IF(OFFSET(PLE!$G$15,$M237-$A$15,BG$13)="",10^12,OFFSET(PLE!$G$15,$M237-$A$15,BG$13)))</f>
        <v>1000000000000</v>
      </c>
    </row>
    <row r="238" spans="1:59" ht="25.5" x14ac:dyDescent="0.2">
      <c r="A238" s="7" t="str">
        <f t="shared" ca="1" si="8"/>
        <v>219</v>
      </c>
      <c r="B238" s="7" t="str">
        <f ca="1">OFFSET(ORÇAMENTO!C$15,$L238,0)</f>
        <v>S</v>
      </c>
      <c r="C238" s="7" t="str">
        <f ca="1">OFFSET(ORÇAMENTO!L$15,$L238,0)</f>
        <v>F</v>
      </c>
      <c r="D238" s="116" t="str">
        <f ca="1">OFFSET(ORÇAMENTO!N$15,$L238,0)</f>
        <v>Serviço</v>
      </c>
      <c r="E238" s="117" t="str">
        <f ca="1">OFFSET(ORÇAMENTO!O$15,$L238,0)</f>
        <v>1.13.0.0.4.</v>
      </c>
      <c r="F238" s="163" t="str">
        <f ca="1">OFFSET(ORÇAMENTO!R$15,$L238,0)</f>
        <v>LIMPEZA DE BACIA SANITÁRIA, BIDÊ OU MICTÓRIO EM LOUÇA, INCLUSIVE METAIS CORRESPONDENTES. AF_10/2025_PS</v>
      </c>
      <c r="G238" s="164" t="str">
        <f ca="1">IF($D238&lt;&gt;"Serviço","",OFFSET(ORÇAMENTO!S$15,$L238,0))</f>
        <v>UN</v>
      </c>
      <c r="H238" s="122" cm="1">
        <f t="array" aca="1" ref="H238" ca="1">IF($D238&lt;&gt;"Serviço",0,IF(ACOMPANHAMENTO="BM",ROUND(OFFSET(ORÇAMENTO!AJ$15,$L238,0),15-13*ORÇAMENTO!$AF$7),IF(IFERROR(CÁLCULO.FrentesPreenchidas,0)=0,0,SUM(ROUND(OFFSET($P238,0,1,1,CÁLCULO.FrentesPreenchidas),15-13*ORÇAMENTO!$AF$7)))))</f>
        <v>30</v>
      </c>
      <c r="I238" s="468"/>
      <c r="J238" s="651" t="str" cm="1">
        <f t="array" aca="1" ref="J238" ca="1">IF(OR(B238&lt;&gt;"S",CÁLCULO.FrentesPreenchidas=0),"",IF(AND(ACOMPANHAMENTO="PLE",AUTOEVENTO="Manual",OR(H238&gt;0,ORÇAMENTO!AC238="QUANT."),OR(K238="",M238=0,N238="")),"►E",IF(AND(ACOMPANHAMENTO="PLE",ORÇAMENTO!AC238="QUANT."),"►Q",IF(AND(ACOMPANHAMENTO="PLE",H238&lt;&gt;SUMPRODUCT(($Q$1:$AA$1=1)*ROUND(Q238:AA238,15))),"►S",IF(AND(COUNTIF($P$11:$AA$11,"▼")=0,H238&gt;0,I238=""),"◄M","")))))</f>
        <v/>
      </c>
      <c r="K238" s="652"/>
      <c r="L238" s="165">
        <f t="shared" ca="1" si="9"/>
        <v>223</v>
      </c>
      <c r="M238" s="166">
        <f ca="1">IF($D238&lt;&gt;"Serviço","",
          IF(AUTOEVENTO="manual",$A238,
                IF(ISERROR(MATCH($A238,$A$15:OFFSET($A238,-1,0),0)),MAX($M$15:OFFSET(M238,-1,0))+1,
                      INDEX($M$15:OFFSET(M238,-1,0),MATCH($A238,$A$15:OFFSET($A238,-1,0),0)))))</f>
        <v>13</v>
      </c>
      <c r="N238" s="167" t="str">
        <f ca="1">IF($D238&lt;&gt;"Serviço","",
         IF(AUTOEVENTO="Manual",
                IF($A238=0,"&lt;-- defina o número do agrupador",
                       OFFSET(EVENTOS!$D$15,$A238-$A$15,0)),
                OFFSET($F$15,$A238,0)))</f>
        <v>LIMPEZA FINAL DE OBRA</v>
      </c>
      <c r="O238" s="168"/>
      <c r="Q238" s="168"/>
      <c r="R238" s="169"/>
      <c r="S238" s="169"/>
      <c r="T238" s="169"/>
      <c r="U238" s="169"/>
      <c r="V238" s="169"/>
      <c r="W238" s="169"/>
      <c r="X238" s="169"/>
      <c r="Y238" s="169"/>
      <c r="Z238" s="170"/>
      <c r="AB238" s="453">
        <f ca="1">IF(AND($D238="Serviço",AB$12&lt;&gt;0,$H238&gt;0,OR(AUTOEVENTO&lt;&gt;"manual",$M238&lt;&gt;$A$15)),
        IF(Import.TipoArredondamento&lt;&gt;"TransfereGOV",
              ROUND(OFFSET($P238,0,AB$13),15-13*ORÇAMENTO!$AF$7)/$H238*OFFSET(ORÇAMENTO!$X$15,ROW(AB238)-ROW(AB$15),0),
              ROUND(ROUND(OFFSET($P238,0,AB$13),15-13*ORÇAMENTO!$AF$7)*OFFSET(ORÇAMENTO!$W$15,ROW(AB238)-ROW(AB$15),0),15-13*ORÇAMENTO!$AF$11)),
         0)</f>
        <v>0</v>
      </c>
      <c r="AC238" s="453">
        <f ca="1">IF(AND($D238="Serviço",AC$12&lt;&gt;0,$H238&gt;0,OR(AUTOEVENTO&lt;&gt;"manual",$M238&lt;&gt;$A$15)),
        IF(Import.TipoArredondamento&lt;&gt;"TransfereGOV",
              ROUND(OFFSET($P238,0,AC$13),15-13*ORÇAMENTO!$AF$7)/$H238*OFFSET(ORÇAMENTO!$X$15,ROW(AC238)-ROW(AC$15),0),
              ROUND(ROUND(OFFSET($P238,0,AC$13),15-13*ORÇAMENTO!$AF$7)*OFFSET(ORÇAMENTO!$W$15,ROW(AC238)-ROW(AC$15),0),15-13*ORÇAMENTO!$AF$11)),
         0)</f>
        <v>0</v>
      </c>
      <c r="AD238" s="453">
        <f ca="1">IF(AND($D238="Serviço",AD$12&lt;&gt;0,$H238&gt;0,OR(AUTOEVENTO&lt;&gt;"manual",$M238&lt;&gt;$A$15)),
        IF(Import.TipoArredondamento&lt;&gt;"TransfereGOV",
              ROUND(OFFSET($P238,0,AD$13),15-13*ORÇAMENTO!$AF$7)/$H238*OFFSET(ORÇAMENTO!$X$15,ROW(AD238)-ROW(AD$15),0),
              ROUND(ROUND(OFFSET($P238,0,AD$13),15-13*ORÇAMENTO!$AF$7)*OFFSET(ORÇAMENTO!$W$15,ROW(AD238)-ROW(AD$15),0),15-13*ORÇAMENTO!$AF$11)),
         0)</f>
        <v>0</v>
      </c>
      <c r="AE238" s="453">
        <f ca="1">IF(AND($D238="Serviço",AE$12&lt;&gt;0,$H238&gt;0,OR(AUTOEVENTO&lt;&gt;"manual",$M238&lt;&gt;$A$15)),
        IF(Import.TipoArredondamento&lt;&gt;"TransfereGOV",
              ROUND(OFFSET($P238,0,AE$13),15-13*ORÇAMENTO!$AF$7)/$H238*OFFSET(ORÇAMENTO!$X$15,ROW(AE238)-ROW(AE$15),0),
              ROUND(ROUND(OFFSET($P238,0,AE$13),15-13*ORÇAMENTO!$AF$7)*OFFSET(ORÇAMENTO!$W$15,ROW(AE238)-ROW(AE$15),0),15-13*ORÇAMENTO!$AF$11)),
         0)</f>
        <v>0</v>
      </c>
      <c r="AF238" s="453">
        <f ca="1">IF(AND($D238="Serviço",AF$12&lt;&gt;0,$H238&gt;0,OR(AUTOEVENTO&lt;&gt;"manual",$M238&lt;&gt;$A$15)),
        IF(Import.TipoArredondamento&lt;&gt;"TransfereGOV",
              ROUND(OFFSET($P238,0,AF$13),15-13*ORÇAMENTO!$AF$7)/$H238*OFFSET(ORÇAMENTO!$X$15,ROW(AF238)-ROW(AF$15),0),
              ROUND(ROUND(OFFSET($P238,0,AF$13),15-13*ORÇAMENTO!$AF$7)*OFFSET(ORÇAMENTO!$W$15,ROW(AF238)-ROW(AF$15),0),15-13*ORÇAMENTO!$AF$11)),
         0)</f>
        <v>0</v>
      </c>
      <c r="AG238" s="453">
        <f ca="1">IF(AND($D238="Serviço",AG$12&lt;&gt;0,$H238&gt;0,OR(AUTOEVENTO&lt;&gt;"manual",$M238&lt;&gt;$A$15)),
        IF(Import.TipoArredondamento&lt;&gt;"TransfereGOV",
              ROUND(OFFSET($P238,0,AG$13),15-13*ORÇAMENTO!$AF$7)/$H238*OFFSET(ORÇAMENTO!$X$15,ROW(AG238)-ROW(AG$15),0),
              ROUND(ROUND(OFFSET($P238,0,AG$13),15-13*ORÇAMENTO!$AF$7)*OFFSET(ORÇAMENTO!$W$15,ROW(AG238)-ROW(AG$15),0),15-13*ORÇAMENTO!$AF$11)),
         0)</f>
        <v>0</v>
      </c>
      <c r="AH238" s="453">
        <f ca="1">IF(AND($D238="Serviço",AH$12&lt;&gt;0,$H238&gt;0,OR(AUTOEVENTO&lt;&gt;"manual",$M238&lt;&gt;$A$15)),
        IF(Import.TipoArredondamento&lt;&gt;"TransfereGOV",
              ROUND(OFFSET($P238,0,AH$13),15-13*ORÇAMENTO!$AF$7)/$H238*OFFSET(ORÇAMENTO!$X$15,ROW(AH238)-ROW(AH$15),0),
              ROUND(ROUND(OFFSET($P238,0,AH$13),15-13*ORÇAMENTO!$AF$7)*OFFSET(ORÇAMENTO!$W$15,ROW(AH238)-ROW(AH$15),0),15-13*ORÇAMENTO!$AF$11)),
         0)</f>
        <v>0</v>
      </c>
      <c r="AI238" s="453">
        <f ca="1">IF(AND($D238="Serviço",AI$12&lt;&gt;0,$H238&gt;0,OR(AUTOEVENTO&lt;&gt;"manual",$M238&lt;&gt;$A$15)),
        IF(Import.TipoArredondamento&lt;&gt;"TransfereGOV",
              ROUND(OFFSET($P238,0,AI$13),15-13*ORÇAMENTO!$AF$7)/$H238*OFFSET(ORÇAMENTO!$X$15,ROW(AI238)-ROW(AI$15),0),
              ROUND(ROUND(OFFSET($P238,0,AI$13),15-13*ORÇAMENTO!$AF$7)*OFFSET(ORÇAMENTO!$W$15,ROW(AI238)-ROW(AI$15),0),15-13*ORÇAMENTO!$AF$11)),
         0)</f>
        <v>0</v>
      </c>
      <c r="AJ238" s="453">
        <f ca="1">IF(AND($D238="Serviço",AJ$12&lt;&gt;0,$H238&gt;0,OR(AUTOEVENTO&lt;&gt;"manual",$M238&lt;&gt;$A$15)),
        IF(Import.TipoArredondamento&lt;&gt;"TransfereGOV",
              ROUND(OFFSET($P238,0,AJ$13),15-13*ORÇAMENTO!$AF$7)/$H238*OFFSET(ORÇAMENTO!$X$15,ROW(AJ238)-ROW(AJ$15),0),
              ROUND(ROUND(OFFSET($P238,0,AJ$13),15-13*ORÇAMENTO!$AF$7)*OFFSET(ORÇAMENTO!$W$15,ROW(AJ238)-ROW(AJ$15),0),15-13*ORÇAMENTO!$AF$11)),
         0)</f>
        <v>0</v>
      </c>
      <c r="AK238" s="453">
        <f ca="1">IF(AND($D238="Serviço",AK$12&lt;&gt;0,$H238&gt;0,OR(AUTOEVENTO&lt;&gt;"manual",$M238&lt;&gt;$A$15)),
        IF(Import.TipoArredondamento&lt;&gt;"TransfereGOV",
              ROUND(OFFSET($P238,0,AK$13),15-13*ORÇAMENTO!$AF$7)/$H238*OFFSET(ORÇAMENTO!$X$15,ROW(AK238)-ROW(AK$15),0),
              ROUND(ROUND(OFFSET($P238,0,AK$13),15-13*ORÇAMENTO!$AF$7)*OFFSET(ORÇAMENTO!$W$15,ROW(AK238)-ROW(AK$15),0),15-13*ORÇAMENTO!$AF$11)),
         0)</f>
        <v>0</v>
      </c>
      <c r="AM238" s="171">
        <f ca="1">IF(OR($D238&lt;&gt;"Serviço",AND(AUTOEVENTO="Manual",$M238=$A$15)),0,
         IF(OFFSET(CRONOPLE!$F$15,$M238-$A$15,AM$13)=0,10^12,OFFSET(CRONOPLE!$F$15,$M238-$A$15,AM$13)))</f>
        <v>1000000000000</v>
      </c>
      <c r="AN238" s="171">
        <f ca="1">IF(OR($D238&lt;&gt;"Serviço",AND(AUTOEVENTO="Manual",$M238=$A$15)),0,
         IF(OFFSET(CRONOPLE!$F$15,$M238-$A$15,AN$13)=0,10^12,OFFSET(CRONOPLE!$F$15,$M238-$A$15,AN$13)))</f>
        <v>1000000000000</v>
      </c>
      <c r="AO238" s="171">
        <f ca="1">IF(OR($D238&lt;&gt;"Serviço",AND(AUTOEVENTO="Manual",$M238=$A$15)),0,
         IF(OFFSET(CRONOPLE!$F$15,$M238-$A$15,AO$13)=0,10^12,OFFSET(CRONOPLE!$F$15,$M238-$A$15,AO$13)))</f>
        <v>1000000000000</v>
      </c>
      <c r="AP238" s="171">
        <f ca="1">IF(OR($D238&lt;&gt;"Serviço",AND(AUTOEVENTO="Manual",$M238=$A$15)),0,
         IF(OFFSET(CRONOPLE!$F$15,$M238-$A$15,AP$13)=0,10^12,OFFSET(CRONOPLE!$F$15,$M238-$A$15,AP$13)))</f>
        <v>1000000000000</v>
      </c>
      <c r="AQ238" s="171">
        <f ca="1">IF(OR($D238&lt;&gt;"Serviço",AND(AUTOEVENTO="Manual",$M238=$A$15)),0,
         IF(OFFSET(CRONOPLE!$F$15,$M238-$A$15,AQ$13)=0,10^12,OFFSET(CRONOPLE!$F$15,$M238-$A$15,AQ$13)))</f>
        <v>1000000000000</v>
      </c>
      <c r="AR238" s="171">
        <f ca="1">IF(OR($D238&lt;&gt;"Serviço",AND(AUTOEVENTO="Manual",$M238=$A$15)),0,
         IF(OFFSET(CRONOPLE!$F$15,$M238-$A$15,AR$13)=0,10^12,OFFSET(CRONOPLE!$F$15,$M238-$A$15,AR$13)))</f>
        <v>1000000000000</v>
      </c>
      <c r="AS238" s="171">
        <f ca="1">IF(OR($D238&lt;&gt;"Serviço",AND(AUTOEVENTO="Manual",$M238=$A$15)),0,
         IF(OFFSET(CRONOPLE!$F$15,$M238-$A$15,AS$13)=0,10^12,OFFSET(CRONOPLE!$F$15,$M238-$A$15,AS$13)))</f>
        <v>1000000000000</v>
      </c>
      <c r="AT238" s="171">
        <f ca="1">IF(OR($D238&lt;&gt;"Serviço",AND(AUTOEVENTO="Manual",$M238=$A$15)),0,
         IF(OFFSET(CRONOPLE!$F$15,$M238-$A$15,AT$13)=0,10^12,OFFSET(CRONOPLE!$F$15,$M238-$A$15,AT$13)))</f>
        <v>1000000000000</v>
      </c>
      <c r="AU238" s="171">
        <f ca="1">IF(OR($D238&lt;&gt;"Serviço",AND(AUTOEVENTO="Manual",$M238=$A$15)),0,
         IF(OFFSET(CRONOPLE!$F$15,$M238-$A$15,AU$13)=0,10^12,OFFSET(CRONOPLE!$F$15,$M238-$A$15,AU$13)))</f>
        <v>1000000000000</v>
      </c>
      <c r="AV238" s="171">
        <f ca="1">IF(OR($D238&lt;&gt;"Serviço",AND(AUTOEVENTO="Manual",$M238=$A$15)),0,
         IF(OFFSET(CRONOPLE!$F$15,$M238-$A$15,AV$13)=0,10^12,OFFSET(CRONOPLE!$F$15,$M238-$A$15,AV$13)))</f>
        <v>1000000000000</v>
      </c>
      <c r="AX238" s="172" cm="1">
        <f t="array" aca="1" ref="AX238" ca="1">IF(OR($D238&lt;&gt;"Serviço",AND(AUTOEVENTO="Manual",$M238=$A$15),$M238&gt;(ROW(PLE.lastrow)-ROW(PLE.firstrow))),0,
           IF(OFFSET(PLE!$G$15,$M238-$A$15,AX$13)="",10^12,OFFSET(PLE!$G$15,$M238-$A$15,AX$13)))</f>
        <v>1000000000000</v>
      </c>
      <c r="AY238" s="172" cm="1">
        <f t="array" aca="1" ref="AY238" ca="1">IF(OR($D238&lt;&gt;"Serviço",AND(AUTOEVENTO="Manual",$M238=$A$15),$M238&gt;(ROW(PLE.lastrow)-ROW(PLE.firstrow))),0,
           IF(OFFSET(PLE!$G$15,$M238-$A$15,AY$13)="",10^12,OFFSET(PLE!$G$15,$M238-$A$15,AY$13)))</f>
        <v>1000000000000</v>
      </c>
      <c r="AZ238" s="172" cm="1">
        <f t="array" aca="1" ref="AZ238" ca="1">IF(OR($D238&lt;&gt;"Serviço",AND(AUTOEVENTO="Manual",$M238=$A$15),$M238&gt;(ROW(PLE.lastrow)-ROW(PLE.firstrow))),0,
           IF(OFFSET(PLE!$G$15,$M238-$A$15,AZ$13)="",10^12,OFFSET(PLE!$G$15,$M238-$A$15,AZ$13)))</f>
        <v>1000000000000</v>
      </c>
      <c r="BA238" s="172" cm="1">
        <f t="array" aca="1" ref="BA238" ca="1">IF(OR($D238&lt;&gt;"Serviço",AND(AUTOEVENTO="Manual",$M238=$A$15),$M238&gt;(ROW(PLE.lastrow)-ROW(PLE.firstrow))),0,
           IF(OFFSET(PLE!$G$15,$M238-$A$15,BA$13)="",10^12,OFFSET(PLE!$G$15,$M238-$A$15,BA$13)))</f>
        <v>1000000000000</v>
      </c>
      <c r="BB238" s="172" cm="1">
        <f t="array" aca="1" ref="BB238" ca="1">IF(OR($D238&lt;&gt;"Serviço",AND(AUTOEVENTO="Manual",$M238=$A$15),$M238&gt;(ROW(PLE.lastrow)-ROW(PLE.firstrow))),0,
           IF(OFFSET(PLE!$G$15,$M238-$A$15,BB$13)="",10^12,OFFSET(PLE!$G$15,$M238-$A$15,BB$13)))</f>
        <v>1000000000000</v>
      </c>
      <c r="BC238" s="172" cm="1">
        <f t="array" aca="1" ref="BC238" ca="1">IF(OR($D238&lt;&gt;"Serviço",AND(AUTOEVENTO="Manual",$M238=$A$15),$M238&gt;(ROW(PLE.lastrow)-ROW(PLE.firstrow))),0,
           IF(OFFSET(PLE!$G$15,$M238-$A$15,BC$13)="",10^12,OFFSET(PLE!$G$15,$M238-$A$15,BC$13)))</f>
        <v>1000000000000</v>
      </c>
      <c r="BD238" s="172" cm="1">
        <f t="array" aca="1" ref="BD238" ca="1">IF(OR($D238&lt;&gt;"Serviço",AND(AUTOEVENTO="Manual",$M238=$A$15),$M238&gt;(ROW(PLE.lastrow)-ROW(PLE.firstrow))),0,
           IF(OFFSET(PLE!$G$15,$M238-$A$15,BD$13)="",10^12,OFFSET(PLE!$G$15,$M238-$A$15,BD$13)))</f>
        <v>1000000000000</v>
      </c>
      <c r="BE238" s="172" cm="1">
        <f t="array" aca="1" ref="BE238" ca="1">IF(OR($D238&lt;&gt;"Serviço",AND(AUTOEVENTO="Manual",$M238=$A$15),$M238&gt;(ROW(PLE.lastrow)-ROW(PLE.firstrow))),0,
           IF(OFFSET(PLE!$G$15,$M238-$A$15,BE$13)="",10^12,OFFSET(PLE!$G$15,$M238-$A$15,BE$13)))</f>
        <v>1000000000000</v>
      </c>
      <c r="BF238" s="172" cm="1">
        <f t="array" aca="1" ref="BF238" ca="1">IF(OR($D238&lt;&gt;"Serviço",AND(AUTOEVENTO="Manual",$M238=$A$15),$M238&gt;(ROW(PLE.lastrow)-ROW(PLE.firstrow))),0,
           IF(OFFSET(PLE!$G$15,$M238-$A$15,BF$13)="",10^12,OFFSET(PLE!$G$15,$M238-$A$15,BF$13)))</f>
        <v>1000000000000</v>
      </c>
      <c r="BG238" s="172" cm="1">
        <f t="array" aca="1" ref="BG238" ca="1">IF(OR($D238&lt;&gt;"Serviço",AND(AUTOEVENTO="Manual",$M238=$A$15),$M238&gt;(ROW(PLE.lastrow)-ROW(PLE.firstrow))),0,
           IF(OFFSET(PLE!$G$15,$M238-$A$15,BG$13)="",10^12,OFFSET(PLE!$G$15,$M238-$A$15,BG$13)))</f>
        <v>1000000000000</v>
      </c>
    </row>
    <row r="239" spans="1:59" ht="25.5" x14ac:dyDescent="0.2">
      <c r="A239" s="7" t="str">
        <f t="shared" ca="1" si="8"/>
        <v>219</v>
      </c>
      <c r="B239" s="7" t="str">
        <f ca="1">OFFSET(ORÇAMENTO!C$15,$L239,0)</f>
        <v>S</v>
      </c>
      <c r="C239" s="7" t="str">
        <f ca="1">OFFSET(ORÇAMENTO!L$15,$L239,0)</f>
        <v>F</v>
      </c>
      <c r="D239" s="116" t="str">
        <f ca="1">OFFSET(ORÇAMENTO!N$15,$L239,0)</f>
        <v>Serviço</v>
      </c>
      <c r="E239" s="117" t="str">
        <f ca="1">OFFSET(ORÇAMENTO!O$15,$L239,0)</f>
        <v>1.13.0.0.5.</v>
      </c>
      <c r="F239" s="163" t="str">
        <f ca="1">OFFSET(ORÇAMENTO!R$15,$L239,0)</f>
        <v>LIMPEZA DE JANELA DE VIDRO COM CAIXILHO EM AÇO/ALUMÍNIO/PVC. AF_10/2025_PS</v>
      </c>
      <c r="G239" s="164" t="str">
        <f ca="1">IF($D239&lt;&gt;"Serviço","",OFFSET(ORÇAMENTO!S$15,$L239,0))</f>
        <v>M2</v>
      </c>
      <c r="H239" s="122" cm="1">
        <f t="array" aca="1" ref="H239" ca="1">IF($D239&lt;&gt;"Serviço",0,IF(ACOMPANHAMENTO="BM",ROUND(OFFSET(ORÇAMENTO!AJ$15,$L239,0),15-13*ORÇAMENTO!$AF$7),IF(IFERROR(CÁLCULO.FrentesPreenchidas,0)=0,0,SUM(ROUND(OFFSET($P239,0,1,1,CÁLCULO.FrentesPreenchidas),15-13*ORÇAMENTO!$AF$7)))))</f>
        <v>30</v>
      </c>
      <c r="I239" s="468"/>
      <c r="J239" s="651" t="str" cm="1">
        <f t="array" aca="1" ref="J239" ca="1">IF(OR(B239&lt;&gt;"S",CÁLCULO.FrentesPreenchidas=0),"",IF(AND(ACOMPANHAMENTO="PLE",AUTOEVENTO="Manual",OR(H239&gt;0,ORÇAMENTO!AC239="QUANT."),OR(K239="",M239=0,N239="")),"►E",IF(AND(ACOMPANHAMENTO="PLE",ORÇAMENTO!AC239="QUANT."),"►Q",IF(AND(ACOMPANHAMENTO="PLE",H239&lt;&gt;SUMPRODUCT(($Q$1:$AA$1=1)*ROUND(Q239:AA239,15))),"►S",IF(AND(COUNTIF($P$11:$AA$11,"▼")=0,H239&gt;0,I239=""),"◄M","")))))</f>
        <v/>
      </c>
      <c r="K239" s="652"/>
      <c r="L239" s="165">
        <f t="shared" ca="1" si="9"/>
        <v>224</v>
      </c>
      <c r="M239" s="166">
        <f ca="1">IF($D239&lt;&gt;"Serviço","",
          IF(AUTOEVENTO="manual",$A239,
                IF(ISERROR(MATCH($A239,$A$15:OFFSET($A239,-1,0),0)),MAX($M$15:OFFSET(M239,-1,0))+1,
                      INDEX($M$15:OFFSET(M239,-1,0),MATCH($A239,$A$15:OFFSET($A239,-1,0),0)))))</f>
        <v>13</v>
      </c>
      <c r="N239" s="167" t="str">
        <f ca="1">IF($D239&lt;&gt;"Serviço","",
         IF(AUTOEVENTO="Manual",
                IF($A239=0,"&lt;-- defina o número do agrupador",
                       OFFSET(EVENTOS!$D$15,$A239-$A$15,0)),
                OFFSET($F$15,$A239,0)))</f>
        <v>LIMPEZA FINAL DE OBRA</v>
      </c>
      <c r="O239" s="168"/>
      <c r="Q239" s="168"/>
      <c r="R239" s="169"/>
      <c r="S239" s="169"/>
      <c r="T239" s="169"/>
      <c r="U239" s="169"/>
      <c r="V239" s="169"/>
      <c r="W239" s="169"/>
      <c r="X239" s="169"/>
      <c r="Y239" s="169"/>
      <c r="Z239" s="170"/>
      <c r="AB239" s="453">
        <f ca="1">IF(AND($D239="Serviço",AB$12&lt;&gt;0,$H239&gt;0,OR(AUTOEVENTO&lt;&gt;"manual",$M239&lt;&gt;$A$15)),
        IF(Import.TipoArredondamento&lt;&gt;"TransfereGOV",
              ROUND(OFFSET($P239,0,AB$13),15-13*ORÇAMENTO!$AF$7)/$H239*OFFSET(ORÇAMENTO!$X$15,ROW(AB239)-ROW(AB$15),0),
              ROUND(ROUND(OFFSET($P239,0,AB$13),15-13*ORÇAMENTO!$AF$7)*OFFSET(ORÇAMENTO!$W$15,ROW(AB239)-ROW(AB$15),0),15-13*ORÇAMENTO!$AF$11)),
         0)</f>
        <v>0</v>
      </c>
      <c r="AC239" s="453">
        <f ca="1">IF(AND($D239="Serviço",AC$12&lt;&gt;0,$H239&gt;0,OR(AUTOEVENTO&lt;&gt;"manual",$M239&lt;&gt;$A$15)),
        IF(Import.TipoArredondamento&lt;&gt;"TransfereGOV",
              ROUND(OFFSET($P239,0,AC$13),15-13*ORÇAMENTO!$AF$7)/$H239*OFFSET(ORÇAMENTO!$X$15,ROW(AC239)-ROW(AC$15),0),
              ROUND(ROUND(OFFSET($P239,0,AC$13),15-13*ORÇAMENTO!$AF$7)*OFFSET(ORÇAMENTO!$W$15,ROW(AC239)-ROW(AC$15),0),15-13*ORÇAMENTO!$AF$11)),
         0)</f>
        <v>0</v>
      </c>
      <c r="AD239" s="453">
        <f ca="1">IF(AND($D239="Serviço",AD$12&lt;&gt;0,$H239&gt;0,OR(AUTOEVENTO&lt;&gt;"manual",$M239&lt;&gt;$A$15)),
        IF(Import.TipoArredondamento&lt;&gt;"TransfereGOV",
              ROUND(OFFSET($P239,0,AD$13),15-13*ORÇAMENTO!$AF$7)/$H239*OFFSET(ORÇAMENTO!$X$15,ROW(AD239)-ROW(AD$15),0),
              ROUND(ROUND(OFFSET($P239,0,AD$13),15-13*ORÇAMENTO!$AF$7)*OFFSET(ORÇAMENTO!$W$15,ROW(AD239)-ROW(AD$15),0),15-13*ORÇAMENTO!$AF$11)),
         0)</f>
        <v>0</v>
      </c>
      <c r="AE239" s="453">
        <f ca="1">IF(AND($D239="Serviço",AE$12&lt;&gt;0,$H239&gt;0,OR(AUTOEVENTO&lt;&gt;"manual",$M239&lt;&gt;$A$15)),
        IF(Import.TipoArredondamento&lt;&gt;"TransfereGOV",
              ROUND(OFFSET($P239,0,AE$13),15-13*ORÇAMENTO!$AF$7)/$H239*OFFSET(ORÇAMENTO!$X$15,ROW(AE239)-ROW(AE$15),0),
              ROUND(ROUND(OFFSET($P239,0,AE$13),15-13*ORÇAMENTO!$AF$7)*OFFSET(ORÇAMENTO!$W$15,ROW(AE239)-ROW(AE$15),0),15-13*ORÇAMENTO!$AF$11)),
         0)</f>
        <v>0</v>
      </c>
      <c r="AF239" s="453">
        <f ca="1">IF(AND($D239="Serviço",AF$12&lt;&gt;0,$H239&gt;0,OR(AUTOEVENTO&lt;&gt;"manual",$M239&lt;&gt;$A$15)),
        IF(Import.TipoArredondamento&lt;&gt;"TransfereGOV",
              ROUND(OFFSET($P239,0,AF$13),15-13*ORÇAMENTO!$AF$7)/$H239*OFFSET(ORÇAMENTO!$X$15,ROW(AF239)-ROW(AF$15),0),
              ROUND(ROUND(OFFSET($P239,0,AF$13),15-13*ORÇAMENTO!$AF$7)*OFFSET(ORÇAMENTO!$W$15,ROW(AF239)-ROW(AF$15),0),15-13*ORÇAMENTO!$AF$11)),
         0)</f>
        <v>0</v>
      </c>
      <c r="AG239" s="453">
        <f ca="1">IF(AND($D239="Serviço",AG$12&lt;&gt;0,$H239&gt;0,OR(AUTOEVENTO&lt;&gt;"manual",$M239&lt;&gt;$A$15)),
        IF(Import.TipoArredondamento&lt;&gt;"TransfereGOV",
              ROUND(OFFSET($P239,0,AG$13),15-13*ORÇAMENTO!$AF$7)/$H239*OFFSET(ORÇAMENTO!$X$15,ROW(AG239)-ROW(AG$15),0),
              ROUND(ROUND(OFFSET($P239,0,AG$13),15-13*ORÇAMENTO!$AF$7)*OFFSET(ORÇAMENTO!$W$15,ROW(AG239)-ROW(AG$15),0),15-13*ORÇAMENTO!$AF$11)),
         0)</f>
        <v>0</v>
      </c>
      <c r="AH239" s="453">
        <f ca="1">IF(AND($D239="Serviço",AH$12&lt;&gt;0,$H239&gt;0,OR(AUTOEVENTO&lt;&gt;"manual",$M239&lt;&gt;$A$15)),
        IF(Import.TipoArredondamento&lt;&gt;"TransfereGOV",
              ROUND(OFFSET($P239,0,AH$13),15-13*ORÇAMENTO!$AF$7)/$H239*OFFSET(ORÇAMENTO!$X$15,ROW(AH239)-ROW(AH$15),0),
              ROUND(ROUND(OFFSET($P239,0,AH$13),15-13*ORÇAMENTO!$AF$7)*OFFSET(ORÇAMENTO!$W$15,ROW(AH239)-ROW(AH$15),0),15-13*ORÇAMENTO!$AF$11)),
         0)</f>
        <v>0</v>
      </c>
      <c r="AI239" s="453">
        <f ca="1">IF(AND($D239="Serviço",AI$12&lt;&gt;0,$H239&gt;0,OR(AUTOEVENTO&lt;&gt;"manual",$M239&lt;&gt;$A$15)),
        IF(Import.TipoArredondamento&lt;&gt;"TransfereGOV",
              ROUND(OFFSET($P239,0,AI$13),15-13*ORÇAMENTO!$AF$7)/$H239*OFFSET(ORÇAMENTO!$X$15,ROW(AI239)-ROW(AI$15),0),
              ROUND(ROUND(OFFSET($P239,0,AI$13),15-13*ORÇAMENTO!$AF$7)*OFFSET(ORÇAMENTO!$W$15,ROW(AI239)-ROW(AI$15),0),15-13*ORÇAMENTO!$AF$11)),
         0)</f>
        <v>0</v>
      </c>
      <c r="AJ239" s="453">
        <f ca="1">IF(AND($D239="Serviço",AJ$12&lt;&gt;0,$H239&gt;0,OR(AUTOEVENTO&lt;&gt;"manual",$M239&lt;&gt;$A$15)),
        IF(Import.TipoArredondamento&lt;&gt;"TransfereGOV",
              ROUND(OFFSET($P239,0,AJ$13),15-13*ORÇAMENTO!$AF$7)/$H239*OFFSET(ORÇAMENTO!$X$15,ROW(AJ239)-ROW(AJ$15),0),
              ROUND(ROUND(OFFSET($P239,0,AJ$13),15-13*ORÇAMENTO!$AF$7)*OFFSET(ORÇAMENTO!$W$15,ROW(AJ239)-ROW(AJ$15),0),15-13*ORÇAMENTO!$AF$11)),
         0)</f>
        <v>0</v>
      </c>
      <c r="AK239" s="453">
        <f ca="1">IF(AND($D239="Serviço",AK$12&lt;&gt;0,$H239&gt;0,OR(AUTOEVENTO&lt;&gt;"manual",$M239&lt;&gt;$A$15)),
        IF(Import.TipoArredondamento&lt;&gt;"TransfereGOV",
              ROUND(OFFSET($P239,0,AK$13),15-13*ORÇAMENTO!$AF$7)/$H239*OFFSET(ORÇAMENTO!$X$15,ROW(AK239)-ROW(AK$15),0),
              ROUND(ROUND(OFFSET($P239,0,AK$13),15-13*ORÇAMENTO!$AF$7)*OFFSET(ORÇAMENTO!$W$15,ROW(AK239)-ROW(AK$15),0),15-13*ORÇAMENTO!$AF$11)),
         0)</f>
        <v>0</v>
      </c>
      <c r="AM239" s="171">
        <f ca="1">IF(OR($D239&lt;&gt;"Serviço",AND(AUTOEVENTO="Manual",$M239=$A$15)),0,
         IF(OFFSET(CRONOPLE!$F$15,$M239-$A$15,AM$13)=0,10^12,OFFSET(CRONOPLE!$F$15,$M239-$A$15,AM$13)))</f>
        <v>1000000000000</v>
      </c>
      <c r="AN239" s="171">
        <f ca="1">IF(OR($D239&lt;&gt;"Serviço",AND(AUTOEVENTO="Manual",$M239=$A$15)),0,
         IF(OFFSET(CRONOPLE!$F$15,$M239-$A$15,AN$13)=0,10^12,OFFSET(CRONOPLE!$F$15,$M239-$A$15,AN$13)))</f>
        <v>1000000000000</v>
      </c>
      <c r="AO239" s="171">
        <f ca="1">IF(OR($D239&lt;&gt;"Serviço",AND(AUTOEVENTO="Manual",$M239=$A$15)),0,
         IF(OFFSET(CRONOPLE!$F$15,$M239-$A$15,AO$13)=0,10^12,OFFSET(CRONOPLE!$F$15,$M239-$A$15,AO$13)))</f>
        <v>1000000000000</v>
      </c>
      <c r="AP239" s="171">
        <f ca="1">IF(OR($D239&lt;&gt;"Serviço",AND(AUTOEVENTO="Manual",$M239=$A$15)),0,
         IF(OFFSET(CRONOPLE!$F$15,$M239-$A$15,AP$13)=0,10^12,OFFSET(CRONOPLE!$F$15,$M239-$A$15,AP$13)))</f>
        <v>1000000000000</v>
      </c>
      <c r="AQ239" s="171">
        <f ca="1">IF(OR($D239&lt;&gt;"Serviço",AND(AUTOEVENTO="Manual",$M239=$A$15)),0,
         IF(OFFSET(CRONOPLE!$F$15,$M239-$A$15,AQ$13)=0,10^12,OFFSET(CRONOPLE!$F$15,$M239-$A$15,AQ$13)))</f>
        <v>1000000000000</v>
      </c>
      <c r="AR239" s="171">
        <f ca="1">IF(OR($D239&lt;&gt;"Serviço",AND(AUTOEVENTO="Manual",$M239=$A$15)),0,
         IF(OFFSET(CRONOPLE!$F$15,$M239-$A$15,AR$13)=0,10^12,OFFSET(CRONOPLE!$F$15,$M239-$A$15,AR$13)))</f>
        <v>1000000000000</v>
      </c>
      <c r="AS239" s="171">
        <f ca="1">IF(OR($D239&lt;&gt;"Serviço",AND(AUTOEVENTO="Manual",$M239=$A$15)),0,
         IF(OFFSET(CRONOPLE!$F$15,$M239-$A$15,AS$13)=0,10^12,OFFSET(CRONOPLE!$F$15,$M239-$A$15,AS$13)))</f>
        <v>1000000000000</v>
      </c>
      <c r="AT239" s="171">
        <f ca="1">IF(OR($D239&lt;&gt;"Serviço",AND(AUTOEVENTO="Manual",$M239=$A$15)),0,
         IF(OFFSET(CRONOPLE!$F$15,$M239-$A$15,AT$13)=0,10^12,OFFSET(CRONOPLE!$F$15,$M239-$A$15,AT$13)))</f>
        <v>1000000000000</v>
      </c>
      <c r="AU239" s="171">
        <f ca="1">IF(OR($D239&lt;&gt;"Serviço",AND(AUTOEVENTO="Manual",$M239=$A$15)),0,
         IF(OFFSET(CRONOPLE!$F$15,$M239-$A$15,AU$13)=0,10^12,OFFSET(CRONOPLE!$F$15,$M239-$A$15,AU$13)))</f>
        <v>1000000000000</v>
      </c>
      <c r="AV239" s="171">
        <f ca="1">IF(OR($D239&lt;&gt;"Serviço",AND(AUTOEVENTO="Manual",$M239=$A$15)),0,
         IF(OFFSET(CRONOPLE!$F$15,$M239-$A$15,AV$13)=0,10^12,OFFSET(CRONOPLE!$F$15,$M239-$A$15,AV$13)))</f>
        <v>1000000000000</v>
      </c>
      <c r="AX239" s="172" cm="1">
        <f t="array" aca="1" ref="AX239" ca="1">IF(OR($D239&lt;&gt;"Serviço",AND(AUTOEVENTO="Manual",$M239=$A$15),$M239&gt;(ROW(PLE.lastrow)-ROW(PLE.firstrow))),0,
           IF(OFFSET(PLE!$G$15,$M239-$A$15,AX$13)="",10^12,OFFSET(PLE!$G$15,$M239-$A$15,AX$13)))</f>
        <v>1000000000000</v>
      </c>
      <c r="AY239" s="172" cm="1">
        <f t="array" aca="1" ref="AY239" ca="1">IF(OR($D239&lt;&gt;"Serviço",AND(AUTOEVENTO="Manual",$M239=$A$15),$M239&gt;(ROW(PLE.lastrow)-ROW(PLE.firstrow))),0,
           IF(OFFSET(PLE!$G$15,$M239-$A$15,AY$13)="",10^12,OFFSET(PLE!$G$15,$M239-$A$15,AY$13)))</f>
        <v>1000000000000</v>
      </c>
      <c r="AZ239" s="172" cm="1">
        <f t="array" aca="1" ref="AZ239" ca="1">IF(OR($D239&lt;&gt;"Serviço",AND(AUTOEVENTO="Manual",$M239=$A$15),$M239&gt;(ROW(PLE.lastrow)-ROW(PLE.firstrow))),0,
           IF(OFFSET(PLE!$G$15,$M239-$A$15,AZ$13)="",10^12,OFFSET(PLE!$G$15,$M239-$A$15,AZ$13)))</f>
        <v>1000000000000</v>
      </c>
      <c r="BA239" s="172" cm="1">
        <f t="array" aca="1" ref="BA239" ca="1">IF(OR($D239&lt;&gt;"Serviço",AND(AUTOEVENTO="Manual",$M239=$A$15),$M239&gt;(ROW(PLE.lastrow)-ROW(PLE.firstrow))),0,
           IF(OFFSET(PLE!$G$15,$M239-$A$15,BA$13)="",10^12,OFFSET(PLE!$G$15,$M239-$A$15,BA$13)))</f>
        <v>1000000000000</v>
      </c>
      <c r="BB239" s="172" cm="1">
        <f t="array" aca="1" ref="BB239" ca="1">IF(OR($D239&lt;&gt;"Serviço",AND(AUTOEVENTO="Manual",$M239=$A$15),$M239&gt;(ROW(PLE.lastrow)-ROW(PLE.firstrow))),0,
           IF(OFFSET(PLE!$G$15,$M239-$A$15,BB$13)="",10^12,OFFSET(PLE!$G$15,$M239-$A$15,BB$13)))</f>
        <v>1000000000000</v>
      </c>
      <c r="BC239" s="172" cm="1">
        <f t="array" aca="1" ref="BC239" ca="1">IF(OR($D239&lt;&gt;"Serviço",AND(AUTOEVENTO="Manual",$M239=$A$15),$M239&gt;(ROW(PLE.lastrow)-ROW(PLE.firstrow))),0,
           IF(OFFSET(PLE!$G$15,$M239-$A$15,BC$13)="",10^12,OFFSET(PLE!$G$15,$M239-$A$15,BC$13)))</f>
        <v>1000000000000</v>
      </c>
      <c r="BD239" s="172" cm="1">
        <f t="array" aca="1" ref="BD239" ca="1">IF(OR($D239&lt;&gt;"Serviço",AND(AUTOEVENTO="Manual",$M239=$A$15),$M239&gt;(ROW(PLE.lastrow)-ROW(PLE.firstrow))),0,
           IF(OFFSET(PLE!$G$15,$M239-$A$15,BD$13)="",10^12,OFFSET(PLE!$G$15,$M239-$A$15,BD$13)))</f>
        <v>1000000000000</v>
      </c>
      <c r="BE239" s="172" cm="1">
        <f t="array" aca="1" ref="BE239" ca="1">IF(OR($D239&lt;&gt;"Serviço",AND(AUTOEVENTO="Manual",$M239=$A$15),$M239&gt;(ROW(PLE.lastrow)-ROW(PLE.firstrow))),0,
           IF(OFFSET(PLE!$G$15,$M239-$A$15,BE$13)="",10^12,OFFSET(PLE!$G$15,$M239-$A$15,BE$13)))</f>
        <v>1000000000000</v>
      </c>
      <c r="BF239" s="172" cm="1">
        <f t="array" aca="1" ref="BF239" ca="1">IF(OR($D239&lt;&gt;"Serviço",AND(AUTOEVENTO="Manual",$M239=$A$15),$M239&gt;(ROW(PLE.lastrow)-ROW(PLE.firstrow))),0,
           IF(OFFSET(PLE!$G$15,$M239-$A$15,BF$13)="",10^12,OFFSET(PLE!$G$15,$M239-$A$15,BF$13)))</f>
        <v>1000000000000</v>
      </c>
      <c r="BG239" s="172" cm="1">
        <f t="array" aca="1" ref="BG239" ca="1">IF(OR($D239&lt;&gt;"Serviço",AND(AUTOEVENTO="Manual",$M239=$A$15),$M239&gt;(ROW(PLE.lastrow)-ROW(PLE.firstrow))),0,
           IF(OFFSET(PLE!$G$15,$M239-$A$15,BG$13)="",10^12,OFFSET(PLE!$G$15,$M239-$A$15,BG$13)))</f>
        <v>1000000000000</v>
      </c>
    </row>
    <row r="240" spans="1:59" ht="5.0999999999999996" customHeight="1" x14ac:dyDescent="0.2">
      <c r="B240" s="7">
        <f ca="1">OFFSET(ORÇAMENTO!C$15,ROW(B240)-ROW(B$15),0)</f>
        <v>-1</v>
      </c>
      <c r="C240" s="7" t="str">
        <f ca="1">OFFSET(ORÇAMENTO!L$15,ROW(C240)-ROW(C$15),0)</f>
        <v>F</v>
      </c>
      <c r="D240" s="634" t="s">
        <v>700</v>
      </c>
      <c r="E240" s="618"/>
      <c r="F240" s="619"/>
      <c r="G240" s="619"/>
      <c r="H240" s="619"/>
      <c r="I240" s="419"/>
      <c r="K240" s="569"/>
      <c r="L240" s="165">
        <f t="shared" ref="L240" ca="1" si="10">OFFSET(L240,-1,0)+1</f>
        <v>225</v>
      </c>
      <c r="M240" s="421"/>
      <c r="N240" s="420"/>
      <c r="O240" s="635"/>
      <c r="Q240" s="618"/>
      <c r="R240" s="619"/>
      <c r="S240" s="619"/>
      <c r="T240" s="619"/>
      <c r="U240" s="619"/>
      <c r="V240" s="619"/>
      <c r="W240" s="619"/>
      <c r="X240" s="619"/>
      <c r="Y240" s="619"/>
      <c r="Z240" s="419"/>
      <c r="AB240" s="636"/>
      <c r="AC240" s="637"/>
      <c r="AD240" s="637"/>
      <c r="AE240" s="637"/>
      <c r="AF240" s="637"/>
      <c r="AG240" s="637"/>
      <c r="AH240" s="637"/>
      <c r="AI240" s="637"/>
      <c r="AJ240" s="637"/>
      <c r="AK240" s="133"/>
      <c r="AM240" s="636"/>
      <c r="AN240" s="637"/>
      <c r="AO240" s="637"/>
      <c r="AP240" s="637"/>
      <c r="AQ240" s="637"/>
      <c r="AR240" s="637"/>
      <c r="AS240" s="637"/>
      <c r="AT240" s="637"/>
      <c r="AU240" s="637"/>
      <c r="AV240" s="133"/>
      <c r="AX240" s="636"/>
      <c r="AY240" s="637"/>
      <c r="AZ240" s="637"/>
      <c r="BA240" s="637"/>
      <c r="BB240" s="637"/>
      <c r="BC240" s="637"/>
      <c r="BD240" s="637"/>
      <c r="BE240" s="637"/>
      <c r="BF240" s="637"/>
      <c r="BG240" s="133"/>
    </row>
    <row r="241" spans="3:25" ht="12.75" customHeight="1" x14ac:dyDescent="0.2"/>
    <row r="242" spans="3:25" ht="12.75" customHeight="1" x14ac:dyDescent="0.2"/>
    <row r="243" spans="3:25" ht="12.75" customHeight="1" x14ac:dyDescent="0.2"/>
    <row r="244" spans="3:25" ht="15" customHeight="1" x14ac:dyDescent="0.2">
      <c r="F244" s="179" t="str">
        <f>Import.Município</f>
        <v>SARANDI/RS</v>
      </c>
      <c r="I244" s="460"/>
      <c r="J244" s="460"/>
      <c r="K244" s="460"/>
      <c r="L244" s="460"/>
      <c r="M244" s="461"/>
      <c r="N244" s="417"/>
      <c r="T244" s="139"/>
      <c r="U244" s="139"/>
      <c r="V244" s="180"/>
      <c r="W244" s="180"/>
      <c r="X244" s="180"/>
      <c r="Y244" s="180"/>
    </row>
    <row r="245" spans="3:25" ht="12.75" customHeight="1" x14ac:dyDescent="0.2">
      <c r="F245" s="9" t="s">
        <v>693</v>
      </c>
      <c r="I245" s="181" t="s">
        <v>696</v>
      </c>
      <c r="J245" s="181"/>
      <c r="K245" s="181"/>
      <c r="L245" s="181"/>
      <c r="T245" s="181" t="s">
        <v>696</v>
      </c>
      <c r="U245" s="181"/>
    </row>
    <row r="246" spans="3:25" ht="12.75" customHeight="1" x14ac:dyDescent="0.2">
      <c r="I246" s="398" t="str">
        <f t="array" aca="1" ref="I246:I248" ca="1">OFFSET(Import.RespOrçamento,0,-1) &amp; " " &amp; Import.RespOrçamento</f>
        <v>Nome: RENATA CENCI SIGNOR</v>
      </c>
      <c r="K246" s="79"/>
      <c r="L246" s="79"/>
      <c r="T246" s="398" t="str">
        <f t="array" aca="1" ref="T246:T248" ca="1">OFFSET(Import.RespOrçamento,0,-1) &amp; " " &amp; Import.RespOrçamento</f>
        <v>Nome: RENATA CENCI SIGNOR</v>
      </c>
      <c r="U246" s="78"/>
    </row>
    <row r="247" spans="3:25" ht="12.75" customHeight="1" x14ac:dyDescent="0.2">
      <c r="F247" s="459">
        <f ca="1">DADOS!$C$25</f>
        <v>46190</v>
      </c>
      <c r="I247" s="398" t="str">
        <f ca="1"/>
        <v>CREA/CAU: 093177</v>
      </c>
      <c r="K247" s="79"/>
      <c r="L247" s="79"/>
      <c r="T247" s="398" t="str">
        <f ca="1"/>
        <v>CREA/CAU: 093177</v>
      </c>
      <c r="U247" s="78"/>
    </row>
    <row r="248" spans="3:25" ht="12.75" customHeight="1" x14ac:dyDescent="0.2">
      <c r="F248" s="140" t="s">
        <v>694</v>
      </c>
      <c r="I248" s="398" t="str">
        <f ca="1"/>
        <v>ART/RRT: 14426537</v>
      </c>
      <c r="K248" s="79"/>
      <c r="L248" s="79"/>
      <c r="T248" s="398" t="str">
        <f ca="1"/>
        <v>ART/RRT: 14426537</v>
      </c>
      <c r="U248" s="78"/>
    </row>
    <row r="249" spans="3:25" ht="12.75" customHeight="1" x14ac:dyDescent="0.2">
      <c r="C249"/>
      <c r="M249"/>
    </row>
    <row r="250" spans="3:25" ht="12.75" customHeight="1" x14ac:dyDescent="0.2">
      <c r="C250"/>
      <c r="M250"/>
    </row>
    <row r="251" spans="3:25" ht="12.75" customHeight="1" x14ac:dyDescent="0.2">
      <c r="C251"/>
      <c r="M251"/>
    </row>
    <row r="252" spans="3:25" ht="12.75" customHeight="1" x14ac:dyDescent="0.2">
      <c r="C252"/>
      <c r="M252"/>
    </row>
    <row r="253" spans="3:25" ht="12.75" customHeight="1" x14ac:dyDescent="0.2">
      <c r="C253"/>
      <c r="M253"/>
    </row>
    <row r="254" spans="3:25" ht="12.75" customHeight="1" x14ac:dyDescent="0.2">
      <c r="C254"/>
      <c r="M254"/>
    </row>
    <row r="255" spans="3:25" ht="12.75" customHeight="1" x14ac:dyDescent="0.2">
      <c r="C255"/>
      <c r="M255"/>
    </row>
    <row r="256" spans="3:25"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4479" spans="3:13" ht="12.75" customHeight="1" x14ac:dyDescent="0.2">
      <c r="C4479"/>
      <c r="M4479"/>
    </row>
    <row r="4480" spans="3:13" ht="12.75" customHeight="1" x14ac:dyDescent="0.2">
      <c r="C4480"/>
      <c r="M4480"/>
    </row>
    <row r="4481" spans="3:13" ht="12.75" customHeight="1" x14ac:dyDescent="0.2">
      <c r="C4481"/>
      <c r="M4481"/>
    </row>
    <row r="4491" spans="3:13" ht="12.75" customHeight="1" x14ac:dyDescent="0.2">
      <c r="C4491"/>
      <c r="M4491"/>
    </row>
    <row r="4492" spans="3:13" ht="12.75" customHeight="1" x14ac:dyDescent="0.2">
      <c r="C4492"/>
      <c r="M4492"/>
    </row>
    <row r="4493" spans="3:13" ht="12.75" customHeight="1" x14ac:dyDescent="0.2">
      <c r="C4493"/>
      <c r="M4493"/>
    </row>
    <row r="4494" spans="3:13" ht="12.75" customHeight="1" x14ac:dyDescent="0.2">
      <c r="C4494"/>
      <c r="M4494"/>
    </row>
    <row r="61152" spans="3:13" ht="12.75" customHeight="1" x14ac:dyDescent="0.2">
      <c r="C61152"/>
      <c r="M61152"/>
    </row>
    <row r="61168" spans="3:13" ht="12.75" customHeight="1" x14ac:dyDescent="0.2">
      <c r="C61168"/>
      <c r="M61168"/>
    </row>
    <row r="61184" spans="3:13" ht="12.75" customHeight="1" x14ac:dyDescent="0.2">
      <c r="C61184"/>
      <c r="M61184"/>
    </row>
    <row r="61200" spans="3:13" ht="12.75" customHeight="1" x14ac:dyDescent="0.2">
      <c r="C61200"/>
      <c r="M61200"/>
    </row>
    <row r="61213" spans="3:13" ht="12.75" customHeight="1" x14ac:dyDescent="0.2">
      <c r="C61213"/>
      <c r="M61213"/>
    </row>
    <row r="61214" spans="3:13" ht="12.75" customHeight="1" x14ac:dyDescent="0.2">
      <c r="C61214"/>
      <c r="M61214"/>
    </row>
    <row r="61216" spans="3:13" ht="12.75" customHeight="1" x14ac:dyDescent="0.2">
      <c r="C61216"/>
      <c r="M6121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2" spans="3:13" ht="12.75" customHeight="1" x14ac:dyDescent="0.2">
      <c r="C61232"/>
      <c r="M6123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8" spans="3:13" ht="12.75" customHeight="1" x14ac:dyDescent="0.2">
      <c r="C61248"/>
      <c r="M6124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4" spans="3:13" ht="12.75" customHeight="1" x14ac:dyDescent="0.2">
      <c r="C61264"/>
      <c r="M6126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80" spans="3:13" ht="12.75" customHeight="1" x14ac:dyDescent="0.2">
      <c r="C61280"/>
      <c r="M6128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6" spans="3:13" ht="12.75" customHeight="1" x14ac:dyDescent="0.2">
      <c r="C61296"/>
      <c r="M6129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2" spans="3:13" ht="12.75" customHeight="1" x14ac:dyDescent="0.2">
      <c r="C61312"/>
      <c r="M6131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8" spans="3:13" ht="12.75" customHeight="1" x14ac:dyDescent="0.2">
      <c r="C61328"/>
      <c r="M6132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4" spans="3:13" ht="12.75" customHeight="1" x14ac:dyDescent="0.2">
      <c r="C61344"/>
      <c r="M61344"/>
    </row>
    <row r="61352" spans="3:13" ht="12.75" customHeight="1" x14ac:dyDescent="0.2">
      <c r="C61352"/>
      <c r="M61352"/>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60" spans="3:13" ht="12.75" customHeight="1" x14ac:dyDescent="0.2">
      <c r="C61360"/>
      <c r="M61360"/>
    </row>
    <row r="61368" spans="3:13" ht="12.75" customHeight="1" x14ac:dyDescent="0.2">
      <c r="C61368"/>
      <c r="M61368"/>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6" spans="3:13" ht="12.75" customHeight="1" x14ac:dyDescent="0.2">
      <c r="C61376"/>
      <c r="M61376"/>
    </row>
    <row r="61384" spans="3:13" ht="12.75" customHeight="1" x14ac:dyDescent="0.2">
      <c r="C61384"/>
      <c r="M61384"/>
    </row>
    <row r="61385" spans="3:13" ht="12.75" customHeight="1" x14ac:dyDescent="0.2">
      <c r="C61385"/>
      <c r="M61385"/>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2" spans="3:13" ht="12.75" customHeight="1" x14ac:dyDescent="0.2">
      <c r="C61392"/>
      <c r="M61392"/>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8" spans="3:13" ht="12.75" customHeight="1" x14ac:dyDescent="0.2">
      <c r="C61408"/>
      <c r="M61408"/>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4" spans="3:13" ht="12.75" customHeight="1" x14ac:dyDescent="0.2">
      <c r="C61424"/>
      <c r="M61424"/>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row r="65505" spans="3:13" ht="12.75" customHeight="1" x14ac:dyDescent="0.2">
      <c r="C65505"/>
      <c r="M65505"/>
    </row>
    <row r="65506" spans="3:13" ht="12.75" customHeight="1" x14ac:dyDescent="0.2">
      <c r="C65506"/>
      <c r="M65506"/>
    </row>
    <row r="65507" spans="3:13" ht="12.75" customHeight="1" x14ac:dyDescent="0.2">
      <c r="C65507"/>
      <c r="M65507"/>
    </row>
    <row r="65508" spans="3:13" ht="12.75" customHeight="1" x14ac:dyDescent="0.2">
      <c r="C65508"/>
      <c r="M65508"/>
    </row>
  </sheetData>
  <sheetProtection algorithmName="SHA-512" hashValue="hs0sA+VdI3fHRgL0DVQ1h6Nk0UnkB7z3LW4/4ybj2jlO6gjk6ov4reVS8xdgjJJm/dBGxDWLK/HdTY5GtIG0fg==" saltValue="H5uzj8o2g3UTYlmKkgRrrw==" spinCount="100000" sheet="1" objects="1" scenarios="1" autoFilter="0"/>
  <autoFilter ref="C15:C240"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13:I113 D200:I202 D178:I179 D214:I218 D187:I192 D182:I184 D155:I155 D164:I165 D158:I159 D156:G157 I156:I157 D171:I174 D116:I119 D114:G115 I114:I115 D121:I122 D107:I110 D91:I95 D73:I76 D102:I102 D224:I239 D27:I30 D38:I39 D47:I49 D58:I59 D96:G101 I96:I101 H96:H99 D16:I24">
    <cfRule type="expression" dxfId="651" priority="15118" stopIfTrue="1">
      <formula>$B14=1</formula>
    </cfRule>
    <cfRule type="expression" dxfId="650" priority="15119" stopIfTrue="1">
      <formula>OR($B14=0,$B14=2,$B14=3,$B14=4)</formula>
    </cfRule>
  </conditionalFormatting>
  <conditionalFormatting sqref="M69:N240 M12:N67">
    <cfRule type="expression" dxfId="649" priority="15120" stopIfTrue="1">
      <formula>ACOMPANHAMENTO="BM"</formula>
    </cfRule>
    <cfRule type="expression" dxfId="648" priority="15121" stopIfTrue="1">
      <formula>OR($B12=0,$B12=2,$B12=3,$B12=4)</formula>
    </cfRule>
    <cfRule type="expression" dxfId="647" priority="15122" stopIfTrue="1">
      <formula>$B12=1</formula>
    </cfRule>
  </conditionalFormatting>
  <conditionalFormatting sqref="K12:K240">
    <cfRule type="expression" dxfId="646" priority="15123" stopIfTrue="1">
      <formula>OR(ACOMPANHAMENTO="BM",$A$12&lt;&gt;"Manual")</formula>
    </cfRule>
    <cfRule type="expression" dxfId="645" priority="15124" stopIfTrue="1">
      <formula>$B12=1</formula>
    </cfRule>
    <cfRule type="expression" dxfId="644" priority="15125" stopIfTrue="1">
      <formula>OR($B12=2,$B12=3,$B12=4,$B12=0)</formula>
    </cfRule>
  </conditionalFormatting>
  <conditionalFormatting sqref="O12:AA240">
    <cfRule type="expression" dxfId="643" priority="8709" stopIfTrue="1">
      <formula>ACOMPANHAMENTO="BM"</formula>
    </cfRule>
    <cfRule type="expression" dxfId="642" priority="15127" stopIfTrue="1">
      <formula>AND(O$12&lt;&gt;".",OR($B12=0,$B12=2,$B12=3,$B12=4,AND(O$12="",$B12&lt;&gt;"Empty"),OFFSET(O$1,0,-1)=0))</formula>
    </cfRule>
    <cfRule type="expression" dxfId="641" priority="15128" stopIfTrue="1">
      <formula>AND($B12=1,O$1=1)</formula>
    </cfRule>
  </conditionalFormatting>
  <conditionalFormatting sqref="Q15:Z15">
    <cfRule type="expression" dxfId="640" priority="15126">
      <formula>Q$11="▼"</formula>
    </cfRule>
  </conditionalFormatting>
  <conditionalFormatting sqref="O15">
    <cfRule type="expression" dxfId="639" priority="8708">
      <formula>O$11="▼"</formula>
    </cfRule>
  </conditionalFormatting>
  <conditionalFormatting sqref="N14 N200:N202 N178:N179 N214:N218 N187:N192 N182:N184 N164:N165 N155:N159 N171:N174 N113:N119 N121:N122 N107:N110 N73:N76 N224:N239 N27:N30 N38:N39 N47:N49 N58:N59 N91:N102 N16:N24">
    <cfRule type="expression" dxfId="638" priority="5743">
      <formula>$J14="►"</formula>
    </cfRule>
  </conditionalFormatting>
  <conditionalFormatting sqref="N12">
    <cfRule type="cellIs" dxfId="637" priority="5741" operator="notEqual">
      <formula>"FRENTES DE OBRA:"</formula>
    </cfRule>
  </conditionalFormatting>
  <conditionalFormatting sqref="Q14:AA14 Q224:AA227 Q234:AA239 Q113:AA119 Q121:AA122 Q73:AA76 Q102:AA102 Q27:AA30 Q38:AA39 Q47:AA49 Q96:AA99 Q16:AA24">
    <cfRule type="expression" dxfId="636" priority="3526">
      <formula>Q14&lt;&gt;ROUND(Q14,2)</formula>
    </cfRule>
  </conditionalFormatting>
  <conditionalFormatting sqref="H14">
    <cfRule type="expression" dxfId="635" priority="3086" stopIfTrue="1">
      <formula>$B14=1</formula>
    </cfRule>
    <cfRule type="expression" dxfId="634" priority="3087" stopIfTrue="1">
      <formula>OR($B14=0,$B14=2,$B14=3,$B14=4)</formula>
    </cfRule>
  </conditionalFormatting>
  <conditionalFormatting sqref="H14 H200:H202 H178:H179 H214:H218 H187:H192 H182:H184 H164:H165 H155:H159 H171:H174 H113:H119 H121:H122 H107:H110 H73:H76 H224:H239 H27:H30 H38:H39 H47:H49 H58:H59 H91:H102 H16:H24">
    <cfRule type="expression" dxfId="633" priority="3085">
      <formula>$J14="►S"</formula>
    </cfRule>
  </conditionalFormatting>
  <conditionalFormatting sqref="D25:G25 I25 I103 D103:G103 D111:G112 I111:I112 D106:G106 I106">
    <cfRule type="expression" dxfId="632" priority="675" stopIfTrue="1">
      <formula>$B25=1</formula>
    </cfRule>
    <cfRule type="expression" dxfId="631" priority="676" stopIfTrue="1">
      <formula>OR($B25=0,$B25=2,$B25=3,$B25=4)</formula>
    </cfRule>
  </conditionalFormatting>
  <conditionalFormatting sqref="N25 N103 N111:N112 N106">
    <cfRule type="expression" dxfId="630" priority="674">
      <formula>$J25="►"</formula>
    </cfRule>
  </conditionalFormatting>
  <conditionalFormatting sqref="Q25:AA25 Q103:AA103 Q111:AA112 Q106:AA106">
    <cfRule type="expression" dxfId="629" priority="673">
      <formula>Q25&lt;&gt;ROUND(Q25,2)</formula>
    </cfRule>
  </conditionalFormatting>
  <conditionalFormatting sqref="H25 H103 H111:H112 H106">
    <cfRule type="expression" dxfId="628" priority="671" stopIfTrue="1">
      <formula>$B25=1</formula>
    </cfRule>
    <cfRule type="expression" dxfId="627" priority="672" stopIfTrue="1">
      <formula>OR($B25=0,$B25=2,$B25=3,$B25=4)</formula>
    </cfRule>
  </conditionalFormatting>
  <conditionalFormatting sqref="H25 H103 H111:H112 H106">
    <cfRule type="expression" dxfId="626" priority="670">
      <formula>$J25="►S"</formula>
    </cfRule>
  </conditionalFormatting>
  <conditionalFormatting sqref="D132:G133 I132:I133 I219:I220 D219:G220 I175:I176 D175:G176 D193:G194 I193:I194 D222:G222 I222">
    <cfRule type="expression" dxfId="625" priority="668" stopIfTrue="1">
      <formula>$B132=1</formula>
    </cfRule>
    <cfRule type="expression" dxfId="624" priority="669" stopIfTrue="1">
      <formula>OR($B132=0,$B132=2,$B132=3,$B132=4)</formula>
    </cfRule>
  </conditionalFormatting>
  <conditionalFormatting sqref="N132:N133 N219:N220 N175:N176 N193:N194 N222">
    <cfRule type="expression" dxfId="623" priority="667">
      <formula>$J132="►"</formula>
    </cfRule>
  </conditionalFormatting>
  <conditionalFormatting sqref="Q132:AA133 Q219:AA220 Q175:AA176 Q193:AA194 Q222:AA222">
    <cfRule type="expression" dxfId="622" priority="666">
      <formula>Q132&lt;&gt;ROUND(Q132,2)</formula>
    </cfRule>
  </conditionalFormatting>
  <conditionalFormatting sqref="H132:H133 H219:H220 H175:H176 H193:H194 H222">
    <cfRule type="expression" dxfId="621" priority="664" stopIfTrue="1">
      <formula>$B132=1</formula>
    </cfRule>
    <cfRule type="expression" dxfId="620" priority="665" stopIfTrue="1">
      <formula>OR($B132=0,$B132=2,$B132=3,$B132=4)</formula>
    </cfRule>
  </conditionalFormatting>
  <conditionalFormatting sqref="H132:H133 H219:H220 H175:H176 H193:H194 H222">
    <cfRule type="expression" dxfId="619" priority="663">
      <formula>$J132="►S"</formula>
    </cfRule>
  </conditionalFormatting>
  <conditionalFormatting sqref="D223:G223 I223">
    <cfRule type="expression" dxfId="618" priority="661" stopIfTrue="1">
      <formula>$B223=1</formula>
    </cfRule>
    <cfRule type="expression" dxfId="617" priority="662" stopIfTrue="1">
      <formula>OR($B223=0,$B223=2,$B223=3,$B223=4)</formula>
    </cfRule>
  </conditionalFormatting>
  <conditionalFormatting sqref="N223">
    <cfRule type="expression" dxfId="616" priority="660">
      <formula>$J223="►"</formula>
    </cfRule>
  </conditionalFormatting>
  <conditionalFormatting sqref="Q223:AA223">
    <cfRule type="expression" dxfId="615" priority="659">
      <formula>Q223&lt;&gt;ROUND(Q223,2)</formula>
    </cfRule>
  </conditionalFormatting>
  <conditionalFormatting sqref="H223">
    <cfRule type="expression" dxfId="614" priority="657" stopIfTrue="1">
      <formula>$B223=1</formula>
    </cfRule>
    <cfRule type="expression" dxfId="613" priority="658" stopIfTrue="1">
      <formula>OR($B223=0,$B223=2,$B223=3,$B223=4)</formula>
    </cfRule>
  </conditionalFormatting>
  <conditionalFormatting sqref="H223">
    <cfRule type="expression" dxfId="612" priority="656">
      <formula>$J223="►S"</formula>
    </cfRule>
  </conditionalFormatting>
  <conditionalFormatting sqref="D26:G26 I26 I45:I46 D45:G46 D55:G56 I55:I56 I62:I63 D62:G63 I31:I32 D31:G32">
    <cfRule type="expression" dxfId="611" priority="486" stopIfTrue="1">
      <formula>$B26=1</formula>
    </cfRule>
    <cfRule type="expression" dxfId="610" priority="487" stopIfTrue="1">
      <formula>OR($B26=0,$B26=2,$B26=3,$B26=4)</formula>
    </cfRule>
  </conditionalFormatting>
  <conditionalFormatting sqref="N26 N45:N46 N55:N56 N62:N63 N31:N32">
    <cfRule type="expression" dxfId="609" priority="485">
      <formula>$J26="►"</formula>
    </cfRule>
  </conditionalFormatting>
  <conditionalFormatting sqref="Q26:AA26 Q45:AA46 Q55:AA56 Q62:AA63 Q31:AA32">
    <cfRule type="expression" dxfId="608" priority="484">
      <formula>Q26&lt;&gt;ROUND(Q26,2)</formula>
    </cfRule>
  </conditionalFormatting>
  <conditionalFormatting sqref="H26 H45:H46 H55:H56 H62:H63 H31:H32">
    <cfRule type="expression" dxfId="607" priority="482" stopIfTrue="1">
      <formula>$B26=1</formula>
    </cfRule>
    <cfRule type="expression" dxfId="606" priority="483" stopIfTrue="1">
      <formula>OR($B26=0,$B26=2,$B26=3,$B26=4)</formula>
    </cfRule>
  </conditionalFormatting>
  <conditionalFormatting sqref="H26 H45:H46 H55:H56 H62:H63 H31:H32">
    <cfRule type="expression" dxfId="605" priority="481">
      <formula>$J26="►S"</formula>
    </cfRule>
  </conditionalFormatting>
  <conditionalFormatting sqref="D82:G83 I82:I83">
    <cfRule type="expression" dxfId="604" priority="472" stopIfTrue="1">
      <formula>$B82=1</formula>
    </cfRule>
    <cfRule type="expression" dxfId="603" priority="473" stopIfTrue="1">
      <formula>OR($B82=0,$B82=2,$B82=3,$B82=4)</formula>
    </cfRule>
  </conditionalFormatting>
  <conditionalFormatting sqref="N82:N83">
    <cfRule type="expression" dxfId="602" priority="471">
      <formula>$J82="►"</formula>
    </cfRule>
  </conditionalFormatting>
  <conditionalFormatting sqref="Q82:AA83 Q94:AA95">
    <cfRule type="expression" dxfId="601" priority="470">
      <formula>Q82&lt;&gt;ROUND(Q82,2)</formula>
    </cfRule>
  </conditionalFormatting>
  <conditionalFormatting sqref="H82:H83">
    <cfRule type="expression" dxfId="600" priority="468" stopIfTrue="1">
      <formula>$B82=1</formula>
    </cfRule>
    <cfRule type="expression" dxfId="599" priority="469" stopIfTrue="1">
      <formula>OR($B82=0,$B82=2,$B82=3,$B82=4)</formula>
    </cfRule>
  </conditionalFormatting>
  <conditionalFormatting sqref="H82:H83">
    <cfRule type="expression" dxfId="598" priority="467">
      <formula>$J82="►S"</formula>
    </cfRule>
  </conditionalFormatting>
  <conditionalFormatting sqref="D77:G78 I77:I78">
    <cfRule type="expression" dxfId="597" priority="458" stopIfTrue="1">
      <formula>$B77=1</formula>
    </cfRule>
    <cfRule type="expression" dxfId="596" priority="459" stopIfTrue="1">
      <formula>OR($B77=0,$B77=2,$B77=3,$B77=4)</formula>
    </cfRule>
  </conditionalFormatting>
  <conditionalFormatting sqref="N77:N78">
    <cfRule type="expression" dxfId="595" priority="457">
      <formula>$J77="►"</formula>
    </cfRule>
  </conditionalFormatting>
  <conditionalFormatting sqref="Q77:AA78">
    <cfRule type="expression" dxfId="594" priority="456">
      <formula>Q77&lt;&gt;ROUND(Q77,2)</formula>
    </cfRule>
  </conditionalFormatting>
  <conditionalFormatting sqref="H77:H78">
    <cfRule type="expression" dxfId="593" priority="454" stopIfTrue="1">
      <formula>$B77=1</formula>
    </cfRule>
    <cfRule type="expression" dxfId="592" priority="455" stopIfTrue="1">
      <formula>OR($B77=0,$B77=2,$B77=3,$B77=4)</formula>
    </cfRule>
  </conditionalFormatting>
  <conditionalFormatting sqref="H77:H78">
    <cfRule type="expression" dxfId="591" priority="453">
      <formula>$J77="►S"</formula>
    </cfRule>
  </conditionalFormatting>
  <conditionalFormatting sqref="D40:G41 I40:I41">
    <cfRule type="expression" dxfId="590" priority="451" stopIfTrue="1">
      <formula>$B40=1</formula>
    </cfRule>
    <cfRule type="expression" dxfId="589" priority="452" stopIfTrue="1">
      <formula>OR($B40=0,$B40=2,$B40=3,$B40=4)</formula>
    </cfRule>
  </conditionalFormatting>
  <conditionalFormatting sqref="N40:N41">
    <cfRule type="expression" dxfId="588" priority="450">
      <formula>$J40="►"</formula>
    </cfRule>
  </conditionalFormatting>
  <conditionalFormatting sqref="Q40:AA41">
    <cfRule type="expression" dxfId="587" priority="449">
      <formula>Q40&lt;&gt;ROUND(Q40,2)</formula>
    </cfRule>
  </conditionalFormatting>
  <conditionalFormatting sqref="H40:H41">
    <cfRule type="expression" dxfId="586" priority="447" stopIfTrue="1">
      <formula>$B40=1</formula>
    </cfRule>
    <cfRule type="expression" dxfId="585" priority="448" stopIfTrue="1">
      <formula>OR($B40=0,$B40=2,$B40=3,$B40=4)</formula>
    </cfRule>
  </conditionalFormatting>
  <conditionalFormatting sqref="H40:H41">
    <cfRule type="expression" dxfId="584" priority="446">
      <formula>$J40="►S"</formula>
    </cfRule>
  </conditionalFormatting>
  <conditionalFormatting sqref="D50:G51 I50:I51">
    <cfRule type="expression" dxfId="583" priority="444" stopIfTrue="1">
      <formula>$B50=1</formula>
    </cfRule>
    <cfRule type="expression" dxfId="582" priority="445" stopIfTrue="1">
      <formula>OR($B50=0,$B50=2,$B50=3,$B50=4)</formula>
    </cfRule>
  </conditionalFormatting>
  <conditionalFormatting sqref="N50:N51">
    <cfRule type="expression" dxfId="581" priority="443">
      <formula>$J50="►"</formula>
    </cfRule>
  </conditionalFormatting>
  <conditionalFormatting sqref="Q50:AA51">
    <cfRule type="expression" dxfId="580" priority="442">
      <formula>Q50&lt;&gt;ROUND(Q50,2)</formula>
    </cfRule>
  </conditionalFormatting>
  <conditionalFormatting sqref="H50:H51">
    <cfRule type="expression" dxfId="579" priority="440" stopIfTrue="1">
      <formula>$B50=1</formula>
    </cfRule>
    <cfRule type="expression" dxfId="578" priority="441" stopIfTrue="1">
      <formula>OR($B50=0,$B50=2,$B50=3,$B50=4)</formula>
    </cfRule>
  </conditionalFormatting>
  <conditionalFormatting sqref="H50:H51">
    <cfRule type="expression" dxfId="577" priority="439">
      <formula>$J50="►S"</formula>
    </cfRule>
  </conditionalFormatting>
  <conditionalFormatting sqref="D89:G90 I89:I90">
    <cfRule type="expression" dxfId="576" priority="437" stopIfTrue="1">
      <formula>$B89=1</formula>
    </cfRule>
    <cfRule type="expression" dxfId="575" priority="438" stopIfTrue="1">
      <formula>OR($B89=0,$B89=2,$B89=3,$B89=4)</formula>
    </cfRule>
  </conditionalFormatting>
  <conditionalFormatting sqref="N89:N90">
    <cfRule type="expression" dxfId="574" priority="436">
      <formula>$J89="►"</formula>
    </cfRule>
  </conditionalFormatting>
  <conditionalFormatting sqref="Q89:AA90">
    <cfRule type="expression" dxfId="573" priority="435">
      <formula>Q89&lt;&gt;ROUND(Q89,2)</formula>
    </cfRule>
  </conditionalFormatting>
  <conditionalFormatting sqref="H89:H90">
    <cfRule type="expression" dxfId="572" priority="433" stopIfTrue="1">
      <formula>$B89=1</formula>
    </cfRule>
    <cfRule type="expression" dxfId="571" priority="434" stopIfTrue="1">
      <formula>OR($B89=0,$B89=2,$B89=3,$B89=4)</formula>
    </cfRule>
  </conditionalFormatting>
  <conditionalFormatting sqref="H89:H90">
    <cfRule type="expression" dxfId="570" priority="432">
      <formula>$J89="►S"</formula>
    </cfRule>
  </conditionalFormatting>
  <conditionalFormatting sqref="Q107:AA110">
    <cfRule type="expression" dxfId="569" priority="428">
      <formula>Q107&lt;&gt;ROUND(Q107,2)</formula>
    </cfRule>
  </conditionalFormatting>
  <conditionalFormatting sqref="D195:G197 I195:I197 I203:I204 D203:G204">
    <cfRule type="expression" dxfId="568" priority="423" stopIfTrue="1">
      <formula>$B195=1</formula>
    </cfRule>
    <cfRule type="expression" dxfId="567" priority="424" stopIfTrue="1">
      <formula>OR($B195=0,$B195=2,$B195=3,$B195=4)</formula>
    </cfRule>
  </conditionalFormatting>
  <conditionalFormatting sqref="N195:N197 N203:N204">
    <cfRule type="expression" dxfId="566" priority="422">
      <formula>$J195="►"</formula>
    </cfRule>
  </conditionalFormatting>
  <conditionalFormatting sqref="Q195:AA197 Q203:AA204">
    <cfRule type="expression" dxfId="565" priority="421">
      <formula>Q195&lt;&gt;ROUND(Q195,2)</formula>
    </cfRule>
  </conditionalFormatting>
  <conditionalFormatting sqref="H195:H197 H203:H204">
    <cfRule type="expression" dxfId="564" priority="419" stopIfTrue="1">
      <formula>$B195=1</formula>
    </cfRule>
    <cfRule type="expression" dxfId="563" priority="420" stopIfTrue="1">
      <formula>OR($B195=0,$B195=2,$B195=3,$B195=4)</formula>
    </cfRule>
  </conditionalFormatting>
  <conditionalFormatting sqref="H195:H197 H203:H204">
    <cfRule type="expression" dxfId="562" priority="418">
      <formula>$J195="►S"</formula>
    </cfRule>
  </conditionalFormatting>
  <conditionalFormatting sqref="D71:G72 I71:I72">
    <cfRule type="expression" dxfId="561" priority="416" stopIfTrue="1">
      <formula>$B71=1</formula>
    </cfRule>
    <cfRule type="expression" dxfId="560" priority="417" stopIfTrue="1">
      <formula>OR($B71=0,$B71=2,$B71=3,$B71=4)</formula>
    </cfRule>
  </conditionalFormatting>
  <conditionalFormatting sqref="N71:N72">
    <cfRule type="expression" dxfId="559" priority="415">
      <formula>$J71="►"</formula>
    </cfRule>
  </conditionalFormatting>
  <conditionalFormatting sqref="Q71:AA72">
    <cfRule type="expression" dxfId="558" priority="414">
      <formula>Q71&lt;&gt;ROUND(Q71,2)</formula>
    </cfRule>
  </conditionalFormatting>
  <conditionalFormatting sqref="H71:H72">
    <cfRule type="expression" dxfId="557" priority="412" stopIfTrue="1">
      <formula>$B71=1</formula>
    </cfRule>
    <cfRule type="expression" dxfId="556" priority="413" stopIfTrue="1">
      <formula>OR($B71=0,$B71=2,$B71=3,$B71=4)</formula>
    </cfRule>
  </conditionalFormatting>
  <conditionalFormatting sqref="H71:H72">
    <cfRule type="expression" dxfId="555" priority="411">
      <formula>$J71="►S"</formula>
    </cfRule>
  </conditionalFormatting>
  <conditionalFormatting sqref="Q100:AA101">
    <cfRule type="expression" dxfId="554" priority="410">
      <formula>Q100&lt;&gt;ROUND(Q100,2)</formula>
    </cfRule>
  </conditionalFormatting>
  <conditionalFormatting sqref="H100:H101">
    <cfRule type="expression" dxfId="553" priority="408" stopIfTrue="1">
      <formula>$B100=1</formula>
    </cfRule>
    <cfRule type="expression" dxfId="552" priority="409" stopIfTrue="1">
      <formula>OR($B100=0,$B100=2,$B100=3,$B100=4)</formula>
    </cfRule>
  </conditionalFormatting>
  <conditionalFormatting sqref="D120:G120 I120">
    <cfRule type="expression" dxfId="551" priority="399" stopIfTrue="1">
      <formula>$B120=1</formula>
    </cfRule>
    <cfRule type="expression" dxfId="550" priority="400" stopIfTrue="1">
      <formula>OR($B120=0,$B120=2,$B120=3,$B120=4)</formula>
    </cfRule>
  </conditionalFormatting>
  <conditionalFormatting sqref="N120">
    <cfRule type="expression" dxfId="549" priority="398">
      <formula>$J120="►"</formula>
    </cfRule>
  </conditionalFormatting>
  <conditionalFormatting sqref="Q120:AA120">
    <cfRule type="expression" dxfId="548" priority="397">
      <formula>Q120&lt;&gt;ROUND(Q120,2)</formula>
    </cfRule>
  </conditionalFormatting>
  <conditionalFormatting sqref="H120">
    <cfRule type="expression" dxfId="547" priority="395" stopIfTrue="1">
      <formula>$B120=1</formula>
    </cfRule>
    <cfRule type="expression" dxfId="546" priority="396" stopIfTrue="1">
      <formula>OR($B120=0,$B120=2,$B120=3,$B120=4)</formula>
    </cfRule>
  </conditionalFormatting>
  <conditionalFormatting sqref="H120">
    <cfRule type="expression" dxfId="545" priority="394">
      <formula>$J120="►S"</formula>
    </cfRule>
  </conditionalFormatting>
  <conditionalFormatting sqref="D123:G123 I123 I130:I131 D130:G131 I127:I128 D127:G128">
    <cfRule type="expression" dxfId="544" priority="392" stopIfTrue="1">
      <formula>$B123=1</formula>
    </cfRule>
    <cfRule type="expression" dxfId="543" priority="393" stopIfTrue="1">
      <formula>OR($B123=0,$B123=2,$B123=3,$B123=4)</formula>
    </cfRule>
  </conditionalFormatting>
  <conditionalFormatting sqref="N123 N130:N131 N127:N128">
    <cfRule type="expression" dxfId="542" priority="391">
      <formula>$J123="►"</formula>
    </cfRule>
  </conditionalFormatting>
  <conditionalFormatting sqref="Q123:AA123 Q130:AA131 Q127:AA128">
    <cfRule type="expression" dxfId="541" priority="390">
      <formula>Q123&lt;&gt;ROUND(Q123,2)</formula>
    </cfRule>
  </conditionalFormatting>
  <conditionalFormatting sqref="H123 H130:H131 H127:H128">
    <cfRule type="expression" dxfId="540" priority="388" stopIfTrue="1">
      <formula>$B123=1</formula>
    </cfRule>
    <cfRule type="expression" dxfId="539" priority="389" stopIfTrue="1">
      <formula>OR($B123=0,$B123=2,$B123=3,$B123=4)</formula>
    </cfRule>
  </conditionalFormatting>
  <conditionalFormatting sqref="H123 H130:H131 H127:H128">
    <cfRule type="expression" dxfId="538" priority="387">
      <formula>$J123="►S"</formula>
    </cfRule>
  </conditionalFormatting>
  <conditionalFormatting sqref="D134:G134 I134 I166:I167 D166:G167 I140:I141 D140:G141 D153:G154 I153:I154 I160:I161 D160:G161">
    <cfRule type="expression" dxfId="537" priority="385" stopIfTrue="1">
      <formula>$B134=1</formula>
    </cfRule>
    <cfRule type="expression" dxfId="536" priority="386" stopIfTrue="1">
      <formula>OR($B134=0,$B134=2,$B134=3,$B134=4)</formula>
    </cfRule>
  </conditionalFormatting>
  <conditionalFormatting sqref="N134 N166:N167 N140:N141 N153:N154 N160:N161">
    <cfRule type="expression" dxfId="535" priority="384">
      <formula>$J134="►"</formula>
    </cfRule>
  </conditionalFormatting>
  <conditionalFormatting sqref="Q134:AA134 Q166:AA167 Q140:AA141 Q153:AA154 Q160:AA161">
    <cfRule type="expression" dxfId="534" priority="383">
      <formula>Q134&lt;&gt;ROUND(Q134,2)</formula>
    </cfRule>
  </conditionalFormatting>
  <conditionalFormatting sqref="H134 H166:H167 H140:H141 H153:H154 H160:H161">
    <cfRule type="expression" dxfId="533" priority="381" stopIfTrue="1">
      <formula>$B134=1</formula>
    </cfRule>
    <cfRule type="expression" dxfId="532" priority="382" stopIfTrue="1">
      <formula>OR($B134=0,$B134=2,$B134=3,$B134=4)</formula>
    </cfRule>
  </conditionalFormatting>
  <conditionalFormatting sqref="H134 H166:H167 H140:H141 H153:H154 H160:H161">
    <cfRule type="expression" dxfId="531" priority="380">
      <formula>$J134="►S"</formula>
    </cfRule>
  </conditionalFormatting>
  <conditionalFormatting sqref="D168:G170 I168:I170">
    <cfRule type="expression" dxfId="530" priority="371" stopIfTrue="1">
      <formula>$B168=1</formula>
    </cfRule>
    <cfRule type="expression" dxfId="529" priority="372" stopIfTrue="1">
      <formula>OR($B168=0,$B168=2,$B168=3,$B168=4)</formula>
    </cfRule>
  </conditionalFormatting>
  <conditionalFormatting sqref="N168:N170">
    <cfRule type="expression" dxfId="528" priority="370">
      <formula>$J168="►"</formula>
    </cfRule>
  </conditionalFormatting>
  <conditionalFormatting sqref="Q168:AA170 Q172:AA174">
    <cfRule type="expression" dxfId="527" priority="369">
      <formula>Q168&lt;&gt;ROUND(Q168,2)</formula>
    </cfRule>
  </conditionalFormatting>
  <conditionalFormatting sqref="H168:H170">
    <cfRule type="expression" dxfId="526" priority="367" stopIfTrue="1">
      <formula>$B168=1</formula>
    </cfRule>
    <cfRule type="expression" dxfId="525" priority="368" stopIfTrue="1">
      <formula>OR($B168=0,$B168=2,$B168=3,$B168=4)</formula>
    </cfRule>
  </conditionalFormatting>
  <conditionalFormatting sqref="H168:H170">
    <cfRule type="expression" dxfId="524" priority="366">
      <formula>$J168="►S"</formula>
    </cfRule>
  </conditionalFormatting>
  <conditionalFormatting sqref="D162:G163 I162:I163">
    <cfRule type="expression" dxfId="523" priority="357" stopIfTrue="1">
      <formula>$B162=1</formula>
    </cfRule>
    <cfRule type="expression" dxfId="522" priority="358" stopIfTrue="1">
      <formula>OR($B162=0,$B162=2,$B162=3,$B162=4)</formula>
    </cfRule>
  </conditionalFormatting>
  <conditionalFormatting sqref="N162:N163">
    <cfRule type="expression" dxfId="521" priority="356">
      <formula>$J162="►"</formula>
    </cfRule>
  </conditionalFormatting>
  <conditionalFormatting sqref="Q162:AA163">
    <cfRule type="expression" dxfId="520" priority="355">
      <formula>Q162&lt;&gt;ROUND(Q162,2)</formula>
    </cfRule>
  </conditionalFormatting>
  <conditionalFormatting sqref="H162:H163">
    <cfRule type="expression" dxfId="519" priority="353" stopIfTrue="1">
      <formula>$B162=1</formula>
    </cfRule>
    <cfRule type="expression" dxfId="518" priority="354" stopIfTrue="1">
      <formula>OR($B162=0,$B162=2,$B162=3,$B162=4)</formula>
    </cfRule>
  </conditionalFormatting>
  <conditionalFormatting sqref="H162:H163">
    <cfRule type="expression" dxfId="517" priority="352">
      <formula>$J162="►S"</formula>
    </cfRule>
  </conditionalFormatting>
  <conditionalFormatting sqref="D177:G177 I177 I180:I181 D180:G181 D185:G186 I185:I186">
    <cfRule type="expression" dxfId="516" priority="350" stopIfTrue="1">
      <formula>$B177=1</formula>
    </cfRule>
    <cfRule type="expression" dxfId="515" priority="351" stopIfTrue="1">
      <formula>OR($B177=0,$B177=2,$B177=3,$B177=4)</formula>
    </cfRule>
  </conditionalFormatting>
  <conditionalFormatting sqref="N177 N180:N181 N185:N186">
    <cfRule type="expression" dxfId="514" priority="349">
      <formula>$J177="►"</formula>
    </cfRule>
  </conditionalFormatting>
  <conditionalFormatting sqref="Q177:AA177 Q180:AA181 Q185:AA186">
    <cfRule type="expression" dxfId="513" priority="348">
      <formula>Q177&lt;&gt;ROUND(Q177,2)</formula>
    </cfRule>
  </conditionalFormatting>
  <conditionalFormatting sqref="H177 H180:H181 H185:H186">
    <cfRule type="expression" dxfId="512" priority="346" stopIfTrue="1">
      <formula>$B177=1</formula>
    </cfRule>
    <cfRule type="expression" dxfId="511" priority="347" stopIfTrue="1">
      <formula>OR($B177=0,$B177=2,$B177=3,$B177=4)</formula>
    </cfRule>
  </conditionalFormatting>
  <conditionalFormatting sqref="H177 H180:H181 H185:H186">
    <cfRule type="expression" dxfId="510" priority="345">
      <formula>$J177="►S"</formula>
    </cfRule>
  </conditionalFormatting>
  <conditionalFormatting sqref="Q190:AA192">
    <cfRule type="expression" dxfId="509" priority="341">
      <formula>Q190&lt;&gt;ROUND(Q190,2)</formula>
    </cfRule>
  </conditionalFormatting>
  <conditionalFormatting sqref="D198:G198 I198">
    <cfRule type="expression" dxfId="508" priority="329" stopIfTrue="1">
      <formula>$B198=1</formula>
    </cfRule>
    <cfRule type="expression" dxfId="507" priority="330" stopIfTrue="1">
      <formula>OR($B198=0,$B198=2,$B198=3,$B198=4)</formula>
    </cfRule>
  </conditionalFormatting>
  <conditionalFormatting sqref="N198">
    <cfRule type="expression" dxfId="506" priority="328">
      <formula>$J198="►"</formula>
    </cfRule>
  </conditionalFormatting>
  <conditionalFormatting sqref="Q198:AA198 Q200:AA202">
    <cfRule type="expression" dxfId="505" priority="327">
      <formula>Q198&lt;&gt;ROUND(Q198,2)</formula>
    </cfRule>
  </conditionalFormatting>
  <conditionalFormatting sqref="H198">
    <cfRule type="expression" dxfId="504" priority="325" stopIfTrue="1">
      <formula>$B198=1</formula>
    </cfRule>
    <cfRule type="expression" dxfId="503" priority="326" stopIfTrue="1">
      <formula>OR($B198=0,$B198=2,$B198=3,$B198=4)</formula>
    </cfRule>
  </conditionalFormatting>
  <conditionalFormatting sqref="H198">
    <cfRule type="expression" dxfId="502" priority="324">
      <formula>$J198="►S"</formula>
    </cfRule>
  </conditionalFormatting>
  <conditionalFormatting sqref="D205:G205 I205 I211:I212 D211:G212">
    <cfRule type="expression" dxfId="501" priority="322" stopIfTrue="1">
      <formula>$B205=1</formula>
    </cfRule>
    <cfRule type="expression" dxfId="500" priority="323" stopIfTrue="1">
      <formula>OR($B205=0,$B205=2,$B205=3,$B205=4)</formula>
    </cfRule>
  </conditionalFormatting>
  <conditionalFormatting sqref="N205 N211:N212">
    <cfRule type="expression" dxfId="499" priority="321">
      <formula>$J205="►"</formula>
    </cfRule>
  </conditionalFormatting>
  <conditionalFormatting sqref="Q205:AA205 Q211:AA212 Q214:AA218">
    <cfRule type="expression" dxfId="498" priority="320">
      <formula>Q205&lt;&gt;ROUND(Q205,2)</formula>
    </cfRule>
  </conditionalFormatting>
  <conditionalFormatting sqref="H205 H211:H212">
    <cfRule type="expression" dxfId="497" priority="318" stopIfTrue="1">
      <formula>$B205=1</formula>
    </cfRule>
    <cfRule type="expression" dxfId="496" priority="319" stopIfTrue="1">
      <formula>OR($B205=0,$B205=2,$B205=3,$B205=4)</formula>
    </cfRule>
  </conditionalFormatting>
  <conditionalFormatting sqref="H205 H211:H212">
    <cfRule type="expression" dxfId="495" priority="317">
      <formula>$J205="►S"</formula>
    </cfRule>
  </conditionalFormatting>
  <conditionalFormatting sqref="Q228:AA233">
    <cfRule type="expression" dxfId="494" priority="299">
      <formula>Q228&lt;&gt;ROUND(Q228,2)</formula>
    </cfRule>
  </conditionalFormatting>
  <conditionalFormatting sqref="D221:G221 I221">
    <cfRule type="expression" dxfId="493" priority="287" stopIfTrue="1">
      <formula>$B221=1</formula>
    </cfRule>
    <cfRule type="expression" dxfId="492" priority="288" stopIfTrue="1">
      <formula>OR($B221=0,$B221=2,$B221=3,$B221=4)</formula>
    </cfRule>
  </conditionalFormatting>
  <conditionalFormatting sqref="N221">
    <cfRule type="expression" dxfId="491" priority="286">
      <formula>$J221="►"</formula>
    </cfRule>
  </conditionalFormatting>
  <conditionalFormatting sqref="Q221:AA221">
    <cfRule type="expression" dxfId="490" priority="285">
      <formula>Q221&lt;&gt;ROUND(Q221,2)</formula>
    </cfRule>
  </conditionalFormatting>
  <conditionalFormatting sqref="H221">
    <cfRule type="expression" dxfId="489" priority="283" stopIfTrue="1">
      <formula>$B221=1</formula>
    </cfRule>
    <cfRule type="expression" dxfId="488" priority="284" stopIfTrue="1">
      <formula>OR($B221=0,$B221=2,$B221=3,$B221=4)</formula>
    </cfRule>
  </conditionalFormatting>
  <conditionalFormatting sqref="H221">
    <cfRule type="expression" dxfId="487" priority="282">
      <formula>$J221="►S"</formula>
    </cfRule>
  </conditionalFormatting>
  <conditionalFormatting sqref="D199:G199 I199">
    <cfRule type="expression" dxfId="486" priority="280" stopIfTrue="1">
      <formula>$B199=1</formula>
    </cfRule>
    <cfRule type="expression" dxfId="485" priority="281" stopIfTrue="1">
      <formula>OR($B199=0,$B199=2,$B199=3,$B199=4)</formula>
    </cfRule>
  </conditionalFormatting>
  <conditionalFormatting sqref="N199">
    <cfRule type="expression" dxfId="484" priority="279">
      <formula>$J199="►"</formula>
    </cfRule>
  </conditionalFormatting>
  <conditionalFormatting sqref="Q199:AA199">
    <cfRule type="expression" dxfId="483" priority="278">
      <formula>Q199&lt;&gt;ROUND(Q199,2)</formula>
    </cfRule>
  </conditionalFormatting>
  <conditionalFormatting sqref="H199">
    <cfRule type="expression" dxfId="482" priority="276" stopIfTrue="1">
      <formula>$B199=1</formula>
    </cfRule>
    <cfRule type="expression" dxfId="481" priority="277" stopIfTrue="1">
      <formula>OR($B199=0,$B199=2,$B199=3,$B199=4)</formula>
    </cfRule>
  </conditionalFormatting>
  <conditionalFormatting sqref="H199">
    <cfRule type="expression" dxfId="480" priority="275">
      <formula>$J199="►S"</formula>
    </cfRule>
  </conditionalFormatting>
  <conditionalFormatting sqref="D206:G207 I206:I207">
    <cfRule type="expression" dxfId="479" priority="273" stopIfTrue="1">
      <formula>$B206=1</formula>
    </cfRule>
    <cfRule type="expression" dxfId="478" priority="274" stopIfTrue="1">
      <formula>OR($B206=0,$B206=2,$B206=3,$B206=4)</formula>
    </cfRule>
  </conditionalFormatting>
  <conditionalFormatting sqref="N206:N207">
    <cfRule type="expression" dxfId="477" priority="272">
      <formula>$J206="►"</formula>
    </cfRule>
  </conditionalFormatting>
  <conditionalFormatting sqref="Q206:AA207">
    <cfRule type="expression" dxfId="476" priority="271">
      <formula>Q206&lt;&gt;ROUND(Q206,2)</formula>
    </cfRule>
  </conditionalFormatting>
  <conditionalFormatting sqref="H206:H207">
    <cfRule type="expression" dxfId="475" priority="269" stopIfTrue="1">
      <formula>$B206=1</formula>
    </cfRule>
    <cfRule type="expression" dxfId="474" priority="270" stopIfTrue="1">
      <formula>OR($B206=0,$B206=2,$B206=3,$B206=4)</formula>
    </cfRule>
  </conditionalFormatting>
  <conditionalFormatting sqref="H206:H207">
    <cfRule type="expression" dxfId="473" priority="268">
      <formula>$J206="►S"</formula>
    </cfRule>
  </conditionalFormatting>
  <conditionalFormatting sqref="D208:G210 I208:I210">
    <cfRule type="expression" dxfId="472" priority="266" stopIfTrue="1">
      <formula>$B208=1</formula>
    </cfRule>
    <cfRule type="expression" dxfId="471" priority="267" stopIfTrue="1">
      <formula>OR($B208=0,$B208=2,$B208=3,$B208=4)</formula>
    </cfRule>
  </conditionalFormatting>
  <conditionalFormatting sqref="N208:N210">
    <cfRule type="expression" dxfId="470" priority="265">
      <formula>$J208="►"</formula>
    </cfRule>
  </conditionalFormatting>
  <conditionalFormatting sqref="Q208:AA210">
    <cfRule type="expression" dxfId="469" priority="264">
      <formula>Q208&lt;&gt;ROUND(Q208,2)</formula>
    </cfRule>
  </conditionalFormatting>
  <conditionalFormatting sqref="H208:H210">
    <cfRule type="expression" dxfId="468" priority="262" stopIfTrue="1">
      <formula>$B208=1</formula>
    </cfRule>
    <cfRule type="expression" dxfId="467" priority="263" stopIfTrue="1">
      <formula>OR($B208=0,$B208=2,$B208=3,$B208=4)</formula>
    </cfRule>
  </conditionalFormatting>
  <conditionalFormatting sqref="H208:H210">
    <cfRule type="expression" dxfId="466" priority="261">
      <formula>$J208="►S"</formula>
    </cfRule>
  </conditionalFormatting>
  <conditionalFormatting sqref="D213:G213 I213">
    <cfRule type="expression" dxfId="465" priority="252" stopIfTrue="1">
      <formula>$B213=1</formula>
    </cfRule>
    <cfRule type="expression" dxfId="464" priority="253" stopIfTrue="1">
      <formula>OR($B213=0,$B213=2,$B213=3,$B213=4)</formula>
    </cfRule>
  </conditionalFormatting>
  <conditionalFormatting sqref="N213">
    <cfRule type="expression" dxfId="463" priority="251">
      <formula>$J213="►"</formula>
    </cfRule>
  </conditionalFormatting>
  <conditionalFormatting sqref="Q213:AA213">
    <cfRule type="expression" dxfId="462" priority="250">
      <formula>Q213&lt;&gt;ROUND(Q213,2)</formula>
    </cfRule>
  </conditionalFormatting>
  <conditionalFormatting sqref="H213">
    <cfRule type="expression" dxfId="461" priority="248" stopIfTrue="1">
      <formula>$B213=1</formula>
    </cfRule>
    <cfRule type="expression" dxfId="460" priority="249" stopIfTrue="1">
      <formula>OR($B213=0,$B213=2,$B213=3,$B213=4)</formula>
    </cfRule>
  </conditionalFormatting>
  <conditionalFormatting sqref="H213">
    <cfRule type="expression" dxfId="459" priority="247">
      <formula>$J213="►S"</formula>
    </cfRule>
  </conditionalFormatting>
  <conditionalFormatting sqref="Q178:AA179">
    <cfRule type="expression" dxfId="458" priority="243">
      <formula>Q178&lt;&gt;ROUND(Q178,2)</formula>
    </cfRule>
  </conditionalFormatting>
  <conditionalFormatting sqref="Q182:AA184">
    <cfRule type="expression" dxfId="457" priority="236">
      <formula>Q182&lt;&gt;ROUND(Q182,2)</formula>
    </cfRule>
  </conditionalFormatting>
  <conditionalFormatting sqref="Q187:AA189">
    <cfRule type="expression" dxfId="456" priority="229">
      <formula>Q187&lt;&gt;ROUND(Q187,2)</formula>
    </cfRule>
  </conditionalFormatting>
  <conditionalFormatting sqref="D135:G139 I135:I139">
    <cfRule type="expression" dxfId="455" priority="224" stopIfTrue="1">
      <formula>$B135=1</formula>
    </cfRule>
    <cfRule type="expression" dxfId="454" priority="225" stopIfTrue="1">
      <formula>OR($B135=0,$B135=2,$B135=3,$B135=4)</formula>
    </cfRule>
  </conditionalFormatting>
  <conditionalFormatting sqref="N135:N139">
    <cfRule type="expression" dxfId="453" priority="223">
      <formula>$J135="►"</formula>
    </cfRule>
  </conditionalFormatting>
  <conditionalFormatting sqref="Q135:AA139">
    <cfRule type="expression" dxfId="452" priority="222">
      <formula>Q135&lt;&gt;ROUND(Q135,2)</formula>
    </cfRule>
  </conditionalFormatting>
  <conditionalFormatting sqref="H135:H139">
    <cfRule type="expression" dxfId="451" priority="220" stopIfTrue="1">
      <formula>$B135=1</formula>
    </cfRule>
    <cfRule type="expression" dxfId="450" priority="221" stopIfTrue="1">
      <formula>OR($B135=0,$B135=2,$B135=3,$B135=4)</formula>
    </cfRule>
  </conditionalFormatting>
  <conditionalFormatting sqref="H135:H139">
    <cfRule type="expression" dxfId="449" priority="219">
      <formula>$J135="►S"</formula>
    </cfRule>
  </conditionalFormatting>
  <conditionalFormatting sqref="D142:G146 I142:I146">
    <cfRule type="expression" dxfId="448" priority="217" stopIfTrue="1">
      <formula>$B142=1</formula>
    </cfRule>
    <cfRule type="expression" dxfId="447" priority="218" stopIfTrue="1">
      <formula>OR($B142=0,$B142=2,$B142=3,$B142=4)</formula>
    </cfRule>
  </conditionalFormatting>
  <conditionalFormatting sqref="N142:N146">
    <cfRule type="expression" dxfId="446" priority="216">
      <formula>$J142="►"</formula>
    </cfRule>
  </conditionalFormatting>
  <conditionalFormatting sqref="Q142:AA146">
    <cfRule type="expression" dxfId="445" priority="215">
      <formula>Q142&lt;&gt;ROUND(Q142,2)</formula>
    </cfRule>
  </conditionalFormatting>
  <conditionalFormatting sqref="H142:H146">
    <cfRule type="expression" dxfId="444" priority="213" stopIfTrue="1">
      <formula>$B142=1</formula>
    </cfRule>
    <cfRule type="expression" dxfId="443" priority="214" stopIfTrue="1">
      <formula>OR($B142=0,$B142=2,$B142=3,$B142=4)</formula>
    </cfRule>
  </conditionalFormatting>
  <conditionalFormatting sqref="H142:H146">
    <cfRule type="expression" dxfId="442" priority="212">
      <formula>$J142="►S"</formula>
    </cfRule>
  </conditionalFormatting>
  <conditionalFormatting sqref="D147:G151 I147:I151">
    <cfRule type="expression" dxfId="441" priority="210" stopIfTrue="1">
      <formula>$B147=1</formula>
    </cfRule>
    <cfRule type="expression" dxfId="440" priority="211" stopIfTrue="1">
      <formula>OR($B147=0,$B147=2,$B147=3,$B147=4)</formula>
    </cfRule>
  </conditionalFormatting>
  <conditionalFormatting sqref="N147:N151">
    <cfRule type="expression" dxfId="439" priority="209">
      <formula>$J147="►"</formula>
    </cfRule>
  </conditionalFormatting>
  <conditionalFormatting sqref="Q147:AA151">
    <cfRule type="expression" dxfId="438" priority="208">
      <formula>Q147&lt;&gt;ROUND(Q147,2)</formula>
    </cfRule>
  </conditionalFormatting>
  <conditionalFormatting sqref="H147:H151">
    <cfRule type="expression" dxfId="437" priority="206" stopIfTrue="1">
      <formula>$B147=1</formula>
    </cfRule>
    <cfRule type="expression" dxfId="436" priority="207" stopIfTrue="1">
      <formula>OR($B147=0,$B147=2,$B147=3,$B147=4)</formula>
    </cfRule>
  </conditionalFormatting>
  <conditionalFormatting sqref="H147:H151">
    <cfRule type="expression" dxfId="435" priority="205">
      <formula>$J147="►S"</formula>
    </cfRule>
  </conditionalFormatting>
  <conditionalFormatting sqref="D152:G152 I152">
    <cfRule type="expression" dxfId="434" priority="203" stopIfTrue="1">
      <formula>$B152=1</formula>
    </cfRule>
    <cfRule type="expression" dxfId="433" priority="204" stopIfTrue="1">
      <formula>OR($B152=0,$B152=2,$B152=3,$B152=4)</formula>
    </cfRule>
  </conditionalFormatting>
  <conditionalFormatting sqref="N152">
    <cfRule type="expression" dxfId="432" priority="202">
      <formula>$J152="►"</formula>
    </cfRule>
  </conditionalFormatting>
  <conditionalFormatting sqref="Q152:AA152">
    <cfRule type="expression" dxfId="431" priority="201">
      <formula>Q152&lt;&gt;ROUND(Q152,2)</formula>
    </cfRule>
  </conditionalFormatting>
  <conditionalFormatting sqref="H152">
    <cfRule type="expression" dxfId="430" priority="199" stopIfTrue="1">
      <formula>$B152=1</formula>
    </cfRule>
    <cfRule type="expression" dxfId="429" priority="200" stopIfTrue="1">
      <formula>OR($B152=0,$B152=2,$B152=3,$B152=4)</formula>
    </cfRule>
  </conditionalFormatting>
  <conditionalFormatting sqref="H152">
    <cfRule type="expression" dxfId="428" priority="198">
      <formula>$J152="►S"</formula>
    </cfRule>
  </conditionalFormatting>
  <conditionalFormatting sqref="Q155:AA155 Q158:AA159">
    <cfRule type="expression" dxfId="427" priority="194">
      <formula>Q155&lt;&gt;ROUND(Q155,2)</formula>
    </cfRule>
  </conditionalFormatting>
  <conditionalFormatting sqref="Q164:AA165">
    <cfRule type="expression" dxfId="426" priority="173">
      <formula>Q164&lt;&gt;ROUND(Q164,2)</formula>
    </cfRule>
  </conditionalFormatting>
  <conditionalFormatting sqref="Q156:AA157">
    <cfRule type="expression" dxfId="425" priority="169">
      <formula>Q156&lt;&gt;ROUND(Q156,2)</formula>
    </cfRule>
  </conditionalFormatting>
  <conditionalFormatting sqref="H156:H157">
    <cfRule type="expression" dxfId="424" priority="167" stopIfTrue="1">
      <formula>$B156=1</formula>
    </cfRule>
    <cfRule type="expression" dxfId="423" priority="168" stopIfTrue="1">
      <formula>OR($B156=0,$B156=2,$B156=3,$B156=4)</formula>
    </cfRule>
  </conditionalFormatting>
  <conditionalFormatting sqref="Q171:AA171">
    <cfRule type="expression" dxfId="422" priority="163">
      <formula>Q171&lt;&gt;ROUND(Q171,2)</formula>
    </cfRule>
  </conditionalFormatting>
  <conditionalFormatting sqref="D129:G129 I129">
    <cfRule type="expression" dxfId="421" priority="158" stopIfTrue="1">
      <formula>$B129=1</formula>
    </cfRule>
    <cfRule type="expression" dxfId="420" priority="159" stopIfTrue="1">
      <formula>OR($B129=0,$B129=2,$B129=3,$B129=4)</formula>
    </cfRule>
  </conditionalFormatting>
  <conditionalFormatting sqref="N129">
    <cfRule type="expression" dxfId="419" priority="157">
      <formula>$J129="►"</formula>
    </cfRule>
  </conditionalFormatting>
  <conditionalFormatting sqref="Q129:AA129">
    <cfRule type="expression" dxfId="418" priority="156">
      <formula>Q129&lt;&gt;ROUND(Q129,2)</formula>
    </cfRule>
  </conditionalFormatting>
  <conditionalFormatting sqref="H129">
    <cfRule type="expression" dxfId="417" priority="154" stopIfTrue="1">
      <formula>$B129=1</formula>
    </cfRule>
    <cfRule type="expression" dxfId="416" priority="155" stopIfTrue="1">
      <formula>OR($B129=0,$B129=2,$B129=3,$B129=4)</formula>
    </cfRule>
  </conditionalFormatting>
  <conditionalFormatting sqref="H129">
    <cfRule type="expression" dxfId="415" priority="153">
      <formula>$J129="►S"</formula>
    </cfRule>
  </conditionalFormatting>
  <conditionalFormatting sqref="D124:G126 I124:I126">
    <cfRule type="expression" dxfId="414" priority="151" stopIfTrue="1">
      <formula>$B124=1</formula>
    </cfRule>
    <cfRule type="expression" dxfId="413" priority="152" stopIfTrue="1">
      <formula>OR($B124=0,$B124=2,$B124=3,$B124=4)</formula>
    </cfRule>
  </conditionalFormatting>
  <conditionalFormatting sqref="N124:N126">
    <cfRule type="expression" dxfId="412" priority="150">
      <formula>$J124="►"</formula>
    </cfRule>
  </conditionalFormatting>
  <conditionalFormatting sqref="Q124:AA126">
    <cfRule type="expression" dxfId="411" priority="149">
      <formula>Q124&lt;&gt;ROUND(Q124,2)</formula>
    </cfRule>
  </conditionalFormatting>
  <conditionalFormatting sqref="H124:H126">
    <cfRule type="expression" dxfId="410" priority="147" stopIfTrue="1">
      <formula>$B124=1</formula>
    </cfRule>
    <cfRule type="expression" dxfId="409" priority="148" stopIfTrue="1">
      <formula>OR($B124=0,$B124=2,$B124=3,$B124=4)</formula>
    </cfRule>
  </conditionalFormatting>
  <conditionalFormatting sqref="H124:H126">
    <cfRule type="expression" dxfId="408" priority="146">
      <formula>$J124="►S"</formula>
    </cfRule>
  </conditionalFormatting>
  <conditionalFormatting sqref="D57:G57 I57 I60:I61 D60:G61">
    <cfRule type="expression" dxfId="407" priority="144" stopIfTrue="1">
      <formula>$B57=1</formula>
    </cfRule>
    <cfRule type="expression" dxfId="406" priority="145" stopIfTrue="1">
      <formula>OR($B57=0,$B57=2,$B57=3,$B57=4)</formula>
    </cfRule>
  </conditionalFormatting>
  <conditionalFormatting sqref="N57 N60:N61">
    <cfRule type="expression" dxfId="405" priority="143">
      <formula>$J57="►"</formula>
    </cfRule>
  </conditionalFormatting>
  <conditionalFormatting sqref="Q57:AA57 Q60:AA61">
    <cfRule type="expression" dxfId="404" priority="142">
      <formula>Q57&lt;&gt;ROUND(Q57,2)</formula>
    </cfRule>
  </conditionalFormatting>
  <conditionalFormatting sqref="H57 H60:H61">
    <cfRule type="expression" dxfId="403" priority="140" stopIfTrue="1">
      <formula>$B57=1</formula>
    </cfRule>
    <cfRule type="expression" dxfId="402" priority="141" stopIfTrue="1">
      <formula>OR($B57=0,$B57=2,$B57=3,$B57=4)</formula>
    </cfRule>
  </conditionalFormatting>
  <conditionalFormatting sqref="H57 H60:H61">
    <cfRule type="expression" dxfId="401" priority="139">
      <formula>$J57="►S"</formula>
    </cfRule>
  </conditionalFormatting>
  <conditionalFormatting sqref="H114:H115">
    <cfRule type="expression" dxfId="400" priority="134" stopIfTrue="1">
      <formula>$B114=1</formula>
    </cfRule>
    <cfRule type="expression" dxfId="399" priority="135" stopIfTrue="1">
      <formula>OR($B114=0,$B114=2,$B114=3,$B114=4)</formula>
    </cfRule>
  </conditionalFormatting>
  <conditionalFormatting sqref="D33:G37 I33:I37">
    <cfRule type="expression" dxfId="398" priority="125" stopIfTrue="1">
      <formula>$B33=1</formula>
    </cfRule>
    <cfRule type="expression" dxfId="397" priority="126" stopIfTrue="1">
      <formula>OR($B33=0,$B33=2,$B33=3,$B33=4)</formula>
    </cfRule>
  </conditionalFormatting>
  <conditionalFormatting sqref="N33:N37">
    <cfRule type="expression" dxfId="396" priority="124">
      <formula>$J33="►"</formula>
    </cfRule>
  </conditionalFormatting>
  <conditionalFormatting sqref="Q33:AA37">
    <cfRule type="expression" dxfId="395" priority="123">
      <formula>Q33&lt;&gt;ROUND(Q33,2)</formula>
    </cfRule>
  </conditionalFormatting>
  <conditionalFormatting sqref="H33:H37">
    <cfRule type="expression" dxfId="394" priority="121" stopIfTrue="1">
      <formula>$B33=1</formula>
    </cfRule>
    <cfRule type="expression" dxfId="393" priority="122" stopIfTrue="1">
      <formula>OR($B33=0,$B33=2,$B33=3,$B33=4)</formula>
    </cfRule>
  </conditionalFormatting>
  <conditionalFormatting sqref="H33:H37">
    <cfRule type="expression" dxfId="392" priority="120">
      <formula>$J33="►S"</formula>
    </cfRule>
  </conditionalFormatting>
  <conditionalFormatting sqref="D42:G44 I42:I44">
    <cfRule type="expression" dxfId="391" priority="111" stopIfTrue="1">
      <formula>$B42=1</formula>
    </cfRule>
    <cfRule type="expression" dxfId="390" priority="112" stopIfTrue="1">
      <formula>OR($B42=0,$B42=2,$B42=3,$B42=4)</formula>
    </cfRule>
  </conditionalFormatting>
  <conditionalFormatting sqref="N42:N44">
    <cfRule type="expression" dxfId="389" priority="110">
      <formula>$J42="►"</formula>
    </cfRule>
  </conditionalFormatting>
  <conditionalFormatting sqref="Q42:AA44">
    <cfRule type="expression" dxfId="388" priority="109">
      <formula>Q42&lt;&gt;ROUND(Q42,2)</formula>
    </cfRule>
  </conditionalFormatting>
  <conditionalFormatting sqref="H42:H44">
    <cfRule type="expression" dxfId="387" priority="107" stopIfTrue="1">
      <formula>$B42=1</formula>
    </cfRule>
    <cfRule type="expression" dxfId="386" priority="108" stopIfTrue="1">
      <formula>OR($B42=0,$B42=2,$B42=3,$B42=4)</formula>
    </cfRule>
  </conditionalFormatting>
  <conditionalFormatting sqref="H42:H44">
    <cfRule type="expression" dxfId="385" priority="106">
      <formula>$J42="►S"</formula>
    </cfRule>
  </conditionalFormatting>
  <conditionalFormatting sqref="D79:G81 I79:I81">
    <cfRule type="expression" dxfId="384" priority="104" stopIfTrue="1">
      <formula>$B79=1</formula>
    </cfRule>
    <cfRule type="expression" dxfId="383" priority="105" stopIfTrue="1">
      <formula>OR($B79=0,$B79=2,$B79=3,$B79=4)</formula>
    </cfRule>
  </conditionalFormatting>
  <conditionalFormatting sqref="N79:N81">
    <cfRule type="expression" dxfId="382" priority="103">
      <formula>$J79="►"</formula>
    </cfRule>
  </conditionalFormatting>
  <conditionalFormatting sqref="Q79:AA81">
    <cfRule type="expression" dxfId="381" priority="102">
      <formula>Q79&lt;&gt;ROUND(Q79,2)</formula>
    </cfRule>
  </conditionalFormatting>
  <conditionalFormatting sqref="H79:H81">
    <cfRule type="expression" dxfId="380" priority="100" stopIfTrue="1">
      <formula>$B79=1</formula>
    </cfRule>
    <cfRule type="expression" dxfId="379" priority="101" stopIfTrue="1">
      <formula>OR($B79=0,$B79=2,$B79=3,$B79=4)</formula>
    </cfRule>
  </conditionalFormatting>
  <conditionalFormatting sqref="H79:H81">
    <cfRule type="expression" dxfId="378" priority="99">
      <formula>$J79="►S"</formula>
    </cfRule>
  </conditionalFormatting>
  <conditionalFormatting sqref="D104:G105 I104:I105">
    <cfRule type="expression" dxfId="377" priority="90" stopIfTrue="1">
      <formula>$B104=1</formula>
    </cfRule>
    <cfRule type="expression" dxfId="376" priority="91" stopIfTrue="1">
      <formula>OR($B104=0,$B104=2,$B104=3,$B104=4)</formula>
    </cfRule>
  </conditionalFormatting>
  <conditionalFormatting sqref="N104:N105">
    <cfRule type="expression" dxfId="375" priority="89">
      <formula>$J104="►"</formula>
    </cfRule>
  </conditionalFormatting>
  <conditionalFormatting sqref="Q104:AA105">
    <cfRule type="expression" dxfId="374" priority="88">
      <formula>Q104&lt;&gt;ROUND(Q104,2)</formula>
    </cfRule>
  </conditionalFormatting>
  <conditionalFormatting sqref="H104:H105">
    <cfRule type="expression" dxfId="373" priority="86" stopIfTrue="1">
      <formula>$B104=1</formula>
    </cfRule>
    <cfRule type="expression" dxfId="372" priority="87" stopIfTrue="1">
      <formula>OR($B104=0,$B104=2,$B104=3,$B104=4)</formula>
    </cfRule>
  </conditionalFormatting>
  <conditionalFormatting sqref="H104:H105">
    <cfRule type="expression" dxfId="371" priority="85">
      <formula>$J104="►S"</formula>
    </cfRule>
  </conditionalFormatting>
  <conditionalFormatting sqref="D52:G54 I52:I54">
    <cfRule type="expression" dxfId="370" priority="83" stopIfTrue="1">
      <formula>$B52=1</formula>
    </cfRule>
    <cfRule type="expression" dxfId="369" priority="84" stopIfTrue="1">
      <formula>OR($B52=0,$B52=2,$B52=3,$B52=4)</formula>
    </cfRule>
  </conditionalFormatting>
  <conditionalFormatting sqref="N52:N54">
    <cfRule type="expression" dxfId="368" priority="82">
      <formula>$J52="►"</formula>
    </cfRule>
  </conditionalFormatting>
  <conditionalFormatting sqref="Q52:AA54">
    <cfRule type="expression" dxfId="367" priority="81">
      <formula>Q52&lt;&gt;ROUND(Q52,2)</formula>
    </cfRule>
  </conditionalFormatting>
  <conditionalFormatting sqref="H52:H54">
    <cfRule type="expression" dxfId="366" priority="79" stopIfTrue="1">
      <formula>$B52=1</formula>
    </cfRule>
    <cfRule type="expression" dxfId="365" priority="80" stopIfTrue="1">
      <formula>OR($B52=0,$B52=2,$B52=3,$B52=4)</formula>
    </cfRule>
  </conditionalFormatting>
  <conditionalFormatting sqref="H52:H54">
    <cfRule type="expression" dxfId="364" priority="78">
      <formula>$J52="►S"</formula>
    </cfRule>
  </conditionalFormatting>
  <conditionalFormatting sqref="Q58:AA59">
    <cfRule type="expression" dxfId="363" priority="74">
      <formula>Q58&lt;&gt;ROUND(Q58,2)</formula>
    </cfRule>
  </conditionalFormatting>
  <conditionalFormatting sqref="D64:G67 I64:I67 I69 D69:G69">
    <cfRule type="expression" dxfId="362" priority="69" stopIfTrue="1">
      <formula>$B64=1</formula>
    </cfRule>
    <cfRule type="expression" dxfId="361" priority="70" stopIfTrue="1">
      <formula>OR($B64=0,$B64=2,$B64=3,$B64=4)</formula>
    </cfRule>
  </conditionalFormatting>
  <conditionalFormatting sqref="N64:N67 N69">
    <cfRule type="expression" dxfId="360" priority="68">
      <formula>$J64="►"</formula>
    </cfRule>
  </conditionalFormatting>
  <conditionalFormatting sqref="Q64:AA67 Q69:AA69">
    <cfRule type="expression" dxfId="359" priority="67">
      <formula>Q64&lt;&gt;ROUND(Q64,2)</formula>
    </cfRule>
  </conditionalFormatting>
  <conditionalFormatting sqref="H64:H67 H69">
    <cfRule type="expression" dxfId="358" priority="65" stopIfTrue="1">
      <formula>$B64=1</formula>
    </cfRule>
    <cfRule type="expression" dxfId="357" priority="66" stopIfTrue="1">
      <formula>OR($B64=0,$B64=2,$B64=3,$B64=4)</formula>
    </cfRule>
  </conditionalFormatting>
  <conditionalFormatting sqref="H64:H67 H69">
    <cfRule type="expression" dxfId="356" priority="64">
      <formula>$J64="►S"</formula>
    </cfRule>
  </conditionalFormatting>
  <conditionalFormatting sqref="D70:G70 I70">
    <cfRule type="expression" dxfId="355" priority="55" stopIfTrue="1">
      <formula>$B70=1</formula>
    </cfRule>
    <cfRule type="expression" dxfId="354" priority="56" stopIfTrue="1">
      <formula>OR($B70=0,$B70=2,$B70=3,$B70=4)</formula>
    </cfRule>
  </conditionalFormatting>
  <conditionalFormatting sqref="N70">
    <cfRule type="expression" dxfId="353" priority="54">
      <formula>$J70="►"</formula>
    </cfRule>
  </conditionalFormatting>
  <conditionalFormatting sqref="Q70:AA70">
    <cfRule type="expression" dxfId="352" priority="53">
      <formula>Q70&lt;&gt;ROUND(Q70,2)</formula>
    </cfRule>
  </conditionalFormatting>
  <conditionalFormatting sqref="H70">
    <cfRule type="expression" dxfId="351" priority="51" stopIfTrue="1">
      <formula>$B70=1</formula>
    </cfRule>
    <cfRule type="expression" dxfId="350" priority="52" stopIfTrue="1">
      <formula>OR($B70=0,$B70=2,$B70=3,$B70=4)</formula>
    </cfRule>
  </conditionalFormatting>
  <conditionalFormatting sqref="H70">
    <cfRule type="expression" dxfId="349" priority="50">
      <formula>$J70="►S"</formula>
    </cfRule>
  </conditionalFormatting>
  <conditionalFormatting sqref="Q91:AA93">
    <cfRule type="expression" dxfId="348" priority="47">
      <formula>Q91&lt;&gt;ROUND(Q91,2)</formula>
    </cfRule>
  </conditionalFormatting>
  <conditionalFormatting sqref="D84:G88 I84:I88">
    <cfRule type="expression" dxfId="347" priority="40" stopIfTrue="1">
      <formula>$B84=1</formula>
    </cfRule>
    <cfRule type="expression" dxfId="346" priority="41" stopIfTrue="1">
      <formula>OR($B84=0,$B84=2,$B84=3,$B84=4)</formula>
    </cfRule>
  </conditionalFormatting>
  <conditionalFormatting sqref="N84:N88">
    <cfRule type="expression" dxfId="345" priority="39">
      <formula>$J84="►"</formula>
    </cfRule>
  </conditionalFormatting>
  <conditionalFormatting sqref="Q84:AA88">
    <cfRule type="expression" dxfId="344" priority="38">
      <formula>Q84&lt;&gt;ROUND(Q84,2)</formula>
    </cfRule>
  </conditionalFormatting>
  <conditionalFormatting sqref="H84:H88">
    <cfRule type="expression" dxfId="343" priority="36" stopIfTrue="1">
      <formula>$B84=1</formula>
    </cfRule>
    <cfRule type="expression" dxfId="342" priority="37" stopIfTrue="1">
      <formula>OR($B84=0,$B84=2,$B84=3,$B84=4)</formula>
    </cfRule>
  </conditionalFormatting>
  <conditionalFormatting sqref="H84:H88">
    <cfRule type="expression" dxfId="341" priority="35">
      <formula>$J84="►S"</formula>
    </cfRule>
  </conditionalFormatting>
  <conditionalFormatting sqref="D68:G68 I68">
    <cfRule type="expression" dxfId="340" priority="7" stopIfTrue="1">
      <formula>$B68=1</formula>
    </cfRule>
    <cfRule type="expression" dxfId="339" priority="8" stopIfTrue="1">
      <formula>OR($B68=0,$B68=2,$B68=3,$B68=4)</formula>
    </cfRule>
  </conditionalFormatting>
  <conditionalFormatting sqref="M68:N68">
    <cfRule type="expression" dxfId="338" priority="9" stopIfTrue="1">
      <formula>ACOMPANHAMENTO="BM"</formula>
    </cfRule>
    <cfRule type="expression" dxfId="337" priority="10" stopIfTrue="1">
      <formula>OR($B68=0,$B68=2,$B68=3,$B68=4)</formula>
    </cfRule>
    <cfRule type="expression" dxfId="336" priority="11" stopIfTrue="1">
      <formula>$B68=1</formula>
    </cfRule>
  </conditionalFormatting>
  <conditionalFormatting sqref="N68">
    <cfRule type="expression" dxfId="335" priority="5">
      <formula>$J68="►"</formula>
    </cfRule>
  </conditionalFormatting>
  <conditionalFormatting sqref="Q68:AA68">
    <cfRule type="expression" dxfId="334" priority="4">
      <formula>Q68&lt;&gt;ROUND(Q68,2)</formula>
    </cfRule>
  </conditionalFormatting>
  <conditionalFormatting sqref="H68">
    <cfRule type="expression" dxfId="333" priority="2" stopIfTrue="1">
      <formula>$B68=1</formula>
    </cfRule>
    <cfRule type="expression" dxfId="332" priority="3" stopIfTrue="1">
      <formula>OR($B68=0,$B68=2,$B68=3,$B68=4)</formula>
    </cfRule>
  </conditionalFormatting>
  <conditionalFormatting sqref="H68">
    <cfRule type="expression" dxfId="331" priority="1">
      <formula>$J68="►S"</formula>
    </cfRule>
  </conditionalFormatting>
  <dataValidations count="4">
    <dataValidation type="decimal" operator="greaterThan" allowBlank="1" showErrorMessage="1" error="Apenas números decimais maiores que zero." sqref="O14 Q14:Z14 O16:O239 Q16:Z239"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39"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39"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IF(AUTOEVENTO="Manual",IF(EVENTOS!$F1&gt;0,"F",""),IF(AND(B1&gt;0,B1&lt;=MAX(CÁLCULO!$M$15:$M$240)),"F",""))</f>
        <v>#REF!</v>
      </c>
      <c r="B1" s="247" t="e">
        <f ca="1">OFFSET(B1,-1,0)+1</f>
        <v>#REF!</v>
      </c>
      <c r="C1" s="514" t="e">
        <f ca="1">IF(AUTOEVENTO="Manual",IF($B1&gt;0,OFFSET(EVENTOS!$D$15,$B1-$B$15,0),0),IF(B1&lt;=MAX(CÁLCULO!$M$15:$M$240),VLOOKUP($B1,CÁLCULO!$M$15:$N$240,2,FALSE),0))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72" t="s">
        <v>757</v>
      </c>
      <c r="AD2" s="773"/>
      <c r="AE2" s="774"/>
    </row>
    <row r="3" spans="1:31" ht="12.75" customHeight="1" x14ac:dyDescent="0.2">
      <c r="G3" s="82"/>
      <c r="AD3" s="483"/>
      <c r="AE3" s="483"/>
    </row>
    <row r="4" spans="1:31" ht="12.75" customHeight="1" x14ac:dyDescent="0.2">
      <c r="B4" s="718" t="s">
        <v>652</v>
      </c>
      <c r="C4" s="718"/>
      <c r="D4" s="718"/>
      <c r="G4" s="727" t="s">
        <v>650</v>
      </c>
      <c r="H4" s="727"/>
      <c r="I4" s="727"/>
      <c r="J4" s="727" t="s">
        <v>707</v>
      </c>
      <c r="K4" s="727"/>
      <c r="L4" s="727"/>
      <c r="M4" s="208" t="s">
        <v>758</v>
      </c>
      <c r="N4" s="212"/>
      <c r="P4" s="186"/>
      <c r="Q4" s="186"/>
      <c r="R4" s="186"/>
      <c r="U4" s="484"/>
      <c r="V4" s="186"/>
      <c r="W4" s="186"/>
      <c r="X4" s="186"/>
      <c r="Y4" s="186"/>
      <c r="AD4" s="483"/>
      <c r="AE4" s="485"/>
    </row>
    <row r="5" spans="1:31" ht="12.75" customHeight="1" x14ac:dyDescent="0.2">
      <c r="B5" s="721" t="str">
        <f>Import.Proponente</f>
        <v>MUNICIPIO DE SARANDI/RS</v>
      </c>
      <c r="C5" s="721"/>
      <c r="D5" s="721"/>
      <c r="G5" s="732">
        <f>Import.CR</f>
        <v>0</v>
      </c>
      <c r="H5" s="732"/>
      <c r="I5" s="732"/>
      <c r="J5" s="732">
        <f>Import.SICONV</f>
        <v>0</v>
      </c>
      <c r="K5" s="732"/>
      <c r="L5" s="732"/>
      <c r="M5" s="740" t="str">
        <f>Import.Apelido</f>
        <v>A CASA É SUA</v>
      </c>
      <c r="N5" s="741"/>
      <c r="O5" s="741"/>
      <c r="P5" s="741"/>
      <c r="Q5" s="741"/>
      <c r="R5" s="741"/>
      <c r="S5" s="741"/>
      <c r="T5" s="741"/>
      <c r="U5" s="741"/>
      <c r="V5" s="741"/>
      <c r="W5" s="741"/>
      <c r="X5" s="741"/>
      <c r="Y5" s="741"/>
      <c r="Z5" s="741"/>
      <c r="AA5" s="741"/>
      <c r="AB5" s="741"/>
      <c r="AC5" s="741"/>
      <c r="AD5" s="741"/>
      <c r="AE5" s="775"/>
    </row>
    <row r="6" spans="1:31" ht="14.25" customHeight="1" x14ac:dyDescent="0.25">
      <c r="B6" s="249" t="str" cm="1">
        <f t="array" aca="1" ref="B6" ca="1">IF(ACOMPANHAMENTO="BM","NO ACOMPANHAMENTO POR BM, UTILIZE A ABA CRONO",
  IF(MAX($B$14:$B$65)&lt;MAX(CÁLCULO!$M$15:$M$240),"ERRO: NÚMERO DE EVENTOS INSUFICIENTE, CLIQUE EM ATUALIZAR LINHAS",
  IF(ROUND(OFFSET(CRONO!$AG$66,0,-1),2)&lt;&gt;CRONO!$R$57,"ERRO: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686"/>
      <c r="C8" s="688"/>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MATCH(VALUE(A8),CÁLCULO!$M$15:$M$240,0)-2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69" t="s">
        <v>760</v>
      </c>
      <c r="C12" s="76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69"/>
      <c r="C13" s="76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IF(AUTOEVENTO="Manual",IF(EVENTOS!$F15&gt;0,"F",""),IF(AND(B15&gt;0,B15&lt;=MAX(CÁLCULO!$M$15:$M$240)),"F",""))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IF(AUTOEVENTO="Manual",IF(EVENTOS!$F16&gt;0,"F",""),IF(AND(B16&gt;0,B16&lt;=MAX(CÁLCULO!$M$15:$M$240)),"F",""))</f>
        <v>F</v>
      </c>
      <c r="B16" s="247">
        <f t="shared" ref="B16:B64" ca="1" si="1">OFFSET(B16,-1,0)+1</f>
        <v>1</v>
      </c>
      <c r="C16" s="514" t="str">
        <f ca="1">IF(AUTOEVENTO="Manual",IF($B16&gt;0,OFFSET(EVENTOS!$D$15,$B16-$B$15,0),0),IF(B16&lt;=MAX(CÁLCULO!$M$15:$M$240),VLOOKUP($B16,CÁLCULO!$M$15:$N$240,2,FALSE),0))</f>
        <v>ADMINISTRAÇÃO DE OBRA</v>
      </c>
      <c r="D16" s="554"/>
      <c r="E16" s="248"/>
      <c r="F16" t="str">
        <f t="shared" ref="F16:F64" ca="1" si="2">IF($C16=0,"",CONCATENATE($B16,". ",$C16))</f>
        <v>1. ADMINISTRAÇÃO DE OBRA</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IF(AUTOEVENTO="Manual",IF(EVENTOS!$F17&gt;0,"F",""),IF(AND(B17&gt;0,B17&lt;=MAX(CÁLCULO!$M$15:$M$240)),"F",""))</f>
        <v>F</v>
      </c>
      <c r="B17" s="247">
        <f t="shared" ca="1" si="1"/>
        <v>2</v>
      </c>
      <c r="C17" s="514" t="str">
        <f ca="1">IF(AUTOEVENTO="Manual",IF($B17&gt;0,OFFSET(EVENTOS!$D$15,$B17-$B$15,0),0),IF(B17&lt;=MAX(CÁLCULO!$M$15:$M$240),VLOOKUP($B17,CÁLCULO!$M$15:$N$240,2,FALSE),0))</f>
        <v>PLACA DE OBRA</v>
      </c>
      <c r="D17" s="554"/>
      <c r="E17" s="248"/>
      <c r="F17" t="str">
        <f t="shared" ca="1" si="2"/>
        <v>2. PLACA DE OBRA</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IF(AUTOEVENTO="Manual",IF(EVENTOS!$F18&gt;0,"F",""),IF(AND(B18&gt;0,B18&lt;=MAX(CÁLCULO!$M$15:$M$240)),"F",""))</f>
        <v>F</v>
      </c>
      <c r="B18" s="247">
        <f t="shared" ca="1" si="1"/>
        <v>3</v>
      </c>
      <c r="C18" s="514" t="str">
        <f ca="1">IF(AUTOEVENTO="Manual",IF($B18&gt;0,OFFSET(EVENTOS!$D$15,$B18-$B$15,0),0),IF(B18&lt;=MAX(CÁLCULO!$M$15:$M$240),VLOOKUP($B18,CÁLCULO!$M$15:$N$240,2,FALSE),0))</f>
        <v>SERVIÇOS PRELIMINARES</v>
      </c>
      <c r="D18" s="554"/>
      <c r="E18" s="248"/>
      <c r="F18" t="str">
        <f t="shared" ca="1" si="2"/>
        <v>3. SERVIÇOS PRELIMINARES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IF(AUTOEVENTO="Manual",IF(EVENTOS!$F19&gt;0,"F",""),IF(AND(B19&gt;0,B19&lt;=MAX(CÁLCULO!$M$15:$M$240)),"F",""))</f>
        <v>F</v>
      </c>
      <c r="B19" s="247">
        <f t="shared" ca="1" si="1"/>
        <v>4</v>
      </c>
      <c r="C19" s="514" t="str">
        <f ca="1">IF(AUTOEVENTO="Manual",IF($B19&gt;0,OFFSET(EVENTOS!$D$15,$B19-$B$15,0),0),IF(B19&lt;=MAX(CÁLCULO!$M$15:$M$240),VLOOKUP($B19,CÁLCULO!$M$15:$N$240,2,FALSE),0))</f>
        <v>INFRAESTRUTURA</v>
      </c>
      <c r="D19" s="554"/>
      <c r="E19" s="248"/>
      <c r="F19" t="str">
        <f t="shared" ca="1" si="2"/>
        <v>4. INFRAESTRUTURA</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IF(AUTOEVENTO="Manual",IF(EVENTOS!$F20&gt;0,"F",""),IF(AND(B20&gt;0,B20&lt;=MAX(CÁLCULO!$M$15:$M$240)),"F",""))</f>
        <v>F</v>
      </c>
      <c r="B20" s="247">
        <f t="shared" ca="1" si="1"/>
        <v>5</v>
      </c>
      <c r="C20" s="514" t="str">
        <f ca="1">IF(AUTOEVENTO="Manual",IF($B20&gt;0,OFFSET(EVENTOS!$D$15,$B20-$B$15,0),0),IF(B20&lt;=MAX(CÁLCULO!$M$15:$M$240),VLOOKUP($B20,CÁLCULO!$M$15:$N$240,2,FALSE),0))</f>
        <v>ALVENARIAS E VEDAÇÕES</v>
      </c>
      <c r="D20" s="554"/>
      <c r="E20" s="248"/>
      <c r="F20" t="str">
        <f t="shared" ca="1" si="2"/>
        <v>5. ALVENARIAS E VEDAÇÕES</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IF(AUTOEVENTO="Manual",IF(EVENTOS!$F21&gt;0,"F",""),IF(AND(B21&gt;0,B21&lt;=MAX(CÁLCULO!$M$15:$M$240)),"F",""))</f>
        <v>F</v>
      </c>
      <c r="B21" s="247">
        <f t="shared" ca="1" si="1"/>
        <v>6</v>
      </c>
      <c r="C21" s="514" t="str">
        <f ca="1">IF(AUTOEVENTO="Manual",IF($B21&gt;0,OFFSET(EVENTOS!$D$15,$B21-$B$15,0),0),IF(B21&lt;=MAX(CÁLCULO!$M$15:$M$240),VLOOKUP($B21,CÁLCULO!$M$15:$N$240,2,FALSE),0))</f>
        <v>COBERTURA</v>
      </c>
      <c r="D21" s="554"/>
      <c r="E21" s="248"/>
      <c r="F21" t="str">
        <f t="shared" ca="1" si="2"/>
        <v>6. COBERTURA</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IF(AUTOEVENTO="Manual",IF(EVENTOS!$F22&gt;0,"F",""),IF(AND(B22&gt;0,B22&lt;=MAX(CÁLCULO!$M$15:$M$240)),"F",""))</f>
        <v>F</v>
      </c>
      <c r="B22" s="247">
        <f t="shared" ca="1" si="1"/>
        <v>7</v>
      </c>
      <c r="C22" s="514" t="str">
        <f ca="1">IF(AUTOEVENTO="Manual",IF($B22&gt;0,OFFSET(EVENTOS!$D$15,$B22-$B$15,0),0),IF(B22&lt;=MAX(CÁLCULO!$M$15:$M$240),VLOOKUP($B22,CÁLCULO!$M$15:$N$240,2,FALSE),0))</f>
        <v>ESQUADRIAS</v>
      </c>
      <c r="D22" s="554"/>
      <c r="E22" s="248"/>
      <c r="F22" t="str">
        <f t="shared" ca="1" si="2"/>
        <v>7. ESQUADRIAS</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IF(AUTOEVENTO="Manual",IF(EVENTOS!$F23&gt;0,"F",""),IF(AND(B23&gt;0,B23&lt;=MAX(CÁLCULO!$M$15:$M$240)),"F",""))</f>
        <v>F</v>
      </c>
      <c r="B23" s="247">
        <f t="shared" ca="1" si="1"/>
        <v>8</v>
      </c>
      <c r="C23" s="514" t="str">
        <f ca="1">IF(AUTOEVENTO="Manual",IF($B23&gt;0,OFFSET(EVENTOS!$D$15,$B23-$B$15,0),0),IF(B23&lt;=MAX(CÁLCULO!$M$15:$M$240),VLOOKUP($B23,CÁLCULO!$M$15:$N$240,2,FALSE),0))</f>
        <v>INSTALAÇÕES HIDROSSANITARIAS</v>
      </c>
      <c r="D23" s="554"/>
      <c r="E23" s="248"/>
      <c r="F23" t="str">
        <f t="shared" ca="1" si="2"/>
        <v>8. INSTALAÇÕES HIDROSSANITARIAS</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IF(AUTOEVENTO="Manual",IF(EVENTOS!$F24&gt;0,"F",""),IF(AND(B24&gt;0,B24&lt;=MAX(CÁLCULO!$M$15:$M$240)),"F",""))</f>
        <v>F</v>
      </c>
      <c r="B24" s="247">
        <f t="shared" ca="1" si="1"/>
        <v>9</v>
      </c>
      <c r="C24" s="514" t="str">
        <f ca="1">IF(AUTOEVENTO="Manual",IF($B24&gt;0,OFFSET(EVENTOS!$D$15,$B24-$B$15,0),0),IF(B24&lt;=MAX(CÁLCULO!$M$15:$M$240),VLOOKUP($B24,CÁLCULO!$M$15:$N$240,2,FALSE),0))</f>
        <v>INSTALAÇÕES ELÉTRICAS</v>
      </c>
      <c r="D24" s="554"/>
      <c r="E24" s="248"/>
      <c r="F24" t="str">
        <f t="shared" ca="1" si="2"/>
        <v>9. INSTALAÇÕES ELÉTRICAS</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IF(AUTOEVENTO="Manual",IF(EVENTOS!$F25&gt;0,"F",""),IF(AND(B25&gt;0,B25&lt;=MAX(CÁLCULO!$M$15:$M$240)),"F",""))</f>
        <v>F</v>
      </c>
      <c r="B25" s="247">
        <f t="shared" ca="1" si="1"/>
        <v>10</v>
      </c>
      <c r="C25" s="514" t="str">
        <f ca="1">IF(AUTOEVENTO="Manual",IF($B25&gt;0,OFFSET(EVENTOS!$D$15,$B25-$B$15,0),0),IF(B25&lt;=MAX(CÁLCULO!$M$15:$M$240),VLOOKUP($B25,CÁLCULO!$M$15:$N$240,2,FALSE),0))</f>
        <v>REVESTIMENTOS</v>
      </c>
      <c r="D25" s="554"/>
      <c r="E25" s="248"/>
      <c r="F25" t="str">
        <f t="shared" ca="1" si="2"/>
        <v>10. REVESTIMENTOS</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IF(AUTOEVENTO="Manual",IF(EVENTOS!$F26&gt;0,"F",""),IF(AND(B26&gt;0,B26&lt;=MAX(CÁLCULO!$M$15:$M$240)),"F",""))</f>
        <v>F</v>
      </c>
      <c r="B26" s="247">
        <f t="shared" ca="1" si="1"/>
        <v>11</v>
      </c>
      <c r="C26" s="514" t="str">
        <f ca="1">IF(AUTOEVENTO="Manual",IF($B26&gt;0,OFFSET(EVENTOS!$D$15,$B26-$B$15,0),0),IF(B26&lt;=MAX(CÁLCULO!$M$15:$M$240),VLOOKUP($B26,CÁLCULO!$M$15:$N$240,2,FALSE),0))</f>
        <v>FORROS</v>
      </c>
      <c r="D26" s="554"/>
      <c r="E26" s="248"/>
      <c r="F26" t="str">
        <f t="shared" ca="1" si="2"/>
        <v>11. FORROS</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IF(AUTOEVENTO="Manual",IF(EVENTOS!$F27&gt;0,"F",""),IF(AND(B27&gt;0,B27&lt;=MAX(CÁLCULO!$M$15:$M$240)),"F",""))</f>
        <v>F</v>
      </c>
      <c r="B27" s="247">
        <f t="shared" ca="1" si="1"/>
        <v>12</v>
      </c>
      <c r="C27" s="514" t="str">
        <f ca="1">IF(AUTOEVENTO="Manual",IF($B27&gt;0,OFFSET(EVENTOS!$D$15,$B27-$B$15,0),0),IF(B27&lt;=MAX(CÁLCULO!$M$15:$M$240),VLOOKUP($B27,CÁLCULO!$M$15:$N$240,2,FALSE),0))</f>
        <v>PINTURAS</v>
      </c>
      <c r="D27" s="554"/>
      <c r="E27" s="248"/>
      <c r="F27" t="str">
        <f t="shared" ca="1" si="2"/>
        <v>12. PINTURAS</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IF(AUTOEVENTO="Manual",IF(EVENTOS!$F28&gt;0,"F",""),IF(AND(B28&gt;0,B28&lt;=MAX(CÁLCULO!$M$15:$M$240)),"F",""))</f>
        <v>F</v>
      </c>
      <c r="B28" s="247">
        <f t="shared" ca="1" si="1"/>
        <v>13</v>
      </c>
      <c r="C28" s="514" t="str">
        <f ca="1">IF(AUTOEVENTO="Manual",IF($B28&gt;0,OFFSET(EVENTOS!$D$15,$B28-$B$15,0),0),IF(B28&lt;=MAX(CÁLCULO!$M$15:$M$240),VLOOKUP($B28,CÁLCULO!$M$15:$N$240,2,FALSE),0))</f>
        <v>LIMPEZA FINAL DE OBRA</v>
      </c>
      <c r="D28" s="554"/>
      <c r="E28" s="248"/>
      <c r="F28" t="str">
        <f t="shared" ca="1" si="2"/>
        <v>13. LIMPEZA FINAL DE OBRA</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IF(AUTOEVENTO="Manual",IF(EVENTOS!$F29&gt;0,"F",""),IF(AND(B29&gt;0,B29&lt;=MAX(CÁLCULO!$M$15:$M$240)),"F",""))</f>
        <v/>
      </c>
      <c r="B29" s="247">
        <f t="shared" ca="1" si="1"/>
        <v>14</v>
      </c>
      <c r="C29" s="514">
        <f ca="1">IF(AUTOEVENTO="Manual",IF($B29&gt;0,OFFSET(EVENTOS!$D$15,$B29-$B$15,0),0),IF(B29&lt;=MAX(CÁLCULO!$M$15:$M$240),VLOOKUP($B29,CÁLCULO!$M$15:$N$240,2,FALSE),0))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IF(AUTOEVENTO="Manual",IF(EVENTOS!$F30&gt;0,"F",""),IF(AND(B30&gt;0,B30&lt;=MAX(CÁLCULO!$M$15:$M$240)),"F",""))</f>
        <v/>
      </c>
      <c r="B30" s="247">
        <f t="shared" ca="1" si="1"/>
        <v>15</v>
      </c>
      <c r="C30" s="514">
        <f ca="1">IF(AUTOEVENTO="Manual",IF($B30&gt;0,OFFSET(EVENTOS!$D$15,$B30-$B$15,0),0),IF(B30&lt;=MAX(CÁLCULO!$M$15:$M$240),VLOOKUP($B30,CÁLCULO!$M$15:$N$240,2,FALSE),0))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IF(AUTOEVENTO="Manual",IF(EVENTOS!$F31&gt;0,"F",""),IF(AND(B31&gt;0,B31&lt;=MAX(CÁLCULO!$M$15:$M$240)),"F",""))</f>
        <v/>
      </c>
      <c r="B31" s="247">
        <f t="shared" ca="1" si="1"/>
        <v>16</v>
      </c>
      <c r="C31" s="514">
        <f ca="1">IF(AUTOEVENTO="Manual",IF($B31&gt;0,OFFSET(EVENTOS!$D$15,$B31-$B$15,0),0),IF(B31&lt;=MAX(CÁLCULO!$M$15:$M$240),VLOOKUP($B31,CÁLCULO!$M$15:$N$240,2,FALSE),0))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IF(AUTOEVENTO="Manual",IF(EVENTOS!$F32&gt;0,"F",""),IF(AND(B32&gt;0,B32&lt;=MAX(CÁLCULO!$M$15:$M$240)),"F",""))</f>
        <v/>
      </c>
      <c r="B32" s="247">
        <f t="shared" ca="1" si="1"/>
        <v>17</v>
      </c>
      <c r="C32" s="514">
        <f ca="1">IF(AUTOEVENTO="Manual",IF($B32&gt;0,OFFSET(EVENTOS!$D$15,$B32-$B$15,0),0),IF(B32&lt;=MAX(CÁLCULO!$M$15:$M$240),VLOOKUP($B32,CÁLCULO!$M$15:$N$240,2,FALSE),0))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IF(AUTOEVENTO="Manual",IF(EVENTOS!$F33&gt;0,"F",""),IF(AND(B33&gt;0,B33&lt;=MAX(CÁLCULO!$M$15:$M$240)),"F",""))</f>
        <v/>
      </c>
      <c r="B33" s="247">
        <f t="shared" ca="1" si="1"/>
        <v>18</v>
      </c>
      <c r="C33" s="514">
        <f ca="1">IF(AUTOEVENTO="Manual",IF($B33&gt;0,OFFSET(EVENTOS!$D$15,$B33-$B$15,0),0),IF(B33&lt;=MAX(CÁLCULO!$M$15:$M$240),VLOOKUP($B33,CÁLCULO!$M$15:$N$240,2,FALSE),0))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IF(AUTOEVENTO="Manual",IF(EVENTOS!$F34&gt;0,"F",""),IF(AND(B34&gt;0,B34&lt;=MAX(CÁLCULO!$M$15:$M$240)),"F",""))</f>
        <v/>
      </c>
      <c r="B34" s="247">
        <f t="shared" ca="1" si="1"/>
        <v>19</v>
      </c>
      <c r="C34" s="514">
        <f ca="1">IF(AUTOEVENTO="Manual",IF($B34&gt;0,OFFSET(EVENTOS!$D$15,$B34-$B$15,0),0),IF(B34&lt;=MAX(CÁLCULO!$M$15:$M$240),VLOOKUP($B34,CÁLCULO!$M$15:$N$240,2,FALSE),0))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IF(AUTOEVENTO="Manual",IF(EVENTOS!$F35&gt;0,"F",""),IF(AND(B35&gt;0,B35&lt;=MAX(CÁLCULO!$M$15:$M$240)),"F",""))</f>
        <v/>
      </c>
      <c r="B35" s="247">
        <f t="shared" ca="1" si="1"/>
        <v>20</v>
      </c>
      <c r="C35" s="514">
        <f ca="1">IF(AUTOEVENTO="Manual",IF($B35&gt;0,OFFSET(EVENTOS!$D$15,$B35-$B$15,0),0),IF(B35&lt;=MAX(CÁLCULO!$M$15:$M$240),VLOOKUP($B35,CÁLCULO!$M$15:$N$240,2,FALSE),0))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IF(AUTOEVENTO="Manual",IF(EVENTOS!$F36&gt;0,"F",""),IF(AND(B36&gt;0,B36&lt;=MAX(CÁLCULO!$M$15:$M$240)),"F",""))</f>
        <v/>
      </c>
      <c r="B36" s="247">
        <f t="shared" ca="1" si="1"/>
        <v>21</v>
      </c>
      <c r="C36" s="514">
        <f ca="1">IF(AUTOEVENTO="Manual",IF($B36&gt;0,OFFSET(EVENTOS!$D$15,$B36-$B$15,0),0),IF(B36&lt;=MAX(CÁLCULO!$M$15:$M$240),VLOOKUP($B36,CÁLCULO!$M$15:$N$240,2,FALSE),0))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IF(AUTOEVENTO="Manual",IF(EVENTOS!$F37&gt;0,"F",""),IF(AND(B37&gt;0,B37&lt;=MAX(CÁLCULO!$M$15:$M$240)),"F",""))</f>
        <v/>
      </c>
      <c r="B37" s="247">
        <f t="shared" ca="1" si="1"/>
        <v>22</v>
      </c>
      <c r="C37" s="514">
        <f ca="1">IF(AUTOEVENTO="Manual",IF($B37&gt;0,OFFSET(EVENTOS!$D$15,$B37-$B$15,0),0),IF(B37&lt;=MAX(CÁLCULO!$M$15:$M$240),VLOOKUP($B37,CÁLCULO!$M$15:$N$240,2,FALSE),0))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IF(AUTOEVENTO="Manual",IF(EVENTOS!$F38&gt;0,"F",""),IF(AND(B38&gt;0,B38&lt;=MAX(CÁLCULO!$M$15:$M$240)),"F",""))</f>
        <v/>
      </c>
      <c r="B38" s="247">
        <f t="shared" ca="1" si="1"/>
        <v>23</v>
      </c>
      <c r="C38" s="514">
        <f ca="1">IF(AUTOEVENTO="Manual",IF($B38&gt;0,OFFSET(EVENTOS!$D$15,$B38-$B$15,0),0),IF(B38&lt;=MAX(CÁLCULO!$M$15:$M$240),VLOOKUP($B38,CÁLCULO!$M$15:$N$240,2,FALSE),0))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IF(AUTOEVENTO="Manual",IF(EVENTOS!$F39&gt;0,"F",""),IF(AND(B39&gt;0,B39&lt;=MAX(CÁLCULO!$M$15:$M$240)),"F",""))</f>
        <v/>
      </c>
      <c r="B39" s="247">
        <f t="shared" ca="1" si="1"/>
        <v>24</v>
      </c>
      <c r="C39" s="514">
        <f ca="1">IF(AUTOEVENTO="Manual",IF($B39&gt;0,OFFSET(EVENTOS!$D$15,$B39-$B$15,0),0),IF(B39&lt;=MAX(CÁLCULO!$M$15:$M$240),VLOOKUP($B39,CÁLCULO!$M$15:$N$240,2,FALSE),0))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IF(AUTOEVENTO="Manual",IF(EVENTOS!$F40&gt;0,"F",""),IF(AND(B40&gt;0,B40&lt;=MAX(CÁLCULO!$M$15:$M$240)),"F",""))</f>
        <v/>
      </c>
      <c r="B40" s="247">
        <f t="shared" ca="1" si="1"/>
        <v>25</v>
      </c>
      <c r="C40" s="514">
        <f ca="1">IF(AUTOEVENTO="Manual",IF($B40&gt;0,OFFSET(EVENTOS!$D$15,$B40-$B$15,0),0),IF(B40&lt;=MAX(CÁLCULO!$M$15:$M$240),VLOOKUP($B40,CÁLCULO!$M$15:$N$240,2,FALSE),0))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IF(AUTOEVENTO="Manual",IF(EVENTOS!$F41&gt;0,"F",""),IF(AND(B41&gt;0,B41&lt;=MAX(CÁLCULO!$M$15:$M$240)),"F",""))</f>
        <v/>
      </c>
      <c r="B41" s="247">
        <f t="shared" ca="1" si="1"/>
        <v>26</v>
      </c>
      <c r="C41" s="514">
        <f ca="1">IF(AUTOEVENTO="Manual",IF($B41&gt;0,OFFSET(EVENTOS!$D$15,$B41-$B$15,0),0),IF(B41&lt;=MAX(CÁLCULO!$M$15:$M$240),VLOOKUP($B41,CÁLCULO!$M$15:$N$240,2,FALSE),0))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IF(AUTOEVENTO="Manual",IF(EVENTOS!$F42&gt;0,"F",""),IF(AND(B42&gt;0,B42&lt;=MAX(CÁLCULO!$M$15:$M$240)),"F",""))</f>
        <v/>
      </c>
      <c r="B42" s="247">
        <f t="shared" ca="1" si="1"/>
        <v>27</v>
      </c>
      <c r="C42" s="514">
        <f ca="1">IF(AUTOEVENTO="Manual",IF($B42&gt;0,OFFSET(EVENTOS!$D$15,$B42-$B$15,0),0),IF(B42&lt;=MAX(CÁLCULO!$M$15:$M$240),VLOOKUP($B42,CÁLCULO!$M$15:$N$240,2,FALSE),0))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IF(AUTOEVENTO="Manual",IF(EVENTOS!$F43&gt;0,"F",""),IF(AND(B43&gt;0,B43&lt;=MAX(CÁLCULO!$M$15:$M$240)),"F",""))</f>
        <v/>
      </c>
      <c r="B43" s="247">
        <f t="shared" ca="1" si="1"/>
        <v>28</v>
      </c>
      <c r="C43" s="514">
        <f ca="1">IF(AUTOEVENTO="Manual",IF($B43&gt;0,OFFSET(EVENTOS!$D$15,$B43-$B$15,0),0),IF(B43&lt;=MAX(CÁLCULO!$M$15:$M$240),VLOOKUP($B43,CÁLCULO!$M$15:$N$240,2,FALSE),0))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IF(AUTOEVENTO="Manual",IF(EVENTOS!$F44&gt;0,"F",""),IF(AND(B44&gt;0,B44&lt;=MAX(CÁLCULO!$M$15:$M$240)),"F",""))</f>
        <v/>
      </c>
      <c r="B44" s="247">
        <f t="shared" ca="1" si="1"/>
        <v>29</v>
      </c>
      <c r="C44" s="514">
        <f ca="1">IF(AUTOEVENTO="Manual",IF($B44&gt;0,OFFSET(EVENTOS!$D$15,$B44-$B$15,0),0),IF(B44&lt;=MAX(CÁLCULO!$M$15:$M$240),VLOOKUP($B44,CÁLCULO!$M$15:$N$240,2,FALSE),0))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IF(AUTOEVENTO="Manual",IF(EVENTOS!$F45&gt;0,"F",""),IF(AND(B45&gt;0,B45&lt;=MAX(CÁLCULO!$M$15:$M$240)),"F",""))</f>
        <v/>
      </c>
      <c r="B45" s="247">
        <f t="shared" ca="1" si="1"/>
        <v>30</v>
      </c>
      <c r="C45" s="514">
        <f ca="1">IF(AUTOEVENTO="Manual",IF($B45&gt;0,OFFSET(EVENTOS!$D$15,$B45-$B$15,0),0),IF(B45&lt;=MAX(CÁLCULO!$M$15:$M$240),VLOOKUP($B45,CÁLCULO!$M$15:$N$240,2,FALSE),0))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IF(AUTOEVENTO="Manual",IF(EVENTOS!$F46&gt;0,"F",""),IF(AND(B46&gt;0,B46&lt;=MAX(CÁLCULO!$M$15:$M$240)),"F",""))</f>
        <v/>
      </c>
      <c r="B46" s="247">
        <f t="shared" ca="1" si="1"/>
        <v>31</v>
      </c>
      <c r="C46" s="514">
        <f ca="1">IF(AUTOEVENTO="Manual",IF($B46&gt;0,OFFSET(EVENTOS!$D$15,$B46-$B$15,0),0),IF(B46&lt;=MAX(CÁLCULO!$M$15:$M$240),VLOOKUP($B46,CÁLCULO!$M$15:$N$240,2,FALSE),0))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IF(AUTOEVENTO="Manual",IF(EVENTOS!$F47&gt;0,"F",""),IF(AND(B47&gt;0,B47&lt;=MAX(CÁLCULO!$M$15:$M$240)),"F",""))</f>
        <v/>
      </c>
      <c r="B47" s="247">
        <f t="shared" ca="1" si="1"/>
        <v>32</v>
      </c>
      <c r="C47" s="514">
        <f ca="1">IF(AUTOEVENTO="Manual",IF($B47&gt;0,OFFSET(EVENTOS!$D$15,$B47-$B$15,0),0),IF(B47&lt;=MAX(CÁLCULO!$M$15:$M$240),VLOOKUP($B47,CÁLCULO!$M$15:$N$240,2,FALSE),0))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IF(AUTOEVENTO="Manual",IF(EVENTOS!$F48&gt;0,"F",""),IF(AND(B48&gt;0,B48&lt;=MAX(CÁLCULO!$M$15:$M$240)),"F",""))</f>
        <v/>
      </c>
      <c r="B48" s="247">
        <f t="shared" ca="1" si="1"/>
        <v>33</v>
      </c>
      <c r="C48" s="514">
        <f ca="1">IF(AUTOEVENTO="Manual",IF($B48&gt;0,OFFSET(EVENTOS!$D$15,$B48-$B$15,0),0),IF(B48&lt;=MAX(CÁLCULO!$M$15:$M$240),VLOOKUP($B48,CÁLCULO!$M$15:$N$240,2,FALSE),0))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IF(AUTOEVENTO="Manual",IF(EVENTOS!$F49&gt;0,"F",""),IF(AND(B49&gt;0,B49&lt;=MAX(CÁLCULO!$M$15:$M$240)),"F",""))</f>
        <v/>
      </c>
      <c r="B49" s="247">
        <f t="shared" ca="1" si="1"/>
        <v>34</v>
      </c>
      <c r="C49" s="514">
        <f ca="1">IF(AUTOEVENTO="Manual",IF($B49&gt;0,OFFSET(EVENTOS!$D$15,$B49-$B$15,0),0),IF(B49&lt;=MAX(CÁLCULO!$M$15:$M$240),VLOOKUP($B49,CÁLCULO!$M$15:$N$240,2,FALSE),0))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IF(AUTOEVENTO="Manual",IF(EVENTOS!$F50&gt;0,"F",""),IF(AND(B50&gt;0,B50&lt;=MAX(CÁLCULO!$M$15:$M$240)),"F",""))</f>
        <v/>
      </c>
      <c r="B50" s="247">
        <f t="shared" ca="1" si="1"/>
        <v>35</v>
      </c>
      <c r="C50" s="514">
        <f ca="1">IF(AUTOEVENTO="Manual",IF($B50&gt;0,OFFSET(EVENTOS!$D$15,$B50-$B$15,0),0),IF(B50&lt;=MAX(CÁLCULO!$M$15:$M$240),VLOOKUP($B50,CÁLCULO!$M$15:$N$240,2,FALSE),0))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IF(AUTOEVENTO="Manual",IF(EVENTOS!$F51&gt;0,"F",""),IF(AND(B51&gt;0,B51&lt;=MAX(CÁLCULO!$M$15:$M$240)),"F",""))</f>
        <v/>
      </c>
      <c r="B51" s="247">
        <f t="shared" ca="1" si="1"/>
        <v>36</v>
      </c>
      <c r="C51" s="514">
        <f ca="1">IF(AUTOEVENTO="Manual",IF($B51&gt;0,OFFSET(EVENTOS!$D$15,$B51-$B$15,0),0),IF(B51&lt;=MAX(CÁLCULO!$M$15:$M$240),VLOOKUP($B51,CÁLCULO!$M$15:$N$240,2,FALSE),0))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IF(AUTOEVENTO="Manual",IF(EVENTOS!$F52&gt;0,"F",""),IF(AND(B52&gt;0,B52&lt;=MAX(CÁLCULO!$M$15:$M$240)),"F",""))</f>
        <v/>
      </c>
      <c r="B52" s="247">
        <f t="shared" ca="1" si="1"/>
        <v>37</v>
      </c>
      <c r="C52" s="514">
        <f ca="1">IF(AUTOEVENTO="Manual",IF($B52&gt;0,OFFSET(EVENTOS!$D$15,$B52-$B$15,0),0),IF(B52&lt;=MAX(CÁLCULO!$M$15:$M$240),VLOOKUP($B52,CÁLCULO!$M$15:$N$240,2,FALSE),0))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IF(AUTOEVENTO="Manual",IF(EVENTOS!$F53&gt;0,"F",""),IF(AND(B53&gt;0,B53&lt;=MAX(CÁLCULO!$M$15:$M$240)),"F",""))</f>
        <v/>
      </c>
      <c r="B53" s="247">
        <f t="shared" ca="1" si="1"/>
        <v>38</v>
      </c>
      <c r="C53" s="514">
        <f ca="1">IF(AUTOEVENTO="Manual",IF($B53&gt;0,OFFSET(EVENTOS!$D$15,$B53-$B$15,0),0),IF(B53&lt;=MAX(CÁLCULO!$M$15:$M$240),VLOOKUP($B53,CÁLCULO!$M$15:$N$240,2,FALSE),0))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IF(AUTOEVENTO="Manual",IF(EVENTOS!$F54&gt;0,"F",""),IF(AND(B54&gt;0,B54&lt;=MAX(CÁLCULO!$M$15:$M$240)),"F",""))</f>
        <v/>
      </c>
      <c r="B54" s="247">
        <f t="shared" ca="1" si="1"/>
        <v>39</v>
      </c>
      <c r="C54" s="514">
        <f ca="1">IF(AUTOEVENTO="Manual",IF($B54&gt;0,OFFSET(EVENTOS!$D$15,$B54-$B$15,0),0),IF(B54&lt;=MAX(CÁLCULO!$M$15:$M$240),VLOOKUP($B54,CÁLCULO!$M$15:$N$240,2,FALSE),0))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IF(AUTOEVENTO="Manual",IF(EVENTOS!$F55&gt;0,"F",""),IF(AND(B55&gt;0,B55&lt;=MAX(CÁLCULO!$M$15:$M$240)),"F",""))</f>
        <v/>
      </c>
      <c r="B55" s="247">
        <f t="shared" ca="1" si="1"/>
        <v>40</v>
      </c>
      <c r="C55" s="514">
        <f ca="1">IF(AUTOEVENTO="Manual",IF($B55&gt;0,OFFSET(EVENTOS!$D$15,$B55-$B$15,0),0),IF(B55&lt;=MAX(CÁLCULO!$M$15:$M$240),VLOOKUP($B55,CÁLCULO!$M$15:$N$240,2,FALSE),0))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IF(AUTOEVENTO="Manual",IF(EVENTOS!$F56&gt;0,"F",""),IF(AND(B56&gt;0,B56&lt;=MAX(CÁLCULO!$M$15:$M$240)),"F",""))</f>
        <v/>
      </c>
      <c r="B56" s="247">
        <f t="shared" ca="1" si="1"/>
        <v>41</v>
      </c>
      <c r="C56" s="514">
        <f ca="1">IF(AUTOEVENTO="Manual",IF($B56&gt;0,OFFSET(EVENTOS!$D$15,$B56-$B$15,0),0),IF(B56&lt;=MAX(CÁLCULO!$M$15:$M$240),VLOOKUP($B56,CÁLCULO!$M$15:$N$240,2,FALSE),0))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IF(AUTOEVENTO="Manual",IF(EVENTOS!$F57&gt;0,"F",""),IF(AND(B57&gt;0,B57&lt;=MAX(CÁLCULO!$M$15:$M$240)),"F",""))</f>
        <v/>
      </c>
      <c r="B57" s="247">
        <f t="shared" ca="1" si="1"/>
        <v>42</v>
      </c>
      <c r="C57" s="514">
        <f ca="1">IF(AUTOEVENTO="Manual",IF($B57&gt;0,OFFSET(EVENTOS!$D$15,$B57-$B$15,0),0),IF(B57&lt;=MAX(CÁLCULO!$M$15:$M$240),VLOOKUP($B57,CÁLCULO!$M$15:$N$240,2,FALSE),0))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IF(AUTOEVENTO="Manual",IF(EVENTOS!$F58&gt;0,"F",""),IF(AND(B58&gt;0,B58&lt;=MAX(CÁLCULO!$M$15:$M$240)),"F",""))</f>
        <v/>
      </c>
      <c r="B58" s="247">
        <f t="shared" ca="1" si="1"/>
        <v>43</v>
      </c>
      <c r="C58" s="514">
        <f ca="1">IF(AUTOEVENTO="Manual",IF($B58&gt;0,OFFSET(EVENTOS!$D$15,$B58-$B$15,0),0),IF(B58&lt;=MAX(CÁLCULO!$M$15:$M$240),VLOOKUP($B58,CÁLCULO!$M$15:$N$240,2,FALSE),0))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IF(AUTOEVENTO="Manual",IF(EVENTOS!$F59&gt;0,"F",""),IF(AND(B59&gt;0,B59&lt;=MAX(CÁLCULO!$M$15:$M$240)),"F",""))</f>
        <v/>
      </c>
      <c r="B59" s="247">
        <f t="shared" ca="1" si="1"/>
        <v>44</v>
      </c>
      <c r="C59" s="514">
        <f ca="1">IF(AUTOEVENTO="Manual",IF($B59&gt;0,OFFSET(EVENTOS!$D$15,$B59-$B$15,0),0),IF(B59&lt;=MAX(CÁLCULO!$M$15:$M$240),VLOOKUP($B59,CÁLCULO!$M$15:$N$240,2,FALSE),0))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IF(AUTOEVENTO="Manual",IF(EVENTOS!$F60&gt;0,"F",""),IF(AND(B60&gt;0,B60&lt;=MAX(CÁLCULO!$M$15:$M$240)),"F",""))</f>
        <v/>
      </c>
      <c r="B60" s="247">
        <f t="shared" ca="1" si="1"/>
        <v>45</v>
      </c>
      <c r="C60" s="514">
        <f ca="1">IF(AUTOEVENTO="Manual",IF($B60&gt;0,OFFSET(EVENTOS!$D$15,$B60-$B$15,0),0),IF(B60&lt;=MAX(CÁLCULO!$M$15:$M$240),VLOOKUP($B60,CÁLCULO!$M$15:$N$240,2,FALSE),0))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IF(AUTOEVENTO="Manual",IF(EVENTOS!$F61&gt;0,"F",""),IF(AND(B61&gt;0,B61&lt;=MAX(CÁLCULO!$M$15:$M$240)),"F",""))</f>
        <v/>
      </c>
      <c r="B61" s="247">
        <f t="shared" ca="1" si="1"/>
        <v>46</v>
      </c>
      <c r="C61" s="514">
        <f ca="1">IF(AUTOEVENTO="Manual",IF($B61&gt;0,OFFSET(EVENTOS!$D$15,$B61-$B$15,0),0),IF(B61&lt;=MAX(CÁLCULO!$M$15:$M$240),VLOOKUP($B61,CÁLCULO!$M$15:$N$240,2,FALSE),0))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IF(AUTOEVENTO="Manual",IF(EVENTOS!$F62&gt;0,"F",""),IF(AND(B62&gt;0,B62&lt;=MAX(CÁLCULO!$M$15:$M$240)),"F",""))</f>
        <v/>
      </c>
      <c r="B62" s="247">
        <f t="shared" ca="1" si="1"/>
        <v>47</v>
      </c>
      <c r="C62" s="514">
        <f ca="1">IF(AUTOEVENTO="Manual",IF($B62&gt;0,OFFSET(EVENTOS!$D$15,$B62-$B$15,0),0),IF(B62&lt;=MAX(CÁLCULO!$M$15:$M$240),VLOOKUP($B62,CÁLCULO!$M$15:$N$240,2,FALSE),0))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IF(AUTOEVENTO="Manual",IF(EVENTOS!$F63&gt;0,"F",""),IF(AND(B63&gt;0,B63&lt;=MAX(CÁLCULO!$M$15:$M$240)),"F",""))</f>
        <v/>
      </c>
      <c r="B63" s="247">
        <f t="shared" ca="1" si="1"/>
        <v>48</v>
      </c>
      <c r="C63" s="514">
        <f ca="1">IF(AUTOEVENTO="Manual",IF($B63&gt;0,OFFSET(EVENTOS!$D$15,$B63-$B$15,0),0),IF(B63&lt;=MAX(CÁLCULO!$M$15:$M$240),VLOOKUP($B63,CÁLCULO!$M$15:$N$240,2,FALSE),0))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IF(AUTOEVENTO="Manual",IF(EVENTOS!$F64&gt;0,"F",""),IF(AND(B64&gt;0,B64&lt;=MAX(CÁLCULO!$M$15:$M$240)),"F",""))</f>
        <v/>
      </c>
      <c r="B64" s="247">
        <f t="shared" ca="1" si="1"/>
        <v>49</v>
      </c>
      <c r="C64" s="514">
        <f ca="1">IF(AUTOEVENTO="Manual",IF($B64&gt;0,OFFSET(EVENTOS!$D$15,$B64-$B$15,0),0),IF(B64&lt;=MAX(CÁLCULO!$M$15:$M$240),VLOOKUP($B64,CÁLCULO!$M$15:$N$240,2,FALSE),0))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68">
        <f>(ROW($G67)-ROW($G$67))/8*12+1</f>
        <v>1</v>
      </c>
      <c r="I67" s="768"/>
      <c r="J67" s="768">
        <f>H67+1</f>
        <v>2</v>
      </c>
      <c r="K67" s="768"/>
      <c r="L67" s="768">
        <f>J67+1</f>
        <v>3</v>
      </c>
      <c r="M67" s="768"/>
      <c r="N67" s="768">
        <f>L67+1</f>
        <v>4</v>
      </c>
      <c r="O67" s="768"/>
      <c r="P67" s="768">
        <f>N67+1</f>
        <v>5</v>
      </c>
      <c r="Q67" s="768"/>
      <c r="R67" s="768">
        <f>P67+1</f>
        <v>6</v>
      </c>
      <c r="S67" s="768"/>
      <c r="T67" s="768">
        <f>R67+1</f>
        <v>7</v>
      </c>
      <c r="U67" s="768"/>
      <c r="V67" s="768">
        <f>T67+1</f>
        <v>8</v>
      </c>
      <c r="W67" s="768"/>
      <c r="X67" s="768">
        <f>V67+1</f>
        <v>9</v>
      </c>
      <c r="Y67" s="768"/>
      <c r="Z67" s="768">
        <f>X67+1</f>
        <v>10</v>
      </c>
      <c r="AA67" s="768"/>
      <c r="AB67" s="768">
        <f>Z67+1</f>
        <v>11</v>
      </c>
      <c r="AC67" s="768"/>
      <c r="AD67" s="768">
        <f>AB67+1</f>
        <v>12</v>
      </c>
      <c r="AE67" s="768"/>
    </row>
    <row r="68" spans="1:31" ht="12.75" customHeight="1" x14ac:dyDescent="0.2">
      <c r="A68" s="7" t="s">
        <v>536</v>
      </c>
      <c r="C68" s="755" t="s">
        <v>780</v>
      </c>
      <c r="G68" s="551" t="s">
        <v>781</v>
      </c>
      <c r="H68" s="757">
        <f ca="1">OFFSET(CRONO!$T$57,0,CRONOPLE!H67)</f>
        <v>5.9702501509986523E-2</v>
      </c>
      <c r="I68" s="757"/>
      <c r="J68" s="757">
        <f ca="1">OFFSET(CRONO!$T$57,0,CRONOPLE!J67)</f>
        <v>7.9002985897305228E-2</v>
      </c>
      <c r="K68" s="757"/>
      <c r="L68" s="757">
        <f ca="1">OFFSET(CRONO!$T$57,0,CRONOPLE!L67)</f>
        <v>8.463681460521838E-2</v>
      </c>
      <c r="M68" s="757"/>
      <c r="N68" s="757">
        <f ca="1">OFFSET(CRONO!$T$57,0,CRONOPLE!N67)</f>
        <v>5.6175994566556024E-2</v>
      </c>
      <c r="O68" s="757"/>
      <c r="P68" s="757">
        <f ca="1">OFFSET(CRONO!$T$57,0,CRONOPLE!P67)</f>
        <v>4.3135421931041501E-2</v>
      </c>
      <c r="Q68" s="757"/>
      <c r="R68" s="757">
        <f ca="1">OFFSET(CRONO!$T$57,0,CRONOPLE!R67)</f>
        <v>5.9889130354674858E-2</v>
      </c>
      <c r="S68" s="757"/>
      <c r="T68" s="757">
        <f ca="1">OFFSET(CRONO!$T$57,0,CRONOPLE!T67)</f>
        <v>8.6335924189265389E-2</v>
      </c>
      <c r="U68" s="757"/>
      <c r="V68" s="757">
        <f ca="1">OFFSET(CRONO!$T$57,0,CRONOPLE!V67)</f>
        <v>0.12202166577526648</v>
      </c>
      <c r="W68" s="757"/>
      <c r="X68" s="757">
        <f ca="1">OFFSET(CRONO!$T$57,0,CRONOPLE!X67)</f>
        <v>0.17162691724285026</v>
      </c>
      <c r="Y68" s="757"/>
      <c r="Z68" s="757">
        <f ca="1">OFFSET(CRONO!$T$57,0,CRONOPLE!Z67)</f>
        <v>6.5977407389272005E-2</v>
      </c>
      <c r="AA68" s="757"/>
      <c r="AB68" s="757">
        <f ca="1">OFFSET(CRONO!$T$57,0,CRONOPLE!AB67)</f>
        <v>8.2630996670726736E-2</v>
      </c>
      <c r="AC68" s="757"/>
      <c r="AD68" s="757">
        <f ca="1">OFFSET(CRONO!$T$57,0,CRONOPLE!AD67)</f>
        <v>8.8864239867836509E-2</v>
      </c>
      <c r="AE68" s="757"/>
    </row>
    <row r="69" spans="1:31" ht="12.75" customHeight="1" x14ac:dyDescent="0.2">
      <c r="A69" s="7" t="s">
        <v>536</v>
      </c>
      <c r="C69" s="770"/>
      <c r="G69" s="487" t="s">
        <v>782</v>
      </c>
      <c r="H69" s="771">
        <f ca="1">OFFSET(CRONO!$T$61,0,CRONOPLE!H67)</f>
        <v>269045.2</v>
      </c>
      <c r="I69" s="771"/>
      <c r="J69" s="766">
        <f ca="1">OFFSET(CRONO!$T$61,0,CRONOPLE!J67)</f>
        <v>356021.49999999994</v>
      </c>
      <c r="K69" s="767"/>
      <c r="L69" s="766">
        <f ca="1">OFFSET(CRONO!$T$61,0,CRONOPLE!L67)</f>
        <v>381409.96000000008</v>
      </c>
      <c r="M69" s="767"/>
      <c r="N69" s="766">
        <f ca="1">OFFSET(CRONO!$T$61,0,CRONOPLE!N67)</f>
        <v>253153.23999999987</v>
      </c>
      <c r="O69" s="767"/>
      <c r="P69" s="766">
        <f ca="1">OFFSET(CRONO!$T$61,0,CRONOPLE!P67)</f>
        <v>194386.80000000005</v>
      </c>
      <c r="Q69" s="767"/>
      <c r="R69" s="766">
        <f ca="1">OFFSET(CRONO!$T$61,0,CRONOPLE!R67)</f>
        <v>269886.23</v>
      </c>
      <c r="S69" s="767"/>
      <c r="T69" s="766">
        <f ca="1">OFFSET(CRONO!$T$61,0,CRONOPLE!T67)</f>
        <v>389066.88000000012</v>
      </c>
      <c r="U69" s="767"/>
      <c r="V69" s="766">
        <f ca="1">OFFSET(CRONO!$T$61,0,CRONOPLE!V67)</f>
        <v>549882.21</v>
      </c>
      <c r="W69" s="767"/>
      <c r="X69" s="766">
        <f ca="1">OFFSET(CRONO!$T$61,0,CRONOPLE!X67)</f>
        <v>773424.85000000009</v>
      </c>
      <c r="Y69" s="767"/>
      <c r="Z69" s="766">
        <f ca="1">OFFSET(CRONO!$T$61,0,CRONOPLE!Z67)</f>
        <v>297322.62999999989</v>
      </c>
      <c r="AA69" s="767"/>
      <c r="AB69" s="766">
        <f ca="1">OFFSET(CRONO!$T$61,0,CRONOPLE!AB67)</f>
        <v>372370.87999999989</v>
      </c>
      <c r="AC69" s="767"/>
      <c r="AD69" s="766">
        <f ca="1">OFFSET(CRONO!$T$61,0,CRONOPLE!AD67)</f>
        <v>400460.56000000052</v>
      </c>
      <c r="AE69" s="767"/>
    </row>
    <row r="70" spans="1:31" ht="12.75" customHeight="1" x14ac:dyDescent="0.2">
      <c r="A70" s="7" t="s">
        <v>536</v>
      </c>
      <c r="C70" s="755" t="s">
        <v>783</v>
      </c>
      <c r="G70" s="551" t="s">
        <v>781</v>
      </c>
      <c r="H70" s="757">
        <f ca="1">OFFSET(CRONO!$T$62,0,CRONOPLE!H67)</f>
        <v>5.9700000000000003E-2</v>
      </c>
      <c r="I70" s="757"/>
      <c r="J70" s="760">
        <f ca="1">OFFSET(CRONO!$T$62,0,CRONOPLE!J67)</f>
        <v>0.13869999999999999</v>
      </c>
      <c r="K70" s="761"/>
      <c r="L70" s="760">
        <f ca="1">OFFSET(CRONO!$T$62,0,CRONOPLE!L67)</f>
        <v>0.2233</v>
      </c>
      <c r="M70" s="761"/>
      <c r="N70" s="760">
        <f ca="1">OFFSET(CRONO!$T$62,0,CRONOPLE!N67)</f>
        <v>0.27950000000000003</v>
      </c>
      <c r="O70" s="761"/>
      <c r="P70" s="760">
        <f ca="1">OFFSET(CRONO!$T$62,0,CRONOPLE!P67)</f>
        <v>0.32269999999999999</v>
      </c>
      <c r="Q70" s="761"/>
      <c r="R70" s="760">
        <f ca="1">OFFSET(CRONO!$T$62,0,CRONOPLE!R67)</f>
        <v>0.38250000000000001</v>
      </c>
      <c r="S70" s="761"/>
      <c r="T70" s="760">
        <f ca="1">OFFSET(CRONO!$T$62,0,CRONOPLE!T67)</f>
        <v>0.46889999999999998</v>
      </c>
      <c r="U70" s="761"/>
      <c r="V70" s="760">
        <f ca="1">OFFSET(CRONO!$T$62,0,CRONOPLE!V67)</f>
        <v>0.59089999999999998</v>
      </c>
      <c r="W70" s="761"/>
      <c r="X70" s="760">
        <f ca="1">OFFSET(CRONO!$T$62,0,CRONOPLE!X67)</f>
        <v>0.76249999999999996</v>
      </c>
      <c r="Y70" s="761"/>
      <c r="Z70" s="760">
        <f ca="1">OFFSET(CRONO!$T$62,0,CRONOPLE!Z67)</f>
        <v>0.82850000000000001</v>
      </c>
      <c r="AA70" s="761"/>
      <c r="AB70" s="760">
        <f ca="1">OFFSET(CRONO!$T$62,0,CRONOPLE!AB67)</f>
        <v>0.91110000000000002</v>
      </c>
      <c r="AC70" s="761"/>
      <c r="AD70" s="760">
        <f ca="1">OFFSET(CRONO!$T$62,0,CRONOPLE!AD67)</f>
        <v>1</v>
      </c>
      <c r="AE70" s="761"/>
    </row>
    <row r="71" spans="1:31" ht="12.75" customHeight="1" x14ac:dyDescent="0.2">
      <c r="A71" s="7" t="s">
        <v>536</v>
      </c>
      <c r="C71" s="756"/>
      <c r="G71" s="487" t="s">
        <v>782</v>
      </c>
      <c r="H71" s="765">
        <f ca="1">OFFSET(CRONO!$T$66,0,CRONOPLE!H67)</f>
        <v>269045.20319999999</v>
      </c>
      <c r="I71" s="765"/>
      <c r="J71" s="763">
        <f ca="1">OFFSET(CRONO!$T$66,0,CRONOPLE!J67)</f>
        <v>625066.70439999993</v>
      </c>
      <c r="K71" s="764"/>
      <c r="L71" s="763">
        <f ca="1">OFFSET(CRONO!$T$66,0,CRONOPLE!L67)</f>
        <v>1006476.6635999999</v>
      </c>
      <c r="M71" s="764"/>
      <c r="N71" s="763">
        <f ca="1">OFFSET(CRONO!$T$66,0,CRONOPLE!N67)</f>
        <v>1259629.8967999998</v>
      </c>
      <c r="O71" s="764"/>
      <c r="P71" s="763">
        <f ca="1">OFFSET(CRONO!$T$66,0,CRONOPLE!P67)</f>
        <v>1454016.6979999999</v>
      </c>
      <c r="Q71" s="764"/>
      <c r="R71" s="763">
        <f ca="1">OFFSET(CRONO!$T$66,0,CRONOPLE!R67)</f>
        <v>1723902.9282</v>
      </c>
      <c r="S71" s="764"/>
      <c r="T71" s="763">
        <f ca="1">OFFSET(CRONO!$T$66,0,CRONOPLE!T67)</f>
        <v>2112969.8103999998</v>
      </c>
      <c r="U71" s="764"/>
      <c r="V71" s="763">
        <f ca="1">OFFSET(CRONO!$T$66,0,CRONOPLE!V67)</f>
        <v>2662852.0205999999</v>
      </c>
      <c r="W71" s="764"/>
      <c r="X71" s="763">
        <f ca="1">OFFSET(CRONO!$T$66,0,CRONOPLE!X67)</f>
        <v>3436276.8707999997</v>
      </c>
      <c r="Y71" s="764"/>
      <c r="Z71" s="763">
        <f ca="1">OFFSET(CRONO!$T$66,0,CRONOPLE!Z67)</f>
        <v>3733599.4959999998</v>
      </c>
      <c r="AA71" s="764"/>
      <c r="AB71" s="763">
        <f ca="1">OFFSET(CRONO!$T$66,0,CRONOPLE!AB67)</f>
        <v>4105970.3811999997</v>
      </c>
      <c r="AC71" s="764"/>
      <c r="AD71" s="763">
        <f ca="1">OFFSET(CRONO!$T$66,0,CRONOPLE!AD67)</f>
        <v>4506430.9399999995</v>
      </c>
      <c r="AE71" s="764"/>
    </row>
    <row r="72" spans="1:31" ht="12.75" customHeight="1" x14ac:dyDescent="0.2">
      <c r="A72" s="7" t="s">
        <v>536</v>
      </c>
      <c r="C72" s="552" t="s">
        <v>784</v>
      </c>
      <c r="D72" s="550"/>
      <c r="G72" s="551" t="s">
        <v>781</v>
      </c>
      <c r="H72" s="757" t="str">
        <f ca="1">OFFSET(CRONO!$T$67,0,CRONOPLE!H67)</f>
        <v/>
      </c>
      <c r="I72" s="757"/>
      <c r="J72" s="758" t="str">
        <f ca="1">OFFSET(CRONO!$T$67,0,CRONOPLE!J67)</f>
        <v/>
      </c>
      <c r="K72" s="759"/>
      <c r="L72" s="758" t="str">
        <f ca="1">OFFSET(CRONO!$T$67,0,CRONOPLE!L67)</f>
        <v/>
      </c>
      <c r="M72" s="759"/>
      <c r="N72" s="758" t="str">
        <f ca="1">OFFSET(CRONO!$T$67,0,CRONOPLE!N67)</f>
        <v/>
      </c>
      <c r="O72" s="759"/>
      <c r="P72" s="758" t="str">
        <f ca="1">OFFSET(CRONO!$T$67,0,CRONOPLE!P67)</f>
        <v/>
      </c>
      <c r="Q72" s="759"/>
      <c r="R72" s="758" t="str">
        <f ca="1">OFFSET(CRONO!$T$67,0,CRONOPLE!R67)</f>
        <v/>
      </c>
      <c r="S72" s="759"/>
      <c r="T72" s="758" t="str">
        <f ca="1">OFFSET(CRONO!$T$67,0,CRONOPLE!T67)</f>
        <v/>
      </c>
      <c r="U72" s="759"/>
      <c r="V72" s="758" t="str">
        <f ca="1">OFFSET(CRONO!$T$67,0,CRONOPLE!V67)</f>
        <v/>
      </c>
      <c r="W72" s="759"/>
      <c r="X72" s="758" t="str">
        <f ca="1">OFFSET(CRONO!$T$67,0,CRONOPLE!X67)</f>
        <v/>
      </c>
      <c r="Y72" s="759"/>
      <c r="Z72" s="758" t="str">
        <f ca="1">OFFSET(CRONO!$T$67,0,CRONOPLE!Z67)</f>
        <v/>
      </c>
      <c r="AA72" s="759"/>
      <c r="AB72" s="758" t="str">
        <f ca="1">OFFSET(CRONO!$T$67,0,CRONOPLE!AB67)</f>
        <v/>
      </c>
      <c r="AC72" s="759"/>
      <c r="AD72" s="758" t="str">
        <f ca="1">OFFSET(CRONO!$T$67,0,CRONOPLE!AD67)</f>
        <v/>
      </c>
      <c r="AE72" s="759"/>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SARANDI/RS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RENATA CENCI SIGNOR</v>
      </c>
    </row>
    <row r="78" spans="1:31" ht="16.5" x14ac:dyDescent="0.3">
      <c r="A78" s="7" t="s">
        <v>536</v>
      </c>
      <c r="B78" s="762">
        <f ca="1">DADOS!$C$25</f>
        <v>46190</v>
      </c>
      <c r="C78" s="762"/>
      <c r="F78" s="185"/>
      <c r="G78" s="185"/>
      <c r="H78" s="185"/>
      <c r="I78" s="185"/>
      <c r="J78" s="185"/>
      <c r="K78" s="185"/>
      <c r="L78" s="187"/>
      <c r="V78" s="398" t="str">
        <f ca="1"/>
        <v>CREA/CAU: 093177</v>
      </c>
    </row>
    <row r="79" spans="1:31" x14ac:dyDescent="0.2">
      <c r="A79" s="7" t="s">
        <v>536</v>
      </c>
      <c r="B79" s="9" t="s">
        <v>694</v>
      </c>
      <c r="F79" s="185"/>
      <c r="G79" s="185"/>
      <c r="H79" s="185"/>
      <c r="I79" s="185"/>
      <c r="J79" s="185"/>
      <c r="K79" s="185"/>
      <c r="L79" s="187"/>
      <c r="V79" s="398" t="str">
        <f ca="1"/>
        <v>ART/RRT: 14426537</v>
      </c>
    </row>
  </sheetData>
  <sheetProtection algorithmName="SHA-512" hashValue="0FvjnQgCFJ3gfvzDb/plKu4DtIP7AB0c0CieKR12q8W2VbFA2n5c46wAe0BlKxCuG7H5zO4UcbHVmo26960rZw==" saltValue="mOgupK6Tu0N39mYGlsKPpw=="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330" priority="802" stopIfTrue="1">
      <formula>IF(OR(E$12&gt;CÁLCULO.NúmeroDeFrentes,ACOMPANHAMENTO="BM"),TRUE,CRONOPLE.ValorDoEvento=0)</formula>
    </cfRule>
  </conditionalFormatting>
  <conditionalFormatting sqref="U4:Y4">
    <cfRule type="expression" dxfId="329" priority="692" stopIfTrue="1">
      <formula>QCI.ExisteManual</formula>
    </cfRule>
  </conditionalFormatting>
  <conditionalFormatting sqref="J67:AE67">
    <cfRule type="expression" dxfId="328" priority="691" stopIfTrue="1">
      <formula>OFFSET(J67,3,-2)=1</formula>
    </cfRule>
  </conditionalFormatting>
  <conditionalFormatting sqref="J68:AE68">
    <cfRule type="expression" dxfId="327" priority="686" stopIfTrue="1">
      <formula>OFFSET(J68,2,-2)=1</formula>
    </cfRule>
  </conditionalFormatting>
  <conditionalFormatting sqref="J69:AE69">
    <cfRule type="expression" dxfId="326" priority="685" stopIfTrue="1">
      <formula>OFFSET(J69,1,-2)=1</formula>
    </cfRule>
  </conditionalFormatting>
  <conditionalFormatting sqref="J70:AE70">
    <cfRule type="expression" dxfId="325" priority="684" stopIfTrue="1">
      <formula>OFFSET(J70,0,-2)=1</formula>
    </cfRule>
  </conditionalFormatting>
  <conditionalFormatting sqref="J71:AE71">
    <cfRule type="expression" dxfId="324" priority="683" stopIfTrue="1">
      <formula>OFFSET(J71,-1,-2)=1</formula>
    </cfRule>
  </conditionalFormatting>
  <conditionalFormatting sqref="B15:C15 E15 G15:AF15">
    <cfRule type="expression" dxfId="323" priority="507">
      <formula>$B$15=0</formula>
    </cfRule>
  </conditionalFormatting>
  <conditionalFormatting sqref="B8:C8">
    <cfRule type="expression" dxfId="322" priority="506">
      <formula>$B$7=""</formula>
    </cfRule>
  </conditionalFormatting>
  <conditionalFormatting sqref="J72:AE72">
    <cfRule type="expression" dxfId="321" priority="505">
      <formula>OFFSET(J72,-2,-2)=1</formula>
    </cfRule>
  </conditionalFormatting>
  <conditionalFormatting sqref="H72:AE72">
    <cfRule type="expression" dxfId="320" priority="504">
      <formula>ROUND(H72,4)&gt;ROUND(H70,4)</formula>
    </cfRule>
  </conditionalFormatting>
  <conditionalFormatting sqref="E16:E24 G16:AE24">
    <cfRule type="expression" dxfId="319" priority="6" stopIfTrue="1">
      <formula>IF(OR(E$12&gt;CÁLCULO.NúmeroDeFrentes,ACOMPANHAMENTO="BM"),TRUE,CRONOPLE.ValorDoEvento=0)</formula>
    </cfRule>
  </conditionalFormatting>
  <conditionalFormatting sqref="E25:E33 G25:AE33">
    <cfRule type="expression" dxfId="318" priority="5" stopIfTrue="1">
      <formula>IF(OR(E$12&gt;CÁLCULO.NúmeroDeFrentes,ACOMPANHAMENTO="BM"),TRUE,CRONOPLE.ValorDoEvento=0)</formula>
    </cfRule>
  </conditionalFormatting>
  <conditionalFormatting sqref="E34:E42 G34:AE42">
    <cfRule type="expression" dxfId="317" priority="4" stopIfTrue="1">
      <formula>IF(OR(E$12&gt;CÁLCULO.NúmeroDeFrentes,ACOMPANHAMENTO="BM"),TRUE,CRONOPLE.ValorDoEvento=0)</formula>
    </cfRule>
  </conditionalFormatting>
  <conditionalFormatting sqref="E43:E51 G43:AE51">
    <cfRule type="expression" dxfId="316" priority="3" stopIfTrue="1">
      <formula>IF(OR(E$12&gt;CÁLCULO.NúmeroDeFrentes,ACOMPANHAMENTO="BM"),TRUE,CRONOPLE.ValorDoEvento=0)</formula>
    </cfRule>
  </conditionalFormatting>
  <conditionalFormatting sqref="E52:E60 G52:AE60">
    <cfRule type="expression" dxfId="315" priority="2" stopIfTrue="1">
      <formula>IF(OR(E$12&gt;CÁLCULO.NúmeroDeFrentes,ACOMPANHAMENTO="BM"),TRUE,CRONOPLE.ValorDoEvento=0)</formula>
    </cfRule>
  </conditionalFormatting>
  <conditionalFormatting sqref="E61:E64 G61:AE64">
    <cfRule type="expression" dxfId="314"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73"/>
  <sheetViews>
    <sheetView showGridLines="0" zoomScale="90" zoomScaleNormal="9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IF($F2=-1,0,IF(N$13&lt;=$M1,IF(ISERROR(MATCH(N$13,OFFSET($M1,1,0,ROW($M$56)-ROW($M1)-1),0)),ROW($M$56)-ROW($M1)-1,MATCH(N$13,OFFSET($M1,1,0,ROW($M$56)-ROW($M1)-1),0)-1),0))</f>
        <v>#REF!</v>
      </c>
      <c r="O1" s="193" t="e">
        <f ca="1">IF($F2=-1,0,IF(O$13&lt;=$M1,IF(ISERROR(MATCH(O$13,OFFSET($M1,1,0,ROW($M$56)-ROW($M1)-1),0)),ROW($M$56)-ROW($M1)-1,MATCH(O$13,OFFSET($M1,1,0,ROW($M$56)-ROW($M1)-1),0)-1),0))</f>
        <v>#REF!</v>
      </c>
      <c r="P1" s="193" t="e">
        <f ca="1">IF($F2=-1,0,IF(P$13&lt;=$M1,IF(ISERROR(MATCH(P$13,OFFSET($M1,1,0,ROW($M$56)-ROW($M1)-1),0)),ROW($M$56)-ROW($M1)-1,MATCH(P$13,OFFSET($M1,1,0,ROW($M$56)-ROW($M1)-1),0)-1),0))</f>
        <v>#REF!</v>
      </c>
      <c r="Q1" s="193" t="e">
        <f ca="1">IF($F2=-1,0,IF(Q$13&lt;=$M1,IF(ISERROR(MATCH(Q$13,OFFSET($M1,1,0,ROW($M$56)-ROW($M1)-1),0)),ROW($M$56)-ROW($M1)-1,MATCH(Q$13,OFFSET($M1,1,0,ROW($M$56)-ROW($M1)-1),0)-1),0))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SUMIF(CÁLCULO!$AM$15:$AW$240,CRONO!E$12,CÁLCULO!$AB$15:$AL$240)/(ORÇAMENTO!$X$15-CÁLCULO.TotalAdmLocal)*CRONO!$F3,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SUMIF(CÁLCULO!$AM$15:$AW$240,CRONO!U$12,CÁLCULO!$AB$15:$AL$240)/(ORÇAMENTO!$X$15-CÁLCULO.TotalAdmLocal)*CRONO!$F3,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SUMIF(CÁLCULO!$AM$15:$AW$240,CRONO!V$12,CÁLCULO!$AB$15:$AL$240)/(ORÇAMENTO!$X$15-CÁLCULO.TotalAdmLocal)*CRONO!$F3,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SUMIF(CÁLCULO!$AM$15:$AW$240,CRONO!W$12,CÁLCULO!$AB$15:$AL$240)/(ORÇAMENTO!$X$15-CÁLCULO.TotalAdmLocal)*CRONO!$F3,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SUMIF(CÁLCULO!$AM$15:$AW$240,CRONO!X$12,CÁLCULO!$AB$15:$AL$240)/(ORÇAMENTO!$X$15-CÁLCULO.TotalAdmLocal)*CRONO!$F3,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SUMIF(CÁLCULO!$AM$15:$AW$240,CRONO!Y$12,CÁLCULO!$AB$15:$AL$240)/(ORÇAMENTO!$X$15-CÁLCULO.TotalAdmLocal)*CRONO!$F3,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SUMIF(CÁLCULO!$AM$15:$AW$240,CRONO!Z$12,CÁLCULO!$AB$15:$AL$240)/(ORÇAMENTO!$X$15-CÁLCULO.TotalAdmLocal)*CRONO!$F3,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SUMIF(CÁLCULO!$AM$15:$AW$240,CRONO!AA$12,CÁLCULO!$AB$15:$AL$240)/(ORÇAMENTO!$X$15-CÁLCULO.TotalAdmLocal)*CRONO!$F3,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SUMIF(CÁLCULO!$AM$15:$AW$240,CRONO!AB$12,CÁLCULO!$AB$15:$AL$240)/(ORÇAMENTO!$X$15-CÁLCULO.TotalAdmLocal)*CRONO!$F3,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SUMIF(CÁLCULO!$AM$15:$AW$240,CRONO!AC$12,CÁLCULO!$AB$15:$AL$240)/(ORÇAMENTO!$X$15-CÁLCULO.TotalAdmLocal)*CRONO!$F3,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SUMIF(CÁLCULO!$AM$15:$AW$240,CRONO!AD$12,CÁLCULO!$AB$15:$AL$240)/(ORÇAMENTO!$X$15-CÁLCULO.TotalAdmLocal)*CRONO!$F3,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SUMIF(CÁLCULO!$AM$15:$AW$240,CRONO!AE$12,CÁLCULO!$AB$15:$AL$240)/(ORÇAMENTO!$X$15-CÁLCULO.TotalAdmLocal)*CRONO!$F3,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SUMIF(CÁLCULO!$AM$15:$AW$240,CRONO!AF$12,CÁLCULO!$AB$15:$AL$240)/(ORÇAMENTO!$X$15-CÁLCULO.TotalAdmLocal)*CRONO!$F3,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92" t="s">
        <v>644</v>
      </c>
      <c r="AF4" s="692"/>
    </row>
    <row r="5" spans="1:33" ht="15" x14ac:dyDescent="0.2">
      <c r="S5" s="83" t="str">
        <f>import.recurso</f>
        <v>(SELECIONAR)</v>
      </c>
      <c r="AE5" s="693" t="s">
        <v>647</v>
      </c>
      <c r="AF5" s="693"/>
    </row>
    <row r="6" spans="1:33" ht="12.75" customHeight="1" x14ac:dyDescent="0.2"/>
    <row r="7" spans="1:33" ht="12.75" customHeight="1" x14ac:dyDescent="0.2">
      <c r="F7" s="207"/>
      <c r="H7" s="691"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90" t="s">
        <v>655</v>
      </c>
      <c r="H8" s="691"/>
      <c r="I8" s="678">
        <f>Import.CR</f>
        <v>0</v>
      </c>
      <c r="J8" s="678"/>
      <c r="K8" s="214">
        <f>Import.TransfereGOV</f>
        <v>0</v>
      </c>
      <c r="L8" s="677" t="str">
        <f>Import.Proponente</f>
        <v>MUNICIPIO DE SARANDI/RS</v>
      </c>
      <c r="M8" s="677"/>
      <c r="N8" s="677"/>
      <c r="O8" s="677"/>
      <c r="P8" s="677"/>
      <c r="Q8" s="677"/>
      <c r="R8" s="677"/>
      <c r="S8" s="677"/>
      <c r="T8" s="677"/>
      <c r="U8" s="678" t="str">
        <f>Import.Apelido</f>
        <v>A CASA É SUA</v>
      </c>
      <c r="V8" s="678"/>
      <c r="W8" s="678"/>
      <c r="X8" s="678"/>
      <c r="Y8" s="678"/>
      <c r="Z8" s="694" t="str" cm="1">
        <f t="array" ref="Z8">IF(TIPOORCAMENTO="Licitado",Import.empresa,Import.DescLote)</f>
        <v>PROGRAMA "A CASA É SUA" (30 UH)</v>
      </c>
      <c r="AA8" s="694"/>
      <c r="AB8" s="694"/>
      <c r="AC8" s="694"/>
      <c r="AD8" s="694"/>
      <c r="AE8" s="694"/>
      <c r="AF8" s="203" t="str" cm="1">
        <f t="array" ref="AF8">IF(TIPOORCAMENTO="Licitado",Import.CTEF,"")</f>
        <v/>
      </c>
    </row>
    <row r="9" spans="1:33" x14ac:dyDescent="0.2">
      <c r="A9" s="655">
        <v>2</v>
      </c>
      <c r="F9" s="114"/>
      <c r="G9" s="690"/>
      <c r="H9" s="691"/>
    </row>
    <row r="10" spans="1:33" x14ac:dyDescent="0.2">
      <c r="A10" s="656">
        <v>3</v>
      </c>
      <c r="F10" s="185" cm="1">
        <f t="array" aca="1" ref="F10" ca="1">CRONO.LinhasNecessarias</f>
        <v>14</v>
      </c>
      <c r="G10" s="690"/>
      <c r="H10" s="215">
        <v>2</v>
      </c>
      <c r="K10" s="679" t="str" cm="1">
        <f t="array" aca="1" ref="K10" ca="1">IF(MAX($B$13:$B$56)&lt;CRONO.LinhasNecessarias,"ERRO: NÚMERO DE LINHAS DO CRONOGRAMA INSUFICIENTE. CLIQUE EM ATUALIZAR LINHAS.",IF(AND(ACOMPANHAMENTO="PLE",ROUND(OFFSET($AG$66,0,-1),2)=0),"CRONOGRAMA DEVE SER PREENCHIDO POR EVENTOS",IF(ROUND(OFFSET($AG$66,0,-1),2)&lt;&gt;$R$57,"ERRO: CRONOGRAMA NÃO FECHA 100%","")))</f>
        <v/>
      </c>
      <c r="L10" s="679"/>
      <c r="M10" s="679"/>
      <c r="N10" s="679"/>
      <c r="O10" s="679"/>
      <c r="P10" s="679"/>
      <c r="Q10" s="679"/>
      <c r="R10" s="679"/>
      <c r="S10" s="679"/>
      <c r="T10" s="679"/>
    </row>
    <row r="11" spans="1:33" ht="12.75" customHeight="1" x14ac:dyDescent="0.2">
      <c r="A11" s="657">
        <v>4</v>
      </c>
      <c r="F11" s="185" cm="1">
        <f t="array" aca="1" ref="F11" ca="1">CRONO.ParcelaFinal</f>
        <v>12</v>
      </c>
      <c r="G11" s="690"/>
      <c r="I11" s="216"/>
      <c r="J11" s="216"/>
      <c r="K11" s="679"/>
      <c r="L11" s="679"/>
      <c r="M11" s="679"/>
      <c r="N11" s="679"/>
      <c r="O11" s="679"/>
      <c r="P11" s="679"/>
      <c r="Q11" s="679"/>
      <c r="R11" s="679"/>
      <c r="S11" s="679"/>
      <c r="T11" s="679"/>
    </row>
    <row r="12" spans="1:33" ht="12.75" customHeight="1" x14ac:dyDescent="0.2">
      <c r="A12" s="186" t="s">
        <v>789</v>
      </c>
      <c r="E12" s="217">
        <f ca="1">OFFSET(E12,0,-1)+1</f>
        <v>1</v>
      </c>
      <c r="G12" s="106" t="s">
        <v>660</v>
      </c>
      <c r="H12" s="681" t="s">
        <v>790</v>
      </c>
      <c r="I12" s="682" t="s">
        <v>735</v>
      </c>
      <c r="J12" s="683" t="s">
        <v>118</v>
      </c>
      <c r="K12" s="218"/>
      <c r="L12" s="218"/>
      <c r="M12" s="219"/>
      <c r="N12" s="219"/>
      <c r="O12" s="219"/>
      <c r="P12" s="219"/>
      <c r="Q12" s="219"/>
      <c r="R12" s="219"/>
      <c r="S12" s="689" t="s">
        <v>791</v>
      </c>
      <c r="T12" s="676"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681"/>
      <c r="I13" s="682"/>
      <c r="J13" s="683"/>
      <c r="K13" s="223"/>
      <c r="L13" s="223"/>
      <c r="M13" s="224" t="s">
        <v>733</v>
      </c>
      <c r="N13" s="224">
        <v>1</v>
      </c>
      <c r="O13" s="224">
        <v>2</v>
      </c>
      <c r="P13" s="224">
        <v>3</v>
      </c>
      <c r="Q13" s="224">
        <v>4</v>
      </c>
      <c r="R13" s="225" t="s">
        <v>796</v>
      </c>
      <c r="S13" s="689"/>
      <c r="T13" s="676"/>
      <c r="U13" s="226">
        <v>46235</v>
      </c>
      <c r="V13" s="222">
        <f ca="1">OFFSET(V13,0,-1)+41-DAY(OFFSET(V13,0,-1)+40)</f>
        <v>46266</v>
      </c>
      <c r="W13" s="222">
        <f ca="1">OFFSET(W13,0,-1)+41-DAY(OFFSET(W13,0,-1)+40)</f>
        <v>46296</v>
      </c>
      <c r="X13" s="222">
        <f t="shared" ref="X13:AF13" ca="1" si="1">OFFSET(X13,0,-1)+41-DAY(OFFSET(X13,0,-1)+40)</f>
        <v>46327</v>
      </c>
      <c r="Y13" s="222">
        <f t="shared" ca="1" si="1"/>
        <v>46357</v>
      </c>
      <c r="Z13" s="222">
        <f t="shared" ca="1" si="1"/>
        <v>46388</v>
      </c>
      <c r="AA13" s="222">
        <f t="shared" ca="1" si="1"/>
        <v>46419</v>
      </c>
      <c r="AB13" s="222">
        <f t="shared" ca="1" si="1"/>
        <v>46447</v>
      </c>
      <c r="AC13" s="222">
        <f t="shared" ca="1" si="1"/>
        <v>46478</v>
      </c>
      <c r="AD13" s="222">
        <f t="shared" ca="1" si="1"/>
        <v>46508</v>
      </c>
      <c r="AE13" s="222">
        <f t="shared" ca="1" si="1"/>
        <v>46539</v>
      </c>
      <c r="AF13" s="538">
        <f t="shared" ca="1" si="1"/>
        <v>46569</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CASA PADRÃO</v>
      </c>
      <c r="K14" s="191"/>
      <c r="L14" s="191"/>
      <c r="M14" s="192">
        <f ca="1">IF($F15=0,OFFSET(ORÇAMENTO!C$15,$F14,0),1)</f>
        <v>1</v>
      </c>
      <c r="N14" s="193">
        <f ca="1">IF($F15=-1,0,IF(N$13&lt;=$M14,IF(ISERROR(MATCH(N$13,OFFSET($M14,1,0,ROW($M$56)-ROW($M14)-1),0)),ROW($M$56)-ROW($M14)-1,MATCH(N$13,OFFSET($M14,1,0,ROW($M$56)-ROW($M14)-1),0)-1),0))</f>
        <v>41</v>
      </c>
      <c r="O14" s="193">
        <f ca="1">IF($F15=-1,0,IF(O$13&lt;=$M14,IF(ISERROR(MATCH(O$13,OFFSET($M14,1,0,ROW($M$56)-ROW($M14)-1),0)),ROW($M$56)-ROW($M14)-1,MATCH(O$13,OFFSET($M14,1,0,ROW($M$56)-ROW($M14)-1),0)-1),0))</f>
        <v>0</v>
      </c>
      <c r="P14" s="193">
        <f ca="1">IF($F15=-1,0,IF(P$13&lt;=$M14,IF(ISERROR(MATCH(P$13,OFFSET($M14,1,0,ROW($M$56)-ROW($M14)-1),0)),ROW($M$56)-ROW($M14)-1,MATCH(P$13,OFFSET($M14,1,0,ROW($M$56)-ROW($M14)-1),0)-1),0))</f>
        <v>0</v>
      </c>
      <c r="Q14" s="193">
        <f ca="1">IF($F15=-1,0,IF(Q$13&lt;=$M14,IF(ISERROR(MATCH(Q$13,OFFSET($M14,1,0,ROW($M$56)-ROW($M14)-1),0)),ROW($M$56)-ROW($M14)-1,MATCH(Q$13,OFFSET($M14,1,0,ROW($M$56)-ROW($M14)-1),0)-1),0))</f>
        <v>0</v>
      </c>
      <c r="R14" s="193">
        <f t="shared" ref="R14" ca="1" si="5">MIN(OFFSET(M14,0,1,,M14))</f>
        <v>41</v>
      </c>
      <c r="S14" s="194">
        <f ca="1">IF($F15=0,OFFSET(ORÇAMENTO!X$15,$F14,0),IF($F15&lt;&gt;-1,OFFSET(QCI!$O$13,$F15,0),""))</f>
        <v>4506430.9400000004</v>
      </c>
      <c r="T14" s="195" t="s">
        <v>785</v>
      </c>
      <c r="U14" s="188" cm="1">
        <f t="array" aca="1" ref="U14" ca="1">IF(AND($R14=2,ACOMPANHAMENTO="BM"),ROUND(U15,4),U16/$S14)</f>
        <v>5.9702502220082831E-2</v>
      </c>
      <c r="V14" s="188" cm="1">
        <f t="array" aca="1" ref="V14" ca="1">IF(AND($R14=2,ACOMPANHAMENTO="BM"),ROUND(V15,4),V16/$S14)</f>
        <v>7.9002986163591332E-2</v>
      </c>
      <c r="W14" s="188" cm="1">
        <f t="array" aca="1" ref="W14" ca="1">IF(AND($R14=2,ACOMPANHAMENTO="BM"),ROUND(W15,4),W16/$S14)</f>
        <v>8.4636814427694287E-2</v>
      </c>
      <c r="X14" s="188" cm="1">
        <f t="array" aca="1" ref="X14" ca="1">IF(AND($R14=2,ACOMPANHAMENTO="BM"),ROUND(X15,4),X16/$S14)</f>
        <v>5.6175993057601362E-2</v>
      </c>
      <c r="Y14" s="188" cm="1">
        <f t="array" aca="1" ref="Y14" ca="1">IF(AND($R14=2,ACOMPANHAMENTO="BM"),ROUND(Y15,4),Y16/$S14)</f>
        <v>4.3135422197327619E-2</v>
      </c>
      <c r="Z14" s="188" cm="1">
        <f t="array" aca="1" ref="Z14" ca="1">IF(AND($R14=2,ACOMPANHAMENTO="BM"),ROUND(Z15,4),Z16/$S14)</f>
        <v>5.9889130399055877E-2</v>
      </c>
      <c r="AA14" s="188" cm="1">
        <f t="array" aca="1" ref="AA14" ca="1">IF(AND($R14=2,ACOMPANHAMENTO="BM"),ROUND(AA15,4),AA16/$S14)</f>
        <v>8.6335924677456599E-2</v>
      </c>
      <c r="AB14" s="188" cm="1">
        <f t="array" aca="1" ref="AB14" ca="1">IF(AND($R14=2,ACOMPANHAMENTO="BM"),ROUND(AB15,4),AB16/$S14)</f>
        <v>0.12202166581964752</v>
      </c>
      <c r="AC14" s="188" cm="1">
        <f t="array" aca="1" ref="AC14" ca="1">IF(AND($R14=2,ACOMPANHAMENTO="BM"),ROUND(AC15,4),AC16/$S14)</f>
        <v>0.17162691728723128</v>
      </c>
      <c r="AD14" s="188" cm="1">
        <f t="array" aca="1" ref="AD14" ca="1">IF(AND($R14=2,ACOMPANHAMENTO="BM"),ROUND(AD15,4),AD16/$S14)</f>
        <v>6.5977406324127533E-2</v>
      </c>
      <c r="AE14" s="188" cm="1">
        <f t="array" aca="1" ref="AE14" ca="1">IF(AND($R14=2,ACOMPANHAMENTO="BM"),ROUND(AE15,4),AE16/$S14)</f>
        <v>8.2630997824633248E-2</v>
      </c>
      <c r="AF14" s="188" cm="1">
        <f t="array" aca="1" ref="AF14" ca="1">IF(AND($R14=2,ACOMPANHAMENTO="BM"),ROUND(AF15,4),AF16/$S14)</f>
        <v>8.886423960155039E-2</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SUMIF(CÁLCULO!$AM$15:$AW$240,CRONO!E$12,CÁLCULO!$AB$15:$AL$240)/(ORÇAMENTO!$X$15-CÁLCULO.TotalAdmLocal)*CRONO!$F16,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SUMIF(CÁLCULO!$AM$15:$AW$240,CRONO!U$12,CÁLCULO!$AB$15:$AL$240)/(ORÇAMENTO!$X$15-CÁLCULO.TotalAdmLocal)*CRONO!$F16,
                        0),
                 U15*$S14),
          SUMIF(OFFSET($S16,1,0,$R14-2),($M14+1)&amp;"$",OFFSET(U16,1,0,$R14-2)))</f>
        <v>269045.20319999999</v>
      </c>
      <c r="V16" s="202" cm="1">
        <f t="array" aca="1" ref="V16" ca="1">IF($R14=2,
         IF(AND(ACOMPANHAMENTO="PLE",ISNUMBER($F14)),
                SUMIF((OFFSET(CÁLCULO!$AM$15:$AW$15,$F14,0,OFFSET(ORÇAMENTO!$D$15,CRONO!$F14,0))),CRONO!V$12,OFFSET(CÁLCULO!$AB$15:$AL$15,$F14,0,OFFSET(ORÇAMENTO!$D$15,CRONO!$F14,0)))
                +IF(AND($F16&lt;&gt;"",$F16&lt;&gt;0),
                        SUMIF(CÁLCULO!$AM$15:$AW$240,CRONO!V$12,CÁLCULO!$AB$15:$AL$240)/(ORÇAMENTO!$X$15-CÁLCULO.TotalAdmLocal)*CRONO!$F16,
                        0),
                 V15*$S14),
          SUMIF(OFFSET($S16,1,0,$R14-2),($M14+1)&amp;"$",OFFSET(V16,1,0,$R14-2)))</f>
        <v>356021.50119999994</v>
      </c>
      <c r="W16" s="202" cm="1">
        <f t="array" aca="1" ref="W16" ca="1">IF($R14=2,
         IF(AND(ACOMPANHAMENTO="PLE",ISNUMBER($F14)),
                SUMIF((OFFSET(CÁLCULO!$AM$15:$AW$15,$F14,0,OFFSET(ORÇAMENTO!$D$15,CRONO!$F14,0))),CRONO!W$12,OFFSET(CÁLCULO!$AB$15:$AL$15,$F14,0,OFFSET(ORÇAMENTO!$D$15,CRONO!$F14,0)))
                +IF(AND($F16&lt;&gt;"",$F16&lt;&gt;0),
                        SUMIF(CÁLCULO!$AM$15:$AW$240,CRONO!W$12,CÁLCULO!$AB$15:$AL$240)/(ORÇAMENTO!$X$15-CÁLCULO.TotalAdmLocal)*CRONO!$F16,
                        0),
                 W15*$S14),
          SUMIF(OFFSET($S16,1,0,$R14-2),($M14+1)&amp;"$",OFFSET(W16,1,0,$R14-2)))</f>
        <v>381409.95919999998</v>
      </c>
      <c r="X16" s="202" cm="1">
        <f t="array" aca="1" ref="X16" ca="1">IF($R14=2,
         IF(AND(ACOMPANHAMENTO="PLE",ISNUMBER($F14)),
                SUMIF((OFFSET(CÁLCULO!$AM$15:$AW$15,$F14,0,OFFSET(ORÇAMENTO!$D$15,CRONO!$F14,0))),CRONO!X$12,OFFSET(CÁLCULO!$AB$15:$AL$15,$F14,0,OFFSET(ORÇAMENTO!$D$15,CRONO!$F14,0)))
                +IF(AND($F16&lt;&gt;"",$F16&lt;&gt;0),
                        SUMIF(CÁLCULO!$AM$15:$AW$240,CRONO!X$12,CÁLCULO!$AB$15:$AL$240)/(ORÇAMENTO!$X$15-CÁLCULO.TotalAdmLocal)*CRONO!$F16,
                        0),
                 X15*$S14),
          SUMIF(OFFSET($S16,1,0,$R14-2),($M14+1)&amp;"$",OFFSET(X16,1,0,$R14-2)))</f>
        <v>253153.23319999999</v>
      </c>
      <c r="Y16" s="202" cm="1">
        <f t="array" aca="1" ref="Y16" ca="1">IF($R14=2,
         IF(AND(ACOMPANHAMENTO="PLE",ISNUMBER($F14)),
                SUMIF((OFFSET(CÁLCULO!$AM$15:$AW$15,$F14,0,OFFSET(ORÇAMENTO!$D$15,CRONO!$F14,0))),CRONO!Y$12,OFFSET(CÁLCULO!$AB$15:$AL$15,$F14,0,OFFSET(ORÇAMENTO!$D$15,CRONO!$F14,0)))
                +IF(AND($F16&lt;&gt;"",$F16&lt;&gt;0),
                        SUMIF(CÁLCULO!$AM$15:$AW$240,CRONO!Y$12,CÁLCULO!$AB$15:$AL$240)/(ORÇAMENTO!$X$15-CÁLCULO.TotalAdmLocal)*CRONO!$F16,
                        0),
                 Y15*$S14),
          SUMIF(OFFSET($S16,1,0,$R14-2),($M14+1)&amp;"$",OFFSET(Y16,1,0,$R14-2)))</f>
        <v>194386.80119999999</v>
      </c>
      <c r="Z16" s="202" cm="1">
        <f t="array" aca="1" ref="Z16" ca="1">IF($R14=2,
         IF(AND(ACOMPANHAMENTO="PLE",ISNUMBER($F14)),
                SUMIF((OFFSET(CÁLCULO!$AM$15:$AW$15,$F14,0,OFFSET(ORÇAMENTO!$D$15,CRONO!$F14,0))),CRONO!Z$12,OFFSET(CÁLCULO!$AB$15:$AL$15,$F14,0,OFFSET(ORÇAMENTO!$D$15,CRONO!$F14,0)))
                +IF(AND($F16&lt;&gt;"",$F16&lt;&gt;0),
                        SUMIF(CÁLCULO!$AM$15:$AW$240,CRONO!Z$12,CÁLCULO!$AB$15:$AL$240)/(ORÇAMENTO!$X$15-CÁLCULO.TotalAdmLocal)*CRONO!$F16,
                        0),
                 Z15*$S14),
          SUMIF(OFFSET($S16,1,0,$R14-2),($M14+1)&amp;"$",OFFSET(Z16,1,0,$R14-2)))</f>
        <v>269886.23019999999</v>
      </c>
      <c r="AA16" s="202" cm="1">
        <f t="array" aca="1" ref="AA16" ca="1">IF($R14=2,
         IF(AND(ACOMPANHAMENTO="PLE",ISNUMBER($F14)),
                SUMIF((OFFSET(CÁLCULO!$AM$15:$AW$15,$F14,0,OFFSET(ORÇAMENTO!$D$15,CRONO!$F14,0))),CRONO!AA$12,OFFSET(CÁLCULO!$AB$15:$AL$15,$F14,0,OFFSET(ORÇAMENTO!$D$15,CRONO!$F14,0)))
                +IF(AND($F16&lt;&gt;"",$F16&lt;&gt;0),
                        SUMIF(CÁLCULO!$AM$15:$AW$240,CRONO!AA$12,CÁLCULO!$AB$15:$AL$240)/(ORÇAMENTO!$X$15-CÁLCULO.TotalAdmLocal)*CRONO!$F16,
                        0),
                 AA15*$S14),
          SUMIF(OFFSET($S16,1,0,$R14-2),($M14+1)&amp;"$",OFFSET(AA16,1,0,$R14-2)))</f>
        <v>389066.88219999999</v>
      </c>
      <c r="AB16" s="202" cm="1">
        <f t="array" aca="1" ref="AB16" ca="1">IF($R14=2,
         IF(AND(ACOMPANHAMENTO="PLE",ISNUMBER($F14)),
                SUMIF((OFFSET(CÁLCULO!$AM$15:$AW$15,$F14,0,OFFSET(ORÇAMENTO!$D$15,CRONO!$F14,0))),CRONO!AB$12,OFFSET(CÁLCULO!$AB$15:$AL$15,$F14,0,OFFSET(ORÇAMENTO!$D$15,CRONO!$F14,0)))
                +IF(AND($F16&lt;&gt;"",$F16&lt;&gt;0),
                        SUMIF(CÁLCULO!$AM$15:$AW$240,CRONO!AB$12,CÁLCULO!$AB$15:$AL$240)/(ORÇAMENTO!$X$15-CÁLCULO.TotalAdmLocal)*CRONO!$F16,
                        0),
                 AB15*$S14),
          SUMIF(OFFSET($S16,1,0,$R14-2),($M14+1)&amp;"$",OFFSET(AB16,1,0,$R14-2)))</f>
        <v>549882.21020000009</v>
      </c>
      <c r="AC16" s="202" cm="1">
        <f t="array" aca="1" ref="AC16" ca="1">IF($R14=2,
         IF(AND(ACOMPANHAMENTO="PLE",ISNUMBER($F14)),
                SUMIF((OFFSET(CÁLCULO!$AM$15:$AW$15,$F14,0,OFFSET(ORÇAMENTO!$D$15,CRONO!$F14,0))),CRONO!AC$12,OFFSET(CÁLCULO!$AB$15:$AL$15,$F14,0,OFFSET(ORÇAMENTO!$D$15,CRONO!$F14,0)))
                +IF(AND($F16&lt;&gt;"",$F16&lt;&gt;0),
                        SUMIF(CÁLCULO!$AM$15:$AW$240,CRONO!AC$12,CÁLCULO!$AB$15:$AL$240)/(ORÇAMENTO!$X$15-CÁLCULO.TotalAdmLocal)*CRONO!$F16,
                        0),
                 AC15*$S14),
          SUMIF(OFFSET($S16,1,0,$R14-2),($M14+1)&amp;"$",OFFSET(AC16,1,0,$R14-2)))</f>
        <v>773424.85019999999</v>
      </c>
      <c r="AD16" s="202" cm="1">
        <f t="array" aca="1" ref="AD16" ca="1">IF($R14=2,
         IF(AND(ACOMPANHAMENTO="PLE",ISNUMBER($F14)),
                SUMIF((OFFSET(CÁLCULO!$AM$15:$AW$15,$F14,0,OFFSET(ORÇAMENTO!$D$15,CRONO!$F14,0))),CRONO!AD$12,OFFSET(CÁLCULO!$AB$15:$AL$15,$F14,0,OFFSET(ORÇAMENTO!$D$15,CRONO!$F14,0)))
                +IF(AND($F16&lt;&gt;"",$F16&lt;&gt;0),
                        SUMIF(CÁLCULO!$AM$15:$AW$240,CRONO!AD$12,CÁLCULO!$AB$15:$AL$240)/(ORÇAMENTO!$X$15-CÁLCULO.TotalAdmLocal)*CRONO!$F16,
                        0),
                 AD15*$S14),
          SUMIF(OFFSET($S16,1,0,$R14-2),($M14+1)&amp;"$",OFFSET(AD16,1,0,$R14-2)))</f>
        <v>297322.62520000001</v>
      </c>
      <c r="AE16" s="202" cm="1">
        <f t="array" aca="1" ref="AE16" ca="1">IF($R14=2,
         IF(AND(ACOMPANHAMENTO="PLE",ISNUMBER($F14)),
                SUMIF((OFFSET(CÁLCULO!$AM$15:$AW$15,$F14,0,OFFSET(ORÇAMENTO!$D$15,CRONO!$F14,0))),CRONO!AE$12,OFFSET(CÁLCULO!$AB$15:$AL$15,$F14,0,OFFSET(ORÇAMENTO!$D$15,CRONO!$F14,0)))
                +IF(AND($F16&lt;&gt;"",$F16&lt;&gt;0),
                        SUMIF(CÁLCULO!$AM$15:$AW$240,CRONO!AE$12,CÁLCULO!$AB$15:$AL$240)/(ORÇAMENTO!$X$15-CÁLCULO.TotalAdmLocal)*CRONO!$F16,
                        0),
                 AE15*$S14),
          SUMIF(OFFSET($S16,1,0,$R14-2),($M14+1)&amp;"$",OFFSET(AE16,1,0,$R14-2)))</f>
        <v>372370.88520000002</v>
      </c>
      <c r="AF16" s="202" cm="1">
        <f t="array" aca="1" ref="AF16" ca="1">IF($R14=2,
         IF(AND(ACOMPANHAMENTO="PLE",ISNUMBER($F14)),
                SUMIF((OFFSET(CÁLCULO!$AM$15:$AW$15,$F14,0,OFFSET(ORÇAMENTO!$D$15,CRONO!$F14,0))),CRONO!AF$12,OFFSET(CÁLCULO!$AB$15:$AL$15,$F14,0,OFFSET(ORÇAMENTO!$D$15,CRONO!$F14,0)))
                +IF(AND($F16&lt;&gt;"",$F16&lt;&gt;0),
                        SUMIF(CÁLCULO!$AM$15:$AW$240,CRONO!AF$12,CÁLCULO!$AB$15:$AL$240)/(ORÇAMENTO!$X$15-CÁLCULO.TotalAdmLocal)*CRONO!$F16,
                        0),
                 AF15*$S14),
          SUMIF(OFFSET($S16,1,0,$R14-2),($M14+1)&amp;"$",OFFSET(AF16,1,0,$R14-2)))</f>
        <v>400460.5588</v>
      </c>
      <c r="AG16" s="534"/>
    </row>
    <row r="17" spans="1:33" x14ac:dyDescent="0.2">
      <c r="A17" s="186" t="str">
        <f t="shared" ref="A17" ca="1" si="8">IF($M17&gt;1,_xlfn.CONCAT($I17," ",$J17),"")</f>
        <v>1.1. ADMINISTRAÇÃO DE OBRA</v>
      </c>
      <c r="B17" s="185">
        <f t="shared" ref="B17" ca="1" si="9">OFFSET(B17,-3,0)+1</f>
        <v>2</v>
      </c>
      <c r="C17" s="185">
        <f ca="1">IF($R17&lt;&gt;2,0,IF($S17=0,1,IF(F18&gt;0,OFFSET(QCI!$M$13,SUBSTITUTE(F18,".",""),0),OFFSET(ORÇAMENTO!$AA$15,CRONO!$F17,0))/$S17))</f>
        <v>0.46742776446497603</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ADMINISTRAÇÃO DE OBRA</v>
      </c>
      <c r="K17" s="191"/>
      <c r="L17" s="191"/>
      <c r="M17" s="192">
        <f ca="1">IF($F18=0,OFFSET(ORÇAMENTO!C$15,$F17,0),1)</f>
        <v>2</v>
      </c>
      <c r="N17" s="193">
        <f ca="1">IF($F18=-1,0,IF(N$13&lt;=$M17,IF(ISERROR(MATCH(N$13,OFFSET($M17,1,0,ROW($M$56)-ROW($M17)-1),0)),ROW($M$56)-ROW($M17)-1,MATCH(N$13,OFFSET($M17,1,0,ROW($M$56)-ROW($M17)-1),0)-1),0))</f>
        <v>38</v>
      </c>
      <c r="O17" s="193">
        <f ca="1">IF($F18=-1,0,IF(O$13&lt;=$M17,IF(ISERROR(MATCH(O$13,OFFSET($M17,1,0,ROW($M$56)-ROW($M17)-1),0)),ROW($M$56)-ROW($M17)-1,MATCH(O$13,OFFSET($M17,1,0,ROW($M$56)-ROW($M17)-1),0)-1),0))</f>
        <v>2</v>
      </c>
      <c r="P17" s="193">
        <f ca="1">IF($F18=-1,0,IF(P$13&lt;=$M17,IF(ISERROR(MATCH(P$13,OFFSET($M17,1,0,ROW($M$56)-ROW($M17)-1),0)),ROW($M$56)-ROW($M17)-1,MATCH(P$13,OFFSET($M17,1,0,ROW($M$56)-ROW($M17)-1),0)-1),0))</f>
        <v>0</v>
      </c>
      <c r="Q17" s="193">
        <f ca="1">IF($F18=-1,0,IF(Q$13&lt;=$M17,IF(ISERROR(MATCH(Q$13,OFFSET($M17,1,0,ROW($M$56)-ROW($M17)-1),0)),ROW($M$56)-ROW($M17)-1,MATCH(Q$13,OFFSET($M17,1,0,ROW($M$56)-ROW($M17)-1),0)-1),0))</f>
        <v>0</v>
      </c>
      <c r="R17" s="193">
        <f t="shared" ref="R17" ca="1" si="11">MIN(OFFSET(M17,0,1,,M17))</f>
        <v>2</v>
      </c>
      <c r="S17" s="194">
        <f ca="1">IF($F18=0,OFFSET(ORÇAMENTO!X$15,$F17,0),IF($F18&lt;&gt;-1,OFFSET(QCI!$O$13,$F18,0),""))</f>
        <v>21915.84</v>
      </c>
      <c r="T17" s="195" t="s">
        <v>785</v>
      </c>
      <c r="U17" s="188" cm="1">
        <f t="array" aca="1" ref="U17" ca="1">IF(AND($R17=2,ACOMPANHAMENTO="BM"),ROUND(U18,4),U19/$S17)</f>
        <v>0.08</v>
      </c>
      <c r="V17" s="188" cm="1">
        <f t="array" aca="1" ref="V17" ca="1">IF(AND($R17=2,ACOMPANHAMENTO="BM"),ROUND(V18,4),V19/$S17)</f>
        <v>0.08</v>
      </c>
      <c r="W17" s="188" cm="1">
        <f t="array" aca="1" ref="W17" ca="1">IF(AND($R17=2,ACOMPANHAMENTO="BM"),ROUND(W18,4),W19/$S17)</f>
        <v>0.08</v>
      </c>
      <c r="X17" s="188" cm="1">
        <f t="array" aca="1" ref="X17" ca="1">IF(AND($R17=2,ACOMPANHAMENTO="BM"),ROUND(X18,4),X19/$S17)</f>
        <v>0.08</v>
      </c>
      <c r="Y17" s="188" cm="1">
        <f t="array" aca="1" ref="Y17" ca="1">IF(AND($R17=2,ACOMPANHAMENTO="BM"),ROUND(Y18,4),Y19/$S17)</f>
        <v>0.08</v>
      </c>
      <c r="Z17" s="188" cm="1">
        <f t="array" aca="1" ref="Z17" ca="1">IF(AND($R17=2,ACOMPANHAMENTO="BM"),ROUND(Z18,4),Z19/$S17)</f>
        <v>0.08</v>
      </c>
      <c r="AA17" s="188" cm="1">
        <f t="array" aca="1" ref="AA17" ca="1">IF(AND($R17=2,ACOMPANHAMENTO="BM"),ROUND(AA18,4),AA19/$S17)</f>
        <v>0.08</v>
      </c>
      <c r="AB17" s="188" cm="1">
        <f t="array" aca="1" ref="AB17" ca="1">IF(AND($R17=2,ACOMPANHAMENTO="BM"),ROUND(AB18,4),AB19/$S17)</f>
        <v>0.08</v>
      </c>
      <c r="AC17" s="188" cm="1">
        <f t="array" aca="1" ref="AC17" ca="1">IF(AND($R17=2,ACOMPANHAMENTO="BM"),ROUND(AC18,4),AC19/$S17)</f>
        <v>0.08</v>
      </c>
      <c r="AD17" s="188" cm="1">
        <f t="array" aca="1" ref="AD17" ca="1">IF(AND($R17=2,ACOMPANHAMENTO="BM"),ROUND(AD18,4),AD19/$S17)</f>
        <v>0.08</v>
      </c>
      <c r="AE17" s="188" cm="1">
        <f t="array" aca="1" ref="AE17" ca="1">IF(AND($R17=2,ACOMPANHAMENTO="BM"),ROUND(AE18,4),AE19/$S17)</f>
        <v>0.08</v>
      </c>
      <c r="AF17" s="188" cm="1">
        <f t="array" aca="1" ref="AF17" ca="1">IF(AND($R17=2,ACOMPANHAMENTO="BM"),ROUND(AF18,4),AF19/$S17)</f>
        <v>0.12</v>
      </c>
      <c r="AG17" s="534"/>
    </row>
    <row r="18" spans="1:33" ht="12.75" customHeight="1" x14ac:dyDescent="0.2">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0.08</v>
      </c>
      <c r="V18" s="587">
        <v>0.08</v>
      </c>
      <c r="W18" s="587">
        <v>0.08</v>
      </c>
      <c r="X18" s="587">
        <v>0.08</v>
      </c>
      <c r="Y18" s="587">
        <v>0.08</v>
      </c>
      <c r="Z18" s="587">
        <v>0.08</v>
      </c>
      <c r="AA18" s="587">
        <v>0.08</v>
      </c>
      <c r="AB18" s="587">
        <v>0.08</v>
      </c>
      <c r="AC18" s="587">
        <v>0.08</v>
      </c>
      <c r="AD18" s="587">
        <v>0.08</v>
      </c>
      <c r="AE18" s="587">
        <v>0.08</v>
      </c>
      <c r="AF18" s="587">
        <v>0.12</v>
      </c>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SUMIF(CÁLCULO!$AM$15:$AW$240,CRONO!E$12,CÁLCULO!$AB$15:$AL$240)/(ORÇAMENTO!$X$15-CÁLCULO.TotalAdmLocal)*CRONO!$F19,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SUMIF(CÁLCULO!$AM$15:$AW$240,CRONO!U$12,CÁLCULO!$AB$15:$AL$240)/(ORÇAMENTO!$X$15-CÁLCULO.TotalAdmLocal)*CRONO!$F19,
                        0),
                 U18*$S17),
          SUMIF(OFFSET($S19,1,0,$R17-2),($M17+1)&amp;"$",OFFSET(U19,1,0,$R17-2)))</f>
        <v>1753.2672</v>
      </c>
      <c r="V19" s="202" cm="1">
        <f t="array" aca="1" ref="V19" ca="1">IF($R17=2,
         IF(AND(ACOMPANHAMENTO="PLE",ISNUMBER($F17)),
                SUMIF((OFFSET(CÁLCULO!$AM$15:$AW$15,$F17,0,OFFSET(ORÇAMENTO!$D$15,CRONO!$F17,0))),CRONO!V$12,OFFSET(CÁLCULO!$AB$15:$AL$15,$F17,0,OFFSET(ORÇAMENTO!$D$15,CRONO!$F17,0)))
                +IF(AND($F19&lt;&gt;"",$F19&lt;&gt;0),
                        SUMIF(CÁLCULO!$AM$15:$AW$240,CRONO!V$12,CÁLCULO!$AB$15:$AL$240)/(ORÇAMENTO!$X$15-CÁLCULO.TotalAdmLocal)*CRONO!$F19,
                        0),
                 V18*$S17),
          SUMIF(OFFSET($S19,1,0,$R17-2),($M17+1)&amp;"$",OFFSET(V19,1,0,$R17-2)))</f>
        <v>1753.2672</v>
      </c>
      <c r="W19" s="202" cm="1">
        <f t="array" aca="1" ref="W19" ca="1">IF($R17=2,
         IF(AND(ACOMPANHAMENTO="PLE",ISNUMBER($F17)),
                SUMIF((OFFSET(CÁLCULO!$AM$15:$AW$15,$F17,0,OFFSET(ORÇAMENTO!$D$15,CRONO!$F17,0))),CRONO!W$12,OFFSET(CÁLCULO!$AB$15:$AL$15,$F17,0,OFFSET(ORÇAMENTO!$D$15,CRONO!$F17,0)))
                +IF(AND($F19&lt;&gt;"",$F19&lt;&gt;0),
                        SUMIF(CÁLCULO!$AM$15:$AW$240,CRONO!W$12,CÁLCULO!$AB$15:$AL$240)/(ORÇAMENTO!$X$15-CÁLCULO.TotalAdmLocal)*CRONO!$F19,
                        0),
                 W18*$S17),
          SUMIF(OFFSET($S19,1,0,$R17-2),($M17+1)&amp;"$",OFFSET(W19,1,0,$R17-2)))</f>
        <v>1753.2672</v>
      </c>
      <c r="X19" s="202" cm="1">
        <f t="array" aca="1" ref="X19" ca="1">IF($R17=2,
         IF(AND(ACOMPANHAMENTO="PLE",ISNUMBER($F17)),
                SUMIF((OFFSET(CÁLCULO!$AM$15:$AW$15,$F17,0,OFFSET(ORÇAMENTO!$D$15,CRONO!$F17,0))),CRONO!X$12,OFFSET(CÁLCULO!$AB$15:$AL$15,$F17,0,OFFSET(ORÇAMENTO!$D$15,CRONO!$F17,0)))
                +IF(AND($F19&lt;&gt;"",$F19&lt;&gt;0),
                        SUMIF(CÁLCULO!$AM$15:$AW$240,CRONO!X$12,CÁLCULO!$AB$15:$AL$240)/(ORÇAMENTO!$X$15-CÁLCULO.TotalAdmLocal)*CRONO!$F19,
                        0),
                 X18*$S17),
          SUMIF(OFFSET($S19,1,0,$R17-2),($M17+1)&amp;"$",OFFSET(X19,1,0,$R17-2)))</f>
        <v>1753.2672</v>
      </c>
      <c r="Y19" s="202" cm="1">
        <f t="array" aca="1" ref="Y19" ca="1">IF($R17=2,
         IF(AND(ACOMPANHAMENTO="PLE",ISNUMBER($F17)),
                SUMIF((OFFSET(CÁLCULO!$AM$15:$AW$15,$F17,0,OFFSET(ORÇAMENTO!$D$15,CRONO!$F17,0))),CRONO!Y$12,OFFSET(CÁLCULO!$AB$15:$AL$15,$F17,0,OFFSET(ORÇAMENTO!$D$15,CRONO!$F17,0)))
                +IF(AND($F19&lt;&gt;"",$F19&lt;&gt;0),
                        SUMIF(CÁLCULO!$AM$15:$AW$240,CRONO!Y$12,CÁLCULO!$AB$15:$AL$240)/(ORÇAMENTO!$X$15-CÁLCULO.TotalAdmLocal)*CRONO!$F19,
                        0),
                 Y18*$S17),
          SUMIF(OFFSET($S19,1,0,$R17-2),($M17+1)&amp;"$",OFFSET(Y19,1,0,$R17-2)))</f>
        <v>1753.2672</v>
      </c>
      <c r="Z19" s="202" cm="1">
        <f t="array" aca="1" ref="Z19" ca="1">IF($R17=2,
         IF(AND(ACOMPANHAMENTO="PLE",ISNUMBER($F17)),
                SUMIF((OFFSET(CÁLCULO!$AM$15:$AW$15,$F17,0,OFFSET(ORÇAMENTO!$D$15,CRONO!$F17,0))),CRONO!Z$12,OFFSET(CÁLCULO!$AB$15:$AL$15,$F17,0,OFFSET(ORÇAMENTO!$D$15,CRONO!$F17,0)))
                +IF(AND($F19&lt;&gt;"",$F19&lt;&gt;0),
                        SUMIF(CÁLCULO!$AM$15:$AW$240,CRONO!Z$12,CÁLCULO!$AB$15:$AL$240)/(ORÇAMENTO!$X$15-CÁLCULO.TotalAdmLocal)*CRONO!$F19,
                        0),
                 Z18*$S17),
          SUMIF(OFFSET($S19,1,0,$R17-2),($M17+1)&amp;"$",OFFSET(Z19,1,0,$R17-2)))</f>
        <v>1753.2672</v>
      </c>
      <c r="AA19" s="202" cm="1">
        <f t="array" aca="1" ref="AA19" ca="1">IF($R17=2,
         IF(AND(ACOMPANHAMENTO="PLE",ISNUMBER($F17)),
                SUMIF((OFFSET(CÁLCULO!$AM$15:$AW$15,$F17,0,OFFSET(ORÇAMENTO!$D$15,CRONO!$F17,0))),CRONO!AA$12,OFFSET(CÁLCULO!$AB$15:$AL$15,$F17,0,OFFSET(ORÇAMENTO!$D$15,CRONO!$F17,0)))
                +IF(AND($F19&lt;&gt;"",$F19&lt;&gt;0),
                        SUMIF(CÁLCULO!$AM$15:$AW$240,CRONO!AA$12,CÁLCULO!$AB$15:$AL$240)/(ORÇAMENTO!$X$15-CÁLCULO.TotalAdmLocal)*CRONO!$F19,
                        0),
                 AA18*$S17),
          SUMIF(OFFSET($S19,1,0,$R17-2),($M17+1)&amp;"$",OFFSET(AA19,1,0,$R17-2)))</f>
        <v>1753.2672</v>
      </c>
      <c r="AB19" s="202" cm="1">
        <f t="array" aca="1" ref="AB19" ca="1">IF($R17=2,
         IF(AND(ACOMPANHAMENTO="PLE",ISNUMBER($F17)),
                SUMIF((OFFSET(CÁLCULO!$AM$15:$AW$15,$F17,0,OFFSET(ORÇAMENTO!$D$15,CRONO!$F17,0))),CRONO!AB$12,OFFSET(CÁLCULO!$AB$15:$AL$15,$F17,0,OFFSET(ORÇAMENTO!$D$15,CRONO!$F17,0)))
                +IF(AND($F19&lt;&gt;"",$F19&lt;&gt;0),
                        SUMIF(CÁLCULO!$AM$15:$AW$240,CRONO!AB$12,CÁLCULO!$AB$15:$AL$240)/(ORÇAMENTO!$X$15-CÁLCULO.TotalAdmLocal)*CRONO!$F19,
                        0),
                 AB18*$S17),
          SUMIF(OFFSET($S19,1,0,$R17-2),($M17+1)&amp;"$",OFFSET(AB19,1,0,$R17-2)))</f>
        <v>1753.2672</v>
      </c>
      <c r="AC19" s="202" cm="1">
        <f t="array" aca="1" ref="AC19" ca="1">IF($R17=2,
         IF(AND(ACOMPANHAMENTO="PLE",ISNUMBER($F17)),
                SUMIF((OFFSET(CÁLCULO!$AM$15:$AW$15,$F17,0,OFFSET(ORÇAMENTO!$D$15,CRONO!$F17,0))),CRONO!AC$12,OFFSET(CÁLCULO!$AB$15:$AL$15,$F17,0,OFFSET(ORÇAMENTO!$D$15,CRONO!$F17,0)))
                +IF(AND($F19&lt;&gt;"",$F19&lt;&gt;0),
                        SUMIF(CÁLCULO!$AM$15:$AW$240,CRONO!AC$12,CÁLCULO!$AB$15:$AL$240)/(ORÇAMENTO!$X$15-CÁLCULO.TotalAdmLocal)*CRONO!$F19,
                        0),
                 AC18*$S17),
          SUMIF(OFFSET($S19,1,0,$R17-2),($M17+1)&amp;"$",OFFSET(AC19,1,0,$R17-2)))</f>
        <v>1753.2672</v>
      </c>
      <c r="AD19" s="202" cm="1">
        <f t="array" aca="1" ref="AD19" ca="1">IF($R17=2,
         IF(AND(ACOMPANHAMENTO="PLE",ISNUMBER($F17)),
                SUMIF((OFFSET(CÁLCULO!$AM$15:$AW$15,$F17,0,OFFSET(ORÇAMENTO!$D$15,CRONO!$F17,0))),CRONO!AD$12,OFFSET(CÁLCULO!$AB$15:$AL$15,$F17,0,OFFSET(ORÇAMENTO!$D$15,CRONO!$F17,0)))
                +IF(AND($F19&lt;&gt;"",$F19&lt;&gt;0),
                        SUMIF(CÁLCULO!$AM$15:$AW$240,CRONO!AD$12,CÁLCULO!$AB$15:$AL$240)/(ORÇAMENTO!$X$15-CÁLCULO.TotalAdmLocal)*CRONO!$F19,
                        0),
                 AD18*$S17),
          SUMIF(OFFSET($S19,1,0,$R17-2),($M17+1)&amp;"$",OFFSET(AD19,1,0,$R17-2)))</f>
        <v>1753.2672</v>
      </c>
      <c r="AE19" s="202" cm="1">
        <f t="array" aca="1" ref="AE19" ca="1">IF($R17=2,
         IF(AND(ACOMPANHAMENTO="PLE",ISNUMBER($F17)),
                SUMIF((OFFSET(CÁLCULO!$AM$15:$AW$15,$F17,0,OFFSET(ORÇAMENTO!$D$15,CRONO!$F17,0))),CRONO!AE$12,OFFSET(CÁLCULO!$AB$15:$AL$15,$F17,0,OFFSET(ORÇAMENTO!$D$15,CRONO!$F17,0)))
                +IF(AND($F19&lt;&gt;"",$F19&lt;&gt;0),
                        SUMIF(CÁLCULO!$AM$15:$AW$240,CRONO!AE$12,CÁLCULO!$AB$15:$AL$240)/(ORÇAMENTO!$X$15-CÁLCULO.TotalAdmLocal)*CRONO!$F19,
                        0),
                 AE18*$S17),
          SUMIF(OFFSET($S19,1,0,$R17-2),($M17+1)&amp;"$",OFFSET(AE19,1,0,$R17-2)))</f>
        <v>1753.2672</v>
      </c>
      <c r="AF19" s="202" cm="1">
        <f t="array" aca="1" ref="AF19" ca="1">IF($R17=2,
         IF(AND(ACOMPANHAMENTO="PLE",ISNUMBER($F17)),
                SUMIF((OFFSET(CÁLCULO!$AM$15:$AW$15,$F17,0,OFFSET(ORÇAMENTO!$D$15,CRONO!$F17,0))),CRONO!AF$12,OFFSET(CÁLCULO!$AB$15:$AL$15,$F17,0,OFFSET(ORÇAMENTO!$D$15,CRONO!$F17,0)))
                +IF(AND($F19&lt;&gt;"",$F19&lt;&gt;0),
                        SUMIF(CÁLCULO!$AM$15:$AW$240,CRONO!AF$12,CÁLCULO!$AB$15:$AL$240)/(ORÇAMENTO!$X$15-CÁLCULO.TotalAdmLocal)*CRONO!$F19,
                        0),
                 AF18*$S17),
          SUMIF(OFFSET($S19,1,0,$R17-2),($M17+1)&amp;"$",OFFSET(AF19,1,0,$R17-2)))</f>
        <v>2629.9007999999999</v>
      </c>
      <c r="AG19" s="534"/>
    </row>
    <row r="20" spans="1:33" x14ac:dyDescent="0.2">
      <c r="A20" s="186" t="str">
        <f t="shared" ref="A20" ca="1" si="14">IF($M20&gt;1,_xlfn.CONCAT($I20," ",$J20),"")</f>
        <v>1.2. PLACA DE OBRA</v>
      </c>
      <c r="B20" s="185">
        <f t="shared" ref="B20" ca="1" si="15">OFFSET(B20,-3,0)+1</f>
        <v>3</v>
      </c>
      <c r="C20" s="185">
        <f ca="1">IF($R20&lt;&gt;2,0,IF($S20=0,1,IF(F21&gt;0,OFFSET(QCI!$M$13,SUBSTITUTE(F21,".",""),0),OFFSET(ORÇAMENTO!$AA$15,CRONO!$F20,0))/$S20))</f>
        <v>0.46742776446497597</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5</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PLACA DE OBRA</v>
      </c>
      <c r="K20" s="191"/>
      <c r="L20" s="191"/>
      <c r="M20" s="192">
        <f ca="1">IF($F21=0,OFFSET(ORÇAMENTO!C$15,$F20,0),1)</f>
        <v>2</v>
      </c>
      <c r="N20" s="193">
        <f ca="1">IF($F21=-1,0,IF(N$13&lt;=$M20,IF(ISERROR(MATCH(N$13,OFFSET($M20,1,0,ROW($M$56)-ROW($M20)-1),0)),ROW($M$56)-ROW($M20)-1,MATCH(N$13,OFFSET($M20,1,0,ROW($M$56)-ROW($M20)-1),0)-1),0))</f>
        <v>35</v>
      </c>
      <c r="O20" s="193">
        <f ca="1">IF($F21=-1,0,IF(O$13&lt;=$M20,IF(ISERROR(MATCH(O$13,OFFSET($M20,1,0,ROW($M$56)-ROW($M20)-1),0)),ROW($M$56)-ROW($M20)-1,MATCH(O$13,OFFSET($M20,1,0,ROW($M$56)-ROW($M20)-1),0)-1),0))</f>
        <v>2</v>
      </c>
      <c r="P20" s="193">
        <f ca="1">IF($F21=-1,0,IF(P$13&lt;=$M20,IF(ISERROR(MATCH(P$13,OFFSET($M20,1,0,ROW($M$56)-ROW($M20)-1),0)),ROW($M$56)-ROW($M20)-1,MATCH(P$13,OFFSET($M20,1,0,ROW($M$56)-ROW($M20)-1),0)-1),0))</f>
        <v>0</v>
      </c>
      <c r="Q20" s="193">
        <f ca="1">IF($F21=-1,0,IF(Q$13&lt;=$M20,IF(ISERROR(MATCH(Q$13,OFFSET($M20,1,0,ROW($M$56)-ROW($M20)-1),0)),ROW($M$56)-ROW($M20)-1,MATCH(Q$13,OFFSET($M20,1,0,ROW($M$56)-ROW($M20)-1),0)-1),0))</f>
        <v>0</v>
      </c>
      <c r="R20" s="193">
        <f t="shared" ref="R20" ca="1" si="17">MIN(OFFSET(M20,0,1,,M20))</f>
        <v>2</v>
      </c>
      <c r="S20" s="194">
        <f ca="1">IF($F21=0,OFFSET(ORÇAMENTO!X$15,$F20,0),IF($F21&lt;&gt;-1,OFFSET(QCI!$O$13,$F21,0),""))</f>
        <v>3641.52</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SUMIF(CÁLCULO!$AM$15:$AW$240,CRONO!E$12,CÁLCULO!$AB$15:$AL$240)/(ORÇAMENTO!$X$15-CÁLCULO.TotalAdmLocal)*CRONO!$F22,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SUMIF(CÁLCULO!$AM$15:$AW$240,CRONO!U$12,CÁLCULO!$AB$15:$AL$240)/(ORÇAMENTO!$X$15-CÁLCULO.TotalAdmLocal)*CRONO!$F22,
                        0),
                 U21*$S20),
          SUMIF(OFFSET($S22,1,0,$R20-2),($M20+1)&amp;"$",OFFSET(U22,1,0,$R20-2)))</f>
        <v>3641.52</v>
      </c>
      <c r="V22" s="202" cm="1">
        <f t="array" aca="1" ref="V22" ca="1">IF($R20=2,
         IF(AND(ACOMPANHAMENTO="PLE",ISNUMBER($F20)),
                SUMIF((OFFSET(CÁLCULO!$AM$15:$AW$15,$F20,0,OFFSET(ORÇAMENTO!$D$15,CRONO!$F20,0))),CRONO!V$12,OFFSET(CÁLCULO!$AB$15:$AL$15,$F20,0,OFFSET(ORÇAMENTO!$D$15,CRONO!$F20,0)))
                +IF(AND($F22&lt;&gt;"",$F22&lt;&gt;0),
                        SUMIF(CÁLCULO!$AM$15:$AW$240,CRONO!V$12,CÁLCULO!$AB$15:$AL$240)/(ORÇAMENTO!$X$15-CÁLCULO.TotalAdmLocal)*CRONO!$F22,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SUMIF(CÁLCULO!$AM$15:$AW$240,CRONO!W$12,CÁLCULO!$AB$15:$AL$240)/(ORÇAMENTO!$X$15-CÁLCULO.TotalAdmLocal)*CRONO!$F22,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SUMIF(CÁLCULO!$AM$15:$AW$240,CRONO!X$12,CÁLCULO!$AB$15:$AL$240)/(ORÇAMENTO!$X$15-CÁLCULO.TotalAdmLocal)*CRONO!$F22,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SUMIF(CÁLCULO!$AM$15:$AW$240,CRONO!Y$12,CÁLCULO!$AB$15:$AL$240)/(ORÇAMENTO!$X$15-CÁLCULO.TotalAdmLocal)*CRONO!$F22,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SUMIF(CÁLCULO!$AM$15:$AW$240,CRONO!Z$12,CÁLCULO!$AB$15:$AL$240)/(ORÇAMENTO!$X$15-CÁLCULO.TotalAdmLocal)*CRONO!$F22,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SUMIF(CÁLCULO!$AM$15:$AW$240,CRONO!AA$12,CÁLCULO!$AB$15:$AL$240)/(ORÇAMENTO!$X$15-CÁLCULO.TotalAdmLocal)*CRONO!$F22,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SUMIF(CÁLCULO!$AM$15:$AW$240,CRONO!AB$12,CÁLCULO!$AB$15:$AL$240)/(ORÇAMENTO!$X$15-CÁLCULO.TotalAdmLocal)*CRONO!$F22,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SUMIF(CÁLCULO!$AM$15:$AW$240,CRONO!AC$12,CÁLCULO!$AB$15:$AL$240)/(ORÇAMENTO!$X$15-CÁLCULO.TotalAdmLocal)*CRONO!$F22,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SUMIF(CÁLCULO!$AM$15:$AW$240,CRONO!AD$12,CÁLCULO!$AB$15:$AL$240)/(ORÇAMENTO!$X$15-CÁLCULO.TotalAdmLocal)*CRONO!$F22,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SUMIF(CÁLCULO!$AM$15:$AW$240,CRONO!AE$12,CÁLCULO!$AB$15:$AL$240)/(ORÇAMENTO!$X$15-CÁLCULO.TotalAdmLocal)*CRONO!$F22,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SUMIF(CÁLCULO!$AM$15:$AW$240,CRONO!AF$12,CÁLCULO!$AB$15:$AL$240)/(ORÇAMENTO!$X$15-CÁLCULO.TotalAdmLocal)*CRONO!$F22,
                        0),
                 AF21*$S20),
          SUMIF(OFFSET($S22,1,0,$R20-2),($M20+1)&amp;"$",OFFSET(AF22,1,0,$R20-2)))</f>
        <v>0</v>
      </c>
      <c r="AG22" s="534"/>
    </row>
    <row r="23" spans="1:33" x14ac:dyDescent="0.2">
      <c r="A23" s="186" t="str">
        <f t="shared" ref="A23" ca="1" si="20">IF($M23&gt;1,_xlfn.CONCAT($I23," ",$J23),"")</f>
        <v>1.3. SERVIÇOS PRELIMINARES</v>
      </c>
      <c r="B23" s="185">
        <f t="shared" ref="B23" ca="1" si="21">OFFSET(B23,-3,0)+1</f>
        <v>4</v>
      </c>
      <c r="C23" s="185">
        <f ca="1">IF($R23&lt;&gt;2,0,IF($S23=0,1,IF(F24&gt;0,OFFSET(QCI!$M$13,SUBSTITUTE(F24,".",""),0),OFFSET(ORÇAMENTO!$AA$15,CRONO!$F23,0))/$S23))</f>
        <v>0.46742776446497597</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7</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SERVIÇOS PRELIMINARES</v>
      </c>
      <c r="K23" s="191"/>
      <c r="L23" s="191"/>
      <c r="M23" s="192">
        <f ca="1">IF($F24=0,OFFSET(ORÇAMENTO!C$15,$F23,0),1)</f>
        <v>2</v>
      </c>
      <c r="N23" s="193">
        <f ca="1">IF($F24=-1,0,IF(N$13&lt;=$M23,IF(ISERROR(MATCH(N$13,OFFSET($M23,1,0,ROW($M$56)-ROW($M23)-1),0)),ROW($M$56)-ROW($M23)-1,MATCH(N$13,OFFSET($M23,1,0,ROW($M$56)-ROW($M23)-1),0)-1),0))</f>
        <v>32</v>
      </c>
      <c r="O23" s="193">
        <f ca="1">IF($F24=-1,0,IF(O$13&lt;=$M23,IF(ISERROR(MATCH(O$13,OFFSET($M23,1,0,ROW($M$56)-ROW($M23)-1),0)),ROW($M$56)-ROW($M23)-1,MATCH(O$13,OFFSET($M23,1,0,ROW($M$56)-ROW($M23)-1),0)-1),0))</f>
        <v>2</v>
      </c>
      <c r="P23" s="193">
        <f ca="1">IF($F24=-1,0,IF(P$13&lt;=$M23,IF(ISERROR(MATCH(P$13,OFFSET($M23,1,0,ROW($M$56)-ROW($M23)-1),0)),ROW($M$56)-ROW($M23)-1,MATCH(P$13,OFFSET($M23,1,0,ROW($M$56)-ROW($M23)-1),0)-1),0))</f>
        <v>0</v>
      </c>
      <c r="Q23" s="193">
        <f ca="1">IF($F24=-1,0,IF(Q$13&lt;=$M23,IF(ISERROR(MATCH(Q$13,OFFSET($M23,1,0,ROW($M$56)-ROW($M23)-1),0)),ROW($M$56)-ROW($M23)-1,MATCH(Q$13,OFFSET($M23,1,0,ROW($M$56)-ROW($M23)-1),0)-1),0))</f>
        <v>0</v>
      </c>
      <c r="R23" s="193">
        <f t="shared" ref="R23" ca="1" si="23">MIN(OFFSET(M23,0,1,,M23))</f>
        <v>2</v>
      </c>
      <c r="S23" s="194">
        <f ca="1">IF($F24=0,OFFSET(ORÇAMENTO!X$15,$F23,0),IF($F24&lt;&gt;-1,OFFSET(QCI!$O$13,$F24,0),""))</f>
        <v>72583.649999999994</v>
      </c>
      <c r="T23" s="195" t="s">
        <v>785</v>
      </c>
      <c r="U23" s="188" cm="1">
        <f t="array" aca="1" ref="U23" ca="1">IF(AND($R23=2,ACOMPANHAMENTO="BM"),ROUND(U24,4),U25/$S23)</f>
        <v>0.3</v>
      </c>
      <c r="V23" s="188" cm="1">
        <f t="array" aca="1" ref="V23" ca="1">IF(AND($R23=2,ACOMPANHAMENTO="BM"),ROUND(V24,4),V25/$S23)</f>
        <v>0.3</v>
      </c>
      <c r="W23" s="188" cm="1">
        <f t="array" aca="1" ref="W23" ca="1">IF(AND($R23=2,ACOMPANHAMENTO="BM"),ROUND(W24,4),W25/$S23)</f>
        <v>0.3</v>
      </c>
      <c r="X23" s="188" cm="1">
        <f t="array" aca="1" ref="X23" ca="1">IF(AND($R23=2,ACOMPANHAMENTO="BM"),ROUND(X24,4),X25/$S23)</f>
        <v>0.1</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v>0.3</v>
      </c>
      <c r="V24" s="587">
        <v>0.3</v>
      </c>
      <c r="W24" s="587">
        <v>0.3</v>
      </c>
      <c r="X24" s="587">
        <v>0.1</v>
      </c>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SUMIF(CÁLCULO!$AM$15:$AW$240,CRONO!E$12,CÁLCULO!$AB$15:$AL$240)/(ORÇAMENTO!$X$15-CÁLCULO.TotalAdmLocal)*CRONO!$F25,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SUMIF(CÁLCULO!$AM$15:$AW$240,CRONO!U$12,CÁLCULO!$AB$15:$AL$240)/(ORÇAMENTO!$X$15-CÁLCULO.TotalAdmLocal)*CRONO!$F25,
                        0),
                 U24*$S23),
          SUMIF(OFFSET($S25,1,0,$R23-2),($M23+1)&amp;"$",OFFSET(U25,1,0,$R23-2)))</f>
        <v>21775.094999999998</v>
      </c>
      <c r="V25" s="202" cm="1">
        <f t="array" aca="1" ref="V25" ca="1">IF($R23=2,
         IF(AND(ACOMPANHAMENTO="PLE",ISNUMBER($F23)),
                SUMIF((OFFSET(CÁLCULO!$AM$15:$AW$15,$F23,0,OFFSET(ORÇAMENTO!$D$15,CRONO!$F23,0))),CRONO!V$12,OFFSET(CÁLCULO!$AB$15:$AL$15,$F23,0,OFFSET(ORÇAMENTO!$D$15,CRONO!$F23,0)))
                +IF(AND($F25&lt;&gt;"",$F25&lt;&gt;0),
                        SUMIF(CÁLCULO!$AM$15:$AW$240,CRONO!V$12,CÁLCULO!$AB$15:$AL$240)/(ORÇAMENTO!$X$15-CÁLCULO.TotalAdmLocal)*CRONO!$F25,
                        0),
                 V24*$S23),
          SUMIF(OFFSET($S25,1,0,$R23-2),($M23+1)&amp;"$",OFFSET(V25,1,0,$R23-2)))</f>
        <v>21775.094999999998</v>
      </c>
      <c r="W25" s="202" cm="1">
        <f t="array" aca="1" ref="W25" ca="1">IF($R23=2,
         IF(AND(ACOMPANHAMENTO="PLE",ISNUMBER($F23)),
                SUMIF((OFFSET(CÁLCULO!$AM$15:$AW$15,$F23,0,OFFSET(ORÇAMENTO!$D$15,CRONO!$F23,0))),CRONO!W$12,OFFSET(CÁLCULO!$AB$15:$AL$15,$F23,0,OFFSET(ORÇAMENTO!$D$15,CRONO!$F23,0)))
                +IF(AND($F25&lt;&gt;"",$F25&lt;&gt;0),
                        SUMIF(CÁLCULO!$AM$15:$AW$240,CRONO!W$12,CÁLCULO!$AB$15:$AL$240)/(ORÇAMENTO!$X$15-CÁLCULO.TotalAdmLocal)*CRONO!$F25,
                        0),
                 W24*$S23),
          SUMIF(OFFSET($S25,1,0,$R23-2),($M23+1)&amp;"$",OFFSET(W25,1,0,$R23-2)))</f>
        <v>21775.094999999998</v>
      </c>
      <c r="X25" s="202" cm="1">
        <f t="array" aca="1" ref="X25" ca="1">IF($R23=2,
         IF(AND(ACOMPANHAMENTO="PLE",ISNUMBER($F23)),
                SUMIF((OFFSET(CÁLCULO!$AM$15:$AW$15,$F23,0,OFFSET(ORÇAMENTO!$D$15,CRONO!$F23,0))),CRONO!X$12,OFFSET(CÁLCULO!$AB$15:$AL$15,$F23,0,OFFSET(ORÇAMENTO!$D$15,CRONO!$F23,0)))
                +IF(AND($F25&lt;&gt;"",$F25&lt;&gt;0),
                        SUMIF(CÁLCULO!$AM$15:$AW$240,CRONO!X$12,CÁLCULO!$AB$15:$AL$240)/(ORÇAMENTO!$X$15-CÁLCULO.TotalAdmLocal)*CRONO!$F25,
                        0),
                 X24*$S23),
          SUMIF(OFFSET($S25,1,0,$R23-2),($M23+1)&amp;"$",OFFSET(X25,1,0,$R23-2)))</f>
        <v>7258.3649999999998</v>
      </c>
      <c r="Y25" s="202" cm="1">
        <f t="array" aca="1" ref="Y25" ca="1">IF($R23=2,
         IF(AND(ACOMPANHAMENTO="PLE",ISNUMBER($F23)),
                SUMIF((OFFSET(CÁLCULO!$AM$15:$AW$15,$F23,0,OFFSET(ORÇAMENTO!$D$15,CRONO!$F23,0))),CRONO!Y$12,OFFSET(CÁLCULO!$AB$15:$AL$15,$F23,0,OFFSET(ORÇAMENTO!$D$15,CRONO!$F23,0)))
                +IF(AND($F25&lt;&gt;"",$F25&lt;&gt;0),
                        SUMIF(CÁLCULO!$AM$15:$AW$240,CRONO!Y$12,CÁLCULO!$AB$15:$AL$240)/(ORÇAMENTO!$X$15-CÁLCULO.TotalAdmLocal)*CRONO!$F25,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SUMIF(CÁLCULO!$AM$15:$AW$240,CRONO!Z$12,CÁLCULO!$AB$15:$AL$240)/(ORÇAMENTO!$X$15-CÁLCULO.TotalAdmLocal)*CRONO!$F25,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SUMIF(CÁLCULO!$AM$15:$AW$240,CRONO!AA$12,CÁLCULO!$AB$15:$AL$240)/(ORÇAMENTO!$X$15-CÁLCULO.TotalAdmLocal)*CRONO!$F25,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SUMIF(CÁLCULO!$AM$15:$AW$240,CRONO!AB$12,CÁLCULO!$AB$15:$AL$240)/(ORÇAMENTO!$X$15-CÁLCULO.TotalAdmLocal)*CRONO!$F25,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SUMIF(CÁLCULO!$AM$15:$AW$240,CRONO!AC$12,CÁLCULO!$AB$15:$AL$240)/(ORÇAMENTO!$X$15-CÁLCULO.TotalAdmLocal)*CRONO!$F25,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SUMIF(CÁLCULO!$AM$15:$AW$240,CRONO!AD$12,CÁLCULO!$AB$15:$AL$240)/(ORÇAMENTO!$X$15-CÁLCULO.TotalAdmLocal)*CRONO!$F25,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SUMIF(CÁLCULO!$AM$15:$AW$240,CRONO!AE$12,CÁLCULO!$AB$15:$AL$240)/(ORÇAMENTO!$X$15-CÁLCULO.TotalAdmLocal)*CRONO!$F25,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SUMIF(CÁLCULO!$AM$15:$AW$240,CRONO!AF$12,CÁLCULO!$AB$15:$AL$240)/(ORÇAMENTO!$X$15-CÁLCULO.TotalAdmLocal)*CRONO!$F25,
                        0),
                 AF24*$S23),
          SUMIF(OFFSET($S25,1,0,$R23-2),($M23+1)&amp;"$",OFFSET(AF25,1,0,$R23-2)))</f>
        <v>0</v>
      </c>
      <c r="AG25" s="534"/>
    </row>
    <row r="26" spans="1:33" x14ac:dyDescent="0.2">
      <c r="A26" s="186" t="str">
        <f t="shared" ref="A26" ca="1" si="26">IF($M26&gt;1,_xlfn.CONCAT($I26," ",$J26),"")</f>
        <v>1.4. INFRAESTRUTURA</v>
      </c>
      <c r="B26" s="185">
        <f t="shared" ref="B26" ca="1" si="27">OFFSET(B26,-3,0)+1</f>
        <v>5</v>
      </c>
      <c r="C26" s="185">
        <f ca="1">IF($R26&lt;&gt;2,0,IF($S26=0,1,IF(F27&gt;0,OFFSET(QCI!$M$13,SUBSTITUTE(F27,".",""),0),OFFSET(ORÇAMENTO!$AA$15,CRONO!$F26,0))/$S26))</f>
        <v>0.46742776446497608</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9</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INFRAESTRUTURA</v>
      </c>
      <c r="K26" s="191"/>
      <c r="L26" s="191"/>
      <c r="M26" s="192">
        <f ca="1">IF($F27=0,OFFSET(ORÇAMENTO!C$15,$F26,0),1)</f>
        <v>2</v>
      </c>
      <c r="N26" s="193">
        <f ca="1">IF($F27=-1,0,IF(N$13&lt;=$M26,IF(ISERROR(MATCH(N$13,OFFSET($M26,1,0,ROW($M$56)-ROW($M26)-1),0)),ROW($M$56)-ROW($M26)-1,MATCH(N$13,OFFSET($M26,1,0,ROW($M$56)-ROW($M26)-1),0)-1),0))</f>
        <v>29</v>
      </c>
      <c r="O26" s="193">
        <f ca="1">IF($F27=-1,0,IF(O$13&lt;=$M26,IF(ISERROR(MATCH(O$13,OFFSET($M26,1,0,ROW($M$56)-ROW($M26)-1),0)),ROW($M$56)-ROW($M26)-1,MATCH(O$13,OFFSET($M26,1,0,ROW($M$56)-ROW($M26)-1),0)-1),0))</f>
        <v>2</v>
      </c>
      <c r="P26" s="193">
        <f ca="1">IF($F27=-1,0,IF(P$13&lt;=$M26,IF(ISERROR(MATCH(P$13,OFFSET($M26,1,0,ROW($M$56)-ROW($M26)-1),0)),ROW($M$56)-ROW($M26)-1,MATCH(P$13,OFFSET($M26,1,0,ROW($M$56)-ROW($M26)-1),0)-1),0))</f>
        <v>0</v>
      </c>
      <c r="Q26" s="193">
        <f ca="1">IF($F27=-1,0,IF(Q$13&lt;=$M26,IF(ISERROR(MATCH(Q$13,OFFSET($M26,1,0,ROW($M$56)-ROW($M26)-1),0)),ROW($M$56)-ROW($M26)-1,MATCH(Q$13,OFFSET($M26,1,0,ROW($M$56)-ROW($M26)-1),0)-1),0))</f>
        <v>0</v>
      </c>
      <c r="R26" s="193">
        <f t="shared" ref="R26" ca="1" si="29">MIN(OFFSET(M26,0,1,,M26))</f>
        <v>2</v>
      </c>
      <c r="S26" s="194">
        <f ca="1">IF($F27=0,OFFSET(ORÇAMENTO!X$15,$F26,0),IF($F27&lt;&gt;-1,OFFSET(QCI!$O$13,$F27,0),""))</f>
        <v>806251.07</v>
      </c>
      <c r="T26" s="195" t="s">
        <v>785</v>
      </c>
      <c r="U26" s="188" cm="1">
        <f t="array" aca="1" ref="U26" ca="1">IF(AND($R26=2,ACOMPANHAMENTO="BM"),ROUND(U27,4),U28/$S26)</f>
        <v>0.3</v>
      </c>
      <c r="V26" s="188" cm="1">
        <f t="array" aca="1" ref="V26" ca="1">IF(AND($R26=2,ACOMPANHAMENTO="BM"),ROUND(V27,4),V28/$S26)</f>
        <v>0.3</v>
      </c>
      <c r="W26" s="188" cm="1">
        <f t="array" aca="1" ref="W26" ca="1">IF(AND($R26=2,ACOMPANHAMENTO="BM"),ROUND(W27,4),W28/$S26)</f>
        <v>0.3</v>
      </c>
      <c r="X26" s="188" cm="1">
        <f t="array" aca="1" ref="X26" ca="1">IF(AND($R26=2,ACOMPANHAMENTO="BM"),ROUND(X27,4),X28/$S26)</f>
        <v>0.1</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v>0.3</v>
      </c>
      <c r="V27" s="587">
        <v>0.3</v>
      </c>
      <c r="W27" s="587">
        <v>0.3</v>
      </c>
      <c r="X27" s="587">
        <v>0.1</v>
      </c>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SUMIF(CÁLCULO!$AM$15:$AW$240,CRONO!E$12,CÁLCULO!$AB$15:$AL$240)/(ORÇAMENTO!$X$15-CÁLCULO.TotalAdmLocal)*CRONO!$F28,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SUMIF(CÁLCULO!$AM$15:$AW$240,CRONO!U$12,CÁLCULO!$AB$15:$AL$240)/(ORÇAMENTO!$X$15-CÁLCULO.TotalAdmLocal)*CRONO!$F28,
                        0),
                 U27*$S26),
          SUMIF(OFFSET($S28,1,0,$R26-2),($M26+1)&amp;"$",OFFSET(U28,1,0,$R26-2)))</f>
        <v>241875.32099999997</v>
      </c>
      <c r="V28" s="202" cm="1">
        <f t="array" aca="1" ref="V28" ca="1">IF($R26=2,
         IF(AND(ACOMPANHAMENTO="PLE",ISNUMBER($F26)),
                SUMIF((OFFSET(CÁLCULO!$AM$15:$AW$15,$F26,0,OFFSET(ORÇAMENTO!$D$15,CRONO!$F26,0))),CRONO!V$12,OFFSET(CÁLCULO!$AB$15:$AL$15,$F26,0,OFFSET(ORÇAMENTO!$D$15,CRONO!$F26,0)))
                +IF(AND($F28&lt;&gt;"",$F28&lt;&gt;0),
                        SUMIF(CÁLCULO!$AM$15:$AW$240,CRONO!V$12,CÁLCULO!$AB$15:$AL$240)/(ORÇAMENTO!$X$15-CÁLCULO.TotalAdmLocal)*CRONO!$F28,
                        0),
                 V27*$S26),
          SUMIF(OFFSET($S28,1,0,$R26-2),($M26+1)&amp;"$",OFFSET(V28,1,0,$R26-2)))</f>
        <v>241875.32099999997</v>
      </c>
      <c r="W28" s="202" cm="1">
        <f t="array" aca="1" ref="W28" ca="1">IF($R26=2,
         IF(AND(ACOMPANHAMENTO="PLE",ISNUMBER($F26)),
                SUMIF((OFFSET(CÁLCULO!$AM$15:$AW$15,$F26,0,OFFSET(ORÇAMENTO!$D$15,CRONO!$F26,0))),CRONO!W$12,OFFSET(CÁLCULO!$AB$15:$AL$15,$F26,0,OFFSET(ORÇAMENTO!$D$15,CRONO!$F26,0)))
                +IF(AND($F28&lt;&gt;"",$F28&lt;&gt;0),
                        SUMIF(CÁLCULO!$AM$15:$AW$240,CRONO!W$12,CÁLCULO!$AB$15:$AL$240)/(ORÇAMENTO!$X$15-CÁLCULO.TotalAdmLocal)*CRONO!$F28,
                        0),
                 W27*$S26),
          SUMIF(OFFSET($S28,1,0,$R26-2),($M26+1)&amp;"$",OFFSET(W28,1,0,$R26-2)))</f>
        <v>241875.32099999997</v>
      </c>
      <c r="X28" s="202" cm="1">
        <f t="array" aca="1" ref="X28" ca="1">IF($R26=2,
         IF(AND(ACOMPANHAMENTO="PLE",ISNUMBER($F26)),
                SUMIF((OFFSET(CÁLCULO!$AM$15:$AW$15,$F26,0,OFFSET(ORÇAMENTO!$D$15,CRONO!$F26,0))),CRONO!X$12,OFFSET(CÁLCULO!$AB$15:$AL$15,$F26,0,OFFSET(ORÇAMENTO!$D$15,CRONO!$F26,0)))
                +IF(AND($F28&lt;&gt;"",$F28&lt;&gt;0),
                        SUMIF(CÁLCULO!$AM$15:$AW$240,CRONO!X$12,CÁLCULO!$AB$15:$AL$240)/(ORÇAMENTO!$X$15-CÁLCULO.TotalAdmLocal)*CRONO!$F28,
                        0),
                 X27*$S26),
          SUMIF(OFFSET($S28,1,0,$R26-2),($M26+1)&amp;"$",OFFSET(X28,1,0,$R26-2)))</f>
        <v>80625.107000000004</v>
      </c>
      <c r="Y28" s="202" cm="1">
        <f t="array" aca="1" ref="Y28" ca="1">IF($R26=2,
         IF(AND(ACOMPANHAMENTO="PLE",ISNUMBER($F26)),
                SUMIF((OFFSET(CÁLCULO!$AM$15:$AW$15,$F26,0,OFFSET(ORÇAMENTO!$D$15,CRONO!$F26,0))),CRONO!Y$12,OFFSET(CÁLCULO!$AB$15:$AL$15,$F26,0,OFFSET(ORÇAMENTO!$D$15,CRONO!$F26,0)))
                +IF(AND($F28&lt;&gt;"",$F28&lt;&gt;0),
                        SUMIF(CÁLCULO!$AM$15:$AW$240,CRONO!Y$12,CÁLCULO!$AB$15:$AL$240)/(ORÇAMENTO!$X$15-CÁLCULO.TotalAdmLocal)*CRONO!$F28,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SUMIF(CÁLCULO!$AM$15:$AW$240,CRONO!Z$12,CÁLCULO!$AB$15:$AL$240)/(ORÇAMENTO!$X$15-CÁLCULO.TotalAdmLocal)*CRONO!$F28,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SUMIF(CÁLCULO!$AM$15:$AW$240,CRONO!AA$12,CÁLCULO!$AB$15:$AL$240)/(ORÇAMENTO!$X$15-CÁLCULO.TotalAdmLocal)*CRONO!$F28,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SUMIF(CÁLCULO!$AM$15:$AW$240,CRONO!AB$12,CÁLCULO!$AB$15:$AL$240)/(ORÇAMENTO!$X$15-CÁLCULO.TotalAdmLocal)*CRONO!$F28,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SUMIF(CÁLCULO!$AM$15:$AW$240,CRONO!AC$12,CÁLCULO!$AB$15:$AL$240)/(ORÇAMENTO!$X$15-CÁLCULO.TotalAdmLocal)*CRONO!$F28,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SUMIF(CÁLCULO!$AM$15:$AW$240,CRONO!AD$12,CÁLCULO!$AB$15:$AL$240)/(ORÇAMENTO!$X$15-CÁLCULO.TotalAdmLocal)*CRONO!$F28,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SUMIF(CÁLCULO!$AM$15:$AW$240,CRONO!AE$12,CÁLCULO!$AB$15:$AL$240)/(ORÇAMENTO!$X$15-CÁLCULO.TotalAdmLocal)*CRONO!$F28,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SUMIF(CÁLCULO!$AM$15:$AW$240,CRONO!AF$12,CÁLCULO!$AB$15:$AL$240)/(ORÇAMENTO!$X$15-CÁLCULO.TotalAdmLocal)*CRONO!$F28,
                        0),
                 AF27*$S26),
          SUMIF(OFFSET($S28,1,0,$R26-2),($M26+1)&amp;"$",OFFSET(AF28,1,0,$R26-2)))</f>
        <v>0</v>
      </c>
      <c r="AG28" s="534"/>
    </row>
    <row r="29" spans="1:33" x14ac:dyDescent="0.2">
      <c r="A29" s="186" t="str">
        <f t="shared" ref="A29" ca="1" si="32">IF($M29&gt;1,_xlfn.CONCAT($I29," ",$J29),"")</f>
        <v>1.5. ALVENARIAS E VEDAÇÕES</v>
      </c>
      <c r="B29" s="185">
        <f t="shared" ref="B29" ca="1" si="33">OFFSET(B29,-3,0)+1</f>
        <v>6</v>
      </c>
      <c r="C29" s="185">
        <f ca="1">IF($R29&lt;&gt;2,0,IF($S29=0,1,IF(F30&gt;0,OFFSET(QCI!$M$13,SUBSTITUTE(F30,".",""),0),OFFSET(ORÇAMENTO!$AA$15,CRONO!$F29,0))/$S29))</f>
        <v>0.46742776446497597</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88</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ALVENARIAS E VEDAÇÕES</v>
      </c>
      <c r="K29" s="191"/>
      <c r="L29" s="191"/>
      <c r="M29" s="192">
        <f ca="1">IF($F30=0,OFFSET(ORÇAMENTO!C$15,$F29,0),1)</f>
        <v>2</v>
      </c>
      <c r="N29" s="193">
        <f ca="1">IF($F30=-1,0,IF(N$13&lt;=$M29,IF(ISERROR(MATCH(N$13,OFFSET($M29,1,0,ROW($M$56)-ROW($M29)-1),0)),ROW($M$56)-ROW($M29)-1,MATCH(N$13,OFFSET($M29,1,0,ROW($M$56)-ROW($M29)-1),0)-1),0))</f>
        <v>26</v>
      </c>
      <c r="O29" s="193">
        <f ca="1">IF($F30=-1,0,IF(O$13&lt;=$M29,IF(ISERROR(MATCH(O$13,OFFSET($M29,1,0,ROW($M$56)-ROW($M29)-1),0)),ROW($M$56)-ROW($M29)-1,MATCH(O$13,OFFSET($M29,1,0,ROW($M$56)-ROW($M29)-1),0)-1),0))</f>
        <v>2</v>
      </c>
      <c r="P29" s="193">
        <f ca="1">IF($F30=-1,0,IF(P$13&lt;=$M29,IF(ISERROR(MATCH(P$13,OFFSET($M29,1,0,ROW($M$56)-ROW($M29)-1),0)),ROW($M$56)-ROW($M29)-1,MATCH(P$13,OFFSET($M29,1,0,ROW($M$56)-ROW($M29)-1),0)-1),0))</f>
        <v>0</v>
      </c>
      <c r="Q29" s="193">
        <f ca="1">IF($F30=-1,0,IF(Q$13&lt;=$M29,IF(ISERROR(MATCH(Q$13,OFFSET($M29,1,0,ROW($M$56)-ROW($M29)-1),0)),ROW($M$56)-ROW($M29)-1,MATCH(Q$13,OFFSET($M29,1,0,ROW($M$56)-ROW($M29)-1),0)-1),0))</f>
        <v>0</v>
      </c>
      <c r="R29" s="193">
        <f t="shared" ref="R29" ca="1" si="35">MIN(OFFSET(M29,0,1,,M29))</f>
        <v>2</v>
      </c>
      <c r="S29" s="194">
        <f ca="1">IF($F30=0,OFFSET(ORÇAMENTO!X$15,$F29,0),IF($F30&lt;&gt;-1,OFFSET(QCI!$O$13,$F30,0),""))</f>
        <v>545054.98</v>
      </c>
      <c r="T29" s="195" t="s">
        <v>785</v>
      </c>
      <c r="U29" s="188" cm="1">
        <f t="array" aca="1" ref="U29" ca="1">IF(AND($R29=2,ACOMPANHAMENTO="BM"),ROUND(U30,4),U31/$S29)</f>
        <v>0</v>
      </c>
      <c r="V29" s="188" cm="1">
        <f t="array" aca="1" ref="V29" ca="1">IF(AND($R29=2,ACOMPANHAMENTO="BM"),ROUND(V30,4),V31/$S29)</f>
        <v>0</v>
      </c>
      <c r="W29" s="188" cm="1">
        <f t="array" aca="1" ref="W29" ca="1">IF(AND($R29=2,ACOMPANHAMENTO="BM"),ROUND(W30,4),W31/$S29)</f>
        <v>0.1</v>
      </c>
      <c r="X29" s="188" cm="1">
        <f t="array" aca="1" ref="X29" ca="1">IF(AND($R29=2,ACOMPANHAMENTO="BM"),ROUND(X30,4),X31/$S29)</f>
        <v>0.3</v>
      </c>
      <c r="Y29" s="188" cm="1">
        <f t="array" aca="1" ref="Y29" ca="1">IF(AND($R29=2,ACOMPANHAMENTO="BM"),ROUND(Y30,4),Y31/$S29)</f>
        <v>0.3</v>
      </c>
      <c r="Z29" s="188" cm="1">
        <f t="array" aca="1" ref="Z29" ca="1">IF(AND($R29=2,ACOMPANHAMENTO="BM"),ROUND(Z30,4),Z31/$S29)</f>
        <v>0.3</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c r="W30" s="587">
        <v>0.1</v>
      </c>
      <c r="X30" s="587">
        <v>0.3</v>
      </c>
      <c r="Y30" s="587">
        <v>0.3</v>
      </c>
      <c r="Z30" s="587">
        <v>0.3</v>
      </c>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SUMIF(CÁLCULO!$AM$15:$AW$240,CRONO!E$12,CÁLCULO!$AB$15:$AL$240)/(ORÇAMENTO!$X$15-CÁLCULO.TotalAdmLocal)*CRONO!$F31,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SUMIF(CÁLCULO!$AM$15:$AW$240,CRONO!U$12,CÁLCULO!$AB$15:$AL$240)/(ORÇAMENTO!$X$15-CÁLCULO.TotalAdmLocal)*CRONO!$F31,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SUMIF(CÁLCULO!$AM$15:$AW$240,CRONO!V$12,CÁLCULO!$AB$15:$AL$240)/(ORÇAMENTO!$X$15-CÁLCULO.TotalAdmLocal)*CRONO!$F31,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SUMIF(CÁLCULO!$AM$15:$AW$240,CRONO!W$12,CÁLCULO!$AB$15:$AL$240)/(ORÇAMENTO!$X$15-CÁLCULO.TotalAdmLocal)*CRONO!$F31,
                        0),
                 W30*$S29),
          SUMIF(OFFSET($S31,1,0,$R29-2),($M29+1)&amp;"$",OFFSET(W31,1,0,$R29-2)))</f>
        <v>54505.498</v>
      </c>
      <c r="X31" s="202" cm="1">
        <f t="array" aca="1" ref="X31" ca="1">IF($R29=2,
         IF(AND(ACOMPANHAMENTO="PLE",ISNUMBER($F29)),
                SUMIF((OFFSET(CÁLCULO!$AM$15:$AW$15,$F29,0,OFFSET(ORÇAMENTO!$D$15,CRONO!$F29,0))),CRONO!X$12,OFFSET(CÁLCULO!$AB$15:$AL$15,$F29,0,OFFSET(ORÇAMENTO!$D$15,CRONO!$F29,0)))
                +IF(AND($F31&lt;&gt;"",$F31&lt;&gt;0),
                        SUMIF(CÁLCULO!$AM$15:$AW$240,CRONO!X$12,CÁLCULO!$AB$15:$AL$240)/(ORÇAMENTO!$X$15-CÁLCULO.TotalAdmLocal)*CRONO!$F31,
                        0),
                 X30*$S29),
          SUMIF(OFFSET($S31,1,0,$R29-2),($M29+1)&amp;"$",OFFSET(X31,1,0,$R29-2)))</f>
        <v>163516.49399999998</v>
      </c>
      <c r="Y31" s="202" cm="1">
        <f t="array" aca="1" ref="Y31" ca="1">IF($R29=2,
         IF(AND(ACOMPANHAMENTO="PLE",ISNUMBER($F29)),
                SUMIF((OFFSET(CÁLCULO!$AM$15:$AW$15,$F29,0,OFFSET(ORÇAMENTO!$D$15,CRONO!$F29,0))),CRONO!Y$12,OFFSET(CÁLCULO!$AB$15:$AL$15,$F29,0,OFFSET(ORÇAMENTO!$D$15,CRONO!$F29,0)))
                +IF(AND($F31&lt;&gt;"",$F31&lt;&gt;0),
                        SUMIF(CÁLCULO!$AM$15:$AW$240,CRONO!Y$12,CÁLCULO!$AB$15:$AL$240)/(ORÇAMENTO!$X$15-CÁLCULO.TotalAdmLocal)*CRONO!$F31,
                        0),
                 Y30*$S29),
          SUMIF(OFFSET($S31,1,0,$R29-2),($M29+1)&amp;"$",OFFSET(Y31,1,0,$R29-2)))</f>
        <v>163516.49399999998</v>
      </c>
      <c r="Z31" s="202" cm="1">
        <f t="array" aca="1" ref="Z31" ca="1">IF($R29=2,
         IF(AND(ACOMPANHAMENTO="PLE",ISNUMBER($F29)),
                SUMIF((OFFSET(CÁLCULO!$AM$15:$AW$15,$F29,0,OFFSET(ORÇAMENTO!$D$15,CRONO!$F29,0))),CRONO!Z$12,OFFSET(CÁLCULO!$AB$15:$AL$15,$F29,0,OFFSET(ORÇAMENTO!$D$15,CRONO!$F29,0)))
                +IF(AND($F31&lt;&gt;"",$F31&lt;&gt;0),
                        SUMIF(CÁLCULO!$AM$15:$AW$240,CRONO!Z$12,CÁLCULO!$AB$15:$AL$240)/(ORÇAMENTO!$X$15-CÁLCULO.TotalAdmLocal)*CRONO!$F31,
                        0),
                 Z30*$S29),
          SUMIF(OFFSET($S31,1,0,$R29-2),($M29+1)&amp;"$",OFFSET(Z31,1,0,$R29-2)))</f>
        <v>163516.49399999998</v>
      </c>
      <c r="AA31" s="202" cm="1">
        <f t="array" aca="1" ref="AA31" ca="1">IF($R29=2,
         IF(AND(ACOMPANHAMENTO="PLE",ISNUMBER($F29)),
                SUMIF((OFFSET(CÁLCULO!$AM$15:$AW$15,$F29,0,OFFSET(ORÇAMENTO!$D$15,CRONO!$F29,0))),CRONO!AA$12,OFFSET(CÁLCULO!$AB$15:$AL$15,$F29,0,OFFSET(ORÇAMENTO!$D$15,CRONO!$F29,0)))
                +IF(AND($F31&lt;&gt;"",$F31&lt;&gt;0),
                        SUMIF(CÁLCULO!$AM$15:$AW$240,CRONO!AA$12,CÁLCULO!$AB$15:$AL$240)/(ORÇAMENTO!$X$15-CÁLCULO.TotalAdmLocal)*CRONO!$F31,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SUMIF(CÁLCULO!$AM$15:$AW$240,CRONO!AB$12,CÁLCULO!$AB$15:$AL$240)/(ORÇAMENTO!$X$15-CÁLCULO.TotalAdmLocal)*CRONO!$F31,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SUMIF(CÁLCULO!$AM$15:$AW$240,CRONO!AC$12,CÁLCULO!$AB$15:$AL$240)/(ORÇAMENTO!$X$15-CÁLCULO.TotalAdmLocal)*CRONO!$F31,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SUMIF(CÁLCULO!$AM$15:$AW$240,CRONO!AD$12,CÁLCULO!$AB$15:$AL$240)/(ORÇAMENTO!$X$15-CÁLCULO.TotalAdmLocal)*CRONO!$F31,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SUMIF(CÁLCULO!$AM$15:$AW$240,CRONO!AE$12,CÁLCULO!$AB$15:$AL$240)/(ORÇAMENTO!$X$15-CÁLCULO.TotalAdmLocal)*CRONO!$F31,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SUMIF(CÁLCULO!$AM$15:$AW$240,CRONO!AF$12,CÁLCULO!$AB$15:$AL$240)/(ORÇAMENTO!$X$15-CÁLCULO.TotalAdmLocal)*CRONO!$F31,
                        0),
                 AF30*$S29),
          SUMIF(OFFSET($S31,1,0,$R29-2),($M29+1)&amp;"$",OFFSET(AF31,1,0,$R29-2)))</f>
        <v>0</v>
      </c>
      <c r="AG31" s="534"/>
    </row>
    <row r="32" spans="1:33" x14ac:dyDescent="0.2">
      <c r="A32" s="186" t="str">
        <f t="shared" ref="A32" ca="1" si="38">IF($M32&gt;1,_xlfn.CONCAT($I32," ",$J32),"")</f>
        <v>1.6. COBERTURA</v>
      </c>
      <c r="B32" s="185">
        <f t="shared" ref="B32" ca="1" si="39">OFFSET(B32,-3,0)+1</f>
        <v>7</v>
      </c>
      <c r="C32" s="185">
        <f ca="1">IF($R32&lt;&gt;2,0,IF($S32=0,1,IF(F33&gt;0,OFFSET(QCI!$M$13,SUBSTITUTE(F33,".",""),0),OFFSET(ORÇAMENTO!$AA$15,CRONO!$F32,0))/$S32))</f>
        <v>0.46742776446497603</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96</v>
      </c>
      <c r="G32" s="185" t="str">
        <f t="shared" ref="G32" ca="1" si="40">IF(AND($F33&lt;&gt;-1,$S32&gt;0),"F","")</f>
        <v>F</v>
      </c>
      <c r="H32" s="189" cm="1">
        <f t="array" aca="1" ref="H32" ca="1">IF(OR(S32=0,S32=""),"Linha",IF(AND(OR(ACOMPANHAMENTO="PLE",$R32&lt;&gt;2),$F33=0),"Linha",ROUND(1-SUM(U32:AG32),4)))</f>
        <v>0</v>
      </c>
      <c r="I32" s="190" t="str">
        <f ca="1">IF($F33=0,OFFSET(ORÇAMENTO!O$15,$F32,0),IF($F33&lt;&gt;-1,OFFSET(QCI!$D$13,$F33,0),""))</f>
        <v>1.6.</v>
      </c>
      <c r="J32" s="191" t="str">
        <f ca="1">IF($F33=0,OFFSET(ORÇAMENTO!R$15,$F32,0),IF($F33&lt;&gt;-1,OFFSET(QCI!$G$13,$F33,0),""))</f>
        <v>COBERTURA</v>
      </c>
      <c r="K32" s="191"/>
      <c r="L32" s="191"/>
      <c r="M32" s="192">
        <f ca="1">IF($F33=0,OFFSET(ORÇAMENTO!C$15,$F32,0),1)</f>
        <v>2</v>
      </c>
      <c r="N32" s="193">
        <f ca="1">IF($F33=-1,0,IF(N$13&lt;=$M32,IF(ISERROR(MATCH(N$13,OFFSET($M32,1,0,ROW($M$56)-ROW($M32)-1),0)),ROW($M$56)-ROW($M32)-1,MATCH(N$13,OFFSET($M32,1,0,ROW($M$56)-ROW($M32)-1),0)-1),0))</f>
        <v>23</v>
      </c>
      <c r="O32" s="193">
        <f ca="1">IF($F33=-1,0,IF(O$13&lt;=$M32,IF(ISERROR(MATCH(O$13,OFFSET($M32,1,0,ROW($M$56)-ROW($M32)-1),0)),ROW($M$56)-ROW($M32)-1,MATCH(O$13,OFFSET($M32,1,0,ROW($M$56)-ROW($M32)-1),0)-1),0))</f>
        <v>2</v>
      </c>
      <c r="P32" s="193">
        <f ca="1">IF($F33=-1,0,IF(P$13&lt;=$M32,IF(ISERROR(MATCH(P$13,OFFSET($M32,1,0,ROW($M$56)-ROW($M32)-1),0)),ROW($M$56)-ROW($M32)-1,MATCH(P$13,OFFSET($M32,1,0,ROW($M$56)-ROW($M32)-1),0)-1),0))</f>
        <v>0</v>
      </c>
      <c r="Q32" s="193">
        <f ca="1">IF($F33=-1,0,IF(Q$13&lt;=$M32,IF(ISERROR(MATCH(Q$13,OFFSET($M32,1,0,ROW($M$56)-ROW($M32)-1),0)),ROW($M$56)-ROW($M32)-1,MATCH(Q$13,OFFSET($M32,1,0,ROW($M$56)-ROW($M32)-1),0)-1),0))</f>
        <v>0</v>
      </c>
      <c r="R32" s="193">
        <f t="shared" ref="R32" ca="1" si="41">MIN(OFFSET(M32,0,1,,M32))</f>
        <v>2</v>
      </c>
      <c r="S32" s="194">
        <f ca="1">IF($F33=0,OFFSET(ORÇAMENTO!X$15,$F32,0),IF($F33&lt;&gt;-1,OFFSET(QCI!$O$13,$F33,0),""))</f>
        <v>754994.29</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0.1</v>
      </c>
      <c r="AA32" s="188" cm="1">
        <f t="array" aca="1" ref="AA32" ca="1">IF(AND($R32=2,ACOMPANHAMENTO="BM"),ROUND(AA33,4),AA34/$S32)</f>
        <v>0.3</v>
      </c>
      <c r="AB32" s="188" cm="1">
        <f t="array" aca="1" ref="AB32" ca="1">IF(AND($R32=2,ACOMPANHAMENTO="BM"),ROUND(AB33,4),AB34/$S32)</f>
        <v>0.3</v>
      </c>
      <c r="AC32" s="188" cm="1">
        <f t="array" aca="1" ref="AC32" ca="1">IF(AND($R32=2,ACOMPANHAMENTO="BM"),ROUND(AC33,4),AC34/$S32)</f>
        <v>0.3</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v>0.1</v>
      </c>
      <c r="AA33" s="587">
        <v>0.3</v>
      </c>
      <c r="AB33" s="587">
        <v>0.3</v>
      </c>
      <c r="AC33" s="587">
        <v>0.3</v>
      </c>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SUMIF(CÁLCULO!$AM$15:$AW$240,CRONO!E$12,CÁLCULO!$AB$15:$AL$240)/(ORÇAMENTO!$X$15-CÁLCULO.TotalAdmLocal)*CRONO!$F34,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SUMIF(CÁLCULO!$AM$15:$AW$240,CRONO!U$12,CÁLCULO!$AB$15:$AL$240)/(ORÇAMENTO!$X$15-CÁLCULO.TotalAdmLocal)*CRONO!$F34,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SUMIF(CÁLCULO!$AM$15:$AW$240,CRONO!V$12,CÁLCULO!$AB$15:$AL$240)/(ORÇAMENTO!$X$15-CÁLCULO.TotalAdmLocal)*CRONO!$F34,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SUMIF(CÁLCULO!$AM$15:$AW$240,CRONO!W$12,CÁLCULO!$AB$15:$AL$240)/(ORÇAMENTO!$X$15-CÁLCULO.TotalAdmLocal)*CRONO!$F34,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SUMIF(CÁLCULO!$AM$15:$AW$240,CRONO!X$12,CÁLCULO!$AB$15:$AL$240)/(ORÇAMENTO!$X$15-CÁLCULO.TotalAdmLocal)*CRONO!$F34,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SUMIF(CÁLCULO!$AM$15:$AW$240,CRONO!Y$12,CÁLCULO!$AB$15:$AL$240)/(ORÇAMENTO!$X$15-CÁLCULO.TotalAdmLocal)*CRONO!$F34,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SUMIF(CÁLCULO!$AM$15:$AW$240,CRONO!Z$12,CÁLCULO!$AB$15:$AL$240)/(ORÇAMENTO!$X$15-CÁLCULO.TotalAdmLocal)*CRONO!$F34,
                        0),
                 Z33*$S32),
          SUMIF(OFFSET($S34,1,0,$R32-2),($M32+1)&amp;"$",OFFSET(Z34,1,0,$R32-2)))</f>
        <v>75499.429000000004</v>
      </c>
      <c r="AA34" s="202" cm="1">
        <f t="array" aca="1" ref="AA34" ca="1">IF($R32=2,
         IF(AND(ACOMPANHAMENTO="PLE",ISNUMBER($F32)),
                SUMIF((OFFSET(CÁLCULO!$AM$15:$AW$15,$F32,0,OFFSET(ORÇAMENTO!$D$15,CRONO!$F32,0))),CRONO!AA$12,OFFSET(CÁLCULO!$AB$15:$AL$15,$F32,0,OFFSET(ORÇAMENTO!$D$15,CRONO!$F32,0)))
                +IF(AND($F34&lt;&gt;"",$F34&lt;&gt;0),
                        SUMIF(CÁLCULO!$AM$15:$AW$240,CRONO!AA$12,CÁLCULO!$AB$15:$AL$240)/(ORÇAMENTO!$X$15-CÁLCULO.TotalAdmLocal)*CRONO!$F34,
                        0),
                 AA33*$S32),
          SUMIF(OFFSET($S34,1,0,$R32-2),($M32+1)&amp;"$",OFFSET(AA34,1,0,$R32-2)))</f>
        <v>226498.28700000001</v>
      </c>
      <c r="AB34" s="202" cm="1">
        <f t="array" aca="1" ref="AB34" ca="1">IF($R32=2,
         IF(AND(ACOMPANHAMENTO="PLE",ISNUMBER($F32)),
                SUMIF((OFFSET(CÁLCULO!$AM$15:$AW$15,$F32,0,OFFSET(ORÇAMENTO!$D$15,CRONO!$F32,0))),CRONO!AB$12,OFFSET(CÁLCULO!$AB$15:$AL$15,$F32,0,OFFSET(ORÇAMENTO!$D$15,CRONO!$F32,0)))
                +IF(AND($F34&lt;&gt;"",$F34&lt;&gt;0),
                        SUMIF(CÁLCULO!$AM$15:$AW$240,CRONO!AB$12,CÁLCULO!$AB$15:$AL$240)/(ORÇAMENTO!$X$15-CÁLCULO.TotalAdmLocal)*CRONO!$F34,
                        0),
                 AB33*$S32),
          SUMIF(OFFSET($S34,1,0,$R32-2),($M32+1)&amp;"$",OFFSET(AB34,1,0,$R32-2)))</f>
        <v>226498.28700000001</v>
      </c>
      <c r="AC34" s="202" cm="1">
        <f t="array" aca="1" ref="AC34" ca="1">IF($R32=2,
         IF(AND(ACOMPANHAMENTO="PLE",ISNUMBER($F32)),
                SUMIF((OFFSET(CÁLCULO!$AM$15:$AW$15,$F32,0,OFFSET(ORÇAMENTO!$D$15,CRONO!$F32,0))),CRONO!AC$12,OFFSET(CÁLCULO!$AB$15:$AL$15,$F32,0,OFFSET(ORÇAMENTO!$D$15,CRONO!$F32,0)))
                +IF(AND($F34&lt;&gt;"",$F34&lt;&gt;0),
                        SUMIF(CÁLCULO!$AM$15:$AW$240,CRONO!AC$12,CÁLCULO!$AB$15:$AL$240)/(ORÇAMENTO!$X$15-CÁLCULO.TotalAdmLocal)*CRONO!$F34,
                        0),
                 AC33*$S32),
          SUMIF(OFFSET($S34,1,0,$R32-2),($M32+1)&amp;"$",OFFSET(AC34,1,0,$R32-2)))</f>
        <v>226498.28700000001</v>
      </c>
      <c r="AD34" s="202" cm="1">
        <f t="array" aca="1" ref="AD34" ca="1">IF($R32=2,
         IF(AND(ACOMPANHAMENTO="PLE",ISNUMBER($F32)),
                SUMIF((OFFSET(CÁLCULO!$AM$15:$AW$15,$F32,0,OFFSET(ORÇAMENTO!$D$15,CRONO!$F32,0))),CRONO!AD$12,OFFSET(CÁLCULO!$AB$15:$AL$15,$F32,0,OFFSET(ORÇAMENTO!$D$15,CRONO!$F32,0)))
                +IF(AND($F34&lt;&gt;"",$F34&lt;&gt;0),
                        SUMIF(CÁLCULO!$AM$15:$AW$240,CRONO!AD$12,CÁLCULO!$AB$15:$AL$240)/(ORÇAMENTO!$X$15-CÁLCULO.TotalAdmLocal)*CRONO!$F34,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SUMIF(CÁLCULO!$AM$15:$AW$240,CRONO!AE$12,CÁLCULO!$AB$15:$AL$240)/(ORÇAMENTO!$X$15-CÁLCULO.TotalAdmLocal)*CRONO!$F34,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SUMIF(CÁLCULO!$AM$15:$AW$240,CRONO!AF$12,CÁLCULO!$AB$15:$AL$240)/(ORÇAMENTO!$X$15-CÁLCULO.TotalAdmLocal)*CRONO!$F34,
                        0),
                 AF33*$S32),
          SUMIF(OFFSET($S34,1,0,$R32-2),($M32+1)&amp;"$",OFFSET(AF34,1,0,$R32-2)))</f>
        <v>0</v>
      </c>
      <c r="AG34" s="534"/>
    </row>
    <row r="35" spans="1:33" x14ac:dyDescent="0.2">
      <c r="A35" s="186" t="str">
        <f t="shared" ref="A35" ca="1" si="44">IF($M35&gt;1,_xlfn.CONCAT($I35," ",$J35),"")</f>
        <v>1.7. ESQUADRIAS</v>
      </c>
      <c r="B35" s="185">
        <f t="shared" ref="B35" ca="1" si="45">OFFSET(B35,-3,0)+1</f>
        <v>8</v>
      </c>
      <c r="C35" s="185">
        <f ca="1">IF($R35&lt;&gt;2,0,IF($S35=0,1,IF(F36&gt;0,OFFSET(QCI!$M$13,SUBSTITUTE(F36,".",""),0),OFFSET(ORÇAMENTO!$AA$15,CRONO!$F35,0))/$S35))</f>
        <v>0.46742776446497597</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106</v>
      </c>
      <c r="G35" s="185" t="str">
        <f t="shared" ref="G35" ca="1" si="46">IF(AND($F36&lt;&gt;-1,$S35&gt;0),"F","")</f>
        <v>F</v>
      </c>
      <c r="H35" s="189" cm="1">
        <f t="array" aca="1" ref="H35" ca="1">IF(OR(S35=0,S35=""),"Linha",IF(AND(OR(ACOMPANHAMENTO="PLE",$R35&lt;&gt;2),$F36=0),"Linha",ROUND(1-SUM(U35:AG35),4)))</f>
        <v>0</v>
      </c>
      <c r="I35" s="190" t="str">
        <f ca="1">IF($F36=0,OFFSET(ORÇAMENTO!O$15,$F35,0),IF($F36&lt;&gt;-1,OFFSET(QCI!$D$13,$F36,0),""))</f>
        <v>1.7.</v>
      </c>
      <c r="J35" s="191" t="str">
        <f ca="1">IF($F36=0,OFFSET(ORÇAMENTO!R$15,$F35,0),IF($F36&lt;&gt;-1,OFFSET(QCI!$G$13,$F36,0),""))</f>
        <v>ESQUADRIAS</v>
      </c>
      <c r="K35" s="191"/>
      <c r="L35" s="191"/>
      <c r="M35" s="192">
        <f ca="1">IF($F36=0,OFFSET(ORÇAMENTO!C$15,$F35,0),1)</f>
        <v>2</v>
      </c>
      <c r="N35" s="193">
        <f ca="1">IF($F36=-1,0,IF(N$13&lt;=$M35,IF(ISERROR(MATCH(N$13,OFFSET($M35,1,0,ROW($M$56)-ROW($M35)-1),0)),ROW($M$56)-ROW($M35)-1,MATCH(N$13,OFFSET($M35,1,0,ROW($M$56)-ROW($M35)-1),0)-1),0))</f>
        <v>20</v>
      </c>
      <c r="O35" s="193">
        <f ca="1">IF($F36=-1,0,IF(O$13&lt;=$M35,IF(ISERROR(MATCH(O$13,OFFSET($M35,1,0,ROW($M$56)-ROW($M35)-1),0)),ROW($M$56)-ROW($M35)-1,MATCH(O$13,OFFSET($M35,1,0,ROW($M$56)-ROW($M35)-1),0)-1),0))</f>
        <v>2</v>
      </c>
      <c r="P35" s="193">
        <f ca="1">IF($F36=-1,0,IF(P$13&lt;=$M35,IF(ISERROR(MATCH(P$13,OFFSET($M35,1,0,ROW($M$56)-ROW($M35)-1),0)),ROW($M$56)-ROW($M35)-1,MATCH(P$13,OFFSET($M35,1,0,ROW($M$56)-ROW($M35)-1),0)-1),0))</f>
        <v>0</v>
      </c>
      <c r="Q35" s="193">
        <f ca="1">IF($F36=-1,0,IF(Q$13&lt;=$M35,IF(ISERROR(MATCH(Q$13,OFFSET($M35,1,0,ROW($M$56)-ROW($M35)-1),0)),ROW($M$56)-ROW($M35)-1,MATCH(Q$13,OFFSET($M35,1,0,ROW($M$56)-ROW($M35)-1),0)-1),0))</f>
        <v>0</v>
      </c>
      <c r="R35" s="193">
        <f t="shared" ref="R35" ca="1" si="47">MIN(OFFSET(M35,0,1,,M35))</f>
        <v>2</v>
      </c>
      <c r="S35" s="194">
        <f ca="1">IF($F36=0,OFFSET(ORÇAMENTO!X$15,$F35,0),IF($F36&lt;&gt;-1,OFFSET(QCI!$O$13,$F36,0),""))</f>
        <v>417408.74</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0.3</v>
      </c>
      <c r="AD35" s="188" cm="1">
        <f t="array" aca="1" ref="AD35" ca="1">IF(AND($R35=2,ACOMPANHAMENTO="BM"),ROUND(AD36,4),AD37/$S35)</f>
        <v>0.4</v>
      </c>
      <c r="AE35" s="188" cm="1">
        <f t="array" aca="1" ref="AE35" ca="1">IF(AND($R35=2,ACOMPANHAMENTO="BM"),ROUND(AE36,4),AE37/$S35)</f>
        <v>0.3</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v>0.3</v>
      </c>
      <c r="AD36" s="587">
        <v>0.4</v>
      </c>
      <c r="AE36" s="587">
        <v>0.3</v>
      </c>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SUMIF(CÁLCULO!$AM$15:$AW$240,CRONO!E$12,CÁLCULO!$AB$15:$AL$240)/(ORÇAMENTO!$X$15-CÁLCULO.TotalAdmLocal)*CRONO!$F37,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SUMIF(CÁLCULO!$AM$15:$AW$240,CRONO!U$12,CÁLCULO!$AB$15:$AL$240)/(ORÇAMENTO!$X$15-CÁLCULO.TotalAdmLocal)*CRONO!$F37,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SUMIF(CÁLCULO!$AM$15:$AW$240,CRONO!V$12,CÁLCULO!$AB$15:$AL$240)/(ORÇAMENTO!$X$15-CÁLCULO.TotalAdmLocal)*CRONO!$F37,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SUMIF(CÁLCULO!$AM$15:$AW$240,CRONO!W$12,CÁLCULO!$AB$15:$AL$240)/(ORÇAMENTO!$X$15-CÁLCULO.TotalAdmLocal)*CRONO!$F37,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SUMIF(CÁLCULO!$AM$15:$AW$240,CRONO!X$12,CÁLCULO!$AB$15:$AL$240)/(ORÇAMENTO!$X$15-CÁLCULO.TotalAdmLocal)*CRONO!$F37,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SUMIF(CÁLCULO!$AM$15:$AW$240,CRONO!Y$12,CÁLCULO!$AB$15:$AL$240)/(ORÇAMENTO!$X$15-CÁLCULO.TotalAdmLocal)*CRONO!$F37,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SUMIF(CÁLCULO!$AM$15:$AW$240,CRONO!Z$12,CÁLCULO!$AB$15:$AL$240)/(ORÇAMENTO!$X$15-CÁLCULO.TotalAdmLocal)*CRONO!$F37,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SUMIF(CÁLCULO!$AM$15:$AW$240,CRONO!AA$12,CÁLCULO!$AB$15:$AL$240)/(ORÇAMENTO!$X$15-CÁLCULO.TotalAdmLocal)*CRONO!$F37,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SUMIF(CÁLCULO!$AM$15:$AW$240,CRONO!AB$12,CÁLCULO!$AB$15:$AL$240)/(ORÇAMENTO!$X$15-CÁLCULO.TotalAdmLocal)*CRONO!$F37,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SUMIF(CÁLCULO!$AM$15:$AW$240,CRONO!AC$12,CÁLCULO!$AB$15:$AL$240)/(ORÇAMENTO!$X$15-CÁLCULO.TotalAdmLocal)*CRONO!$F37,
                        0),
                 AC36*$S35),
          SUMIF(OFFSET($S37,1,0,$R35-2),($M35+1)&amp;"$",OFFSET(AC37,1,0,$R35-2)))</f>
        <v>125222.62199999999</v>
      </c>
      <c r="AD37" s="202" cm="1">
        <f t="array" aca="1" ref="AD37" ca="1">IF($R35=2,
         IF(AND(ACOMPANHAMENTO="PLE",ISNUMBER($F35)),
                SUMIF((OFFSET(CÁLCULO!$AM$15:$AW$15,$F35,0,OFFSET(ORÇAMENTO!$D$15,CRONO!$F35,0))),CRONO!AD$12,OFFSET(CÁLCULO!$AB$15:$AL$15,$F35,0,OFFSET(ORÇAMENTO!$D$15,CRONO!$F35,0)))
                +IF(AND($F37&lt;&gt;"",$F37&lt;&gt;0),
                        SUMIF(CÁLCULO!$AM$15:$AW$240,CRONO!AD$12,CÁLCULO!$AB$15:$AL$240)/(ORÇAMENTO!$X$15-CÁLCULO.TotalAdmLocal)*CRONO!$F37,
                        0),
                 AD36*$S35),
          SUMIF(OFFSET($S37,1,0,$R35-2),($M35+1)&amp;"$",OFFSET(AD37,1,0,$R35-2)))</f>
        <v>166963.49600000001</v>
      </c>
      <c r="AE37" s="202" cm="1">
        <f t="array" aca="1" ref="AE37" ca="1">IF($R35=2,
         IF(AND(ACOMPANHAMENTO="PLE",ISNUMBER($F35)),
                SUMIF((OFFSET(CÁLCULO!$AM$15:$AW$15,$F35,0,OFFSET(ORÇAMENTO!$D$15,CRONO!$F35,0))),CRONO!AE$12,OFFSET(CÁLCULO!$AB$15:$AL$15,$F35,0,OFFSET(ORÇAMENTO!$D$15,CRONO!$F35,0)))
                +IF(AND($F37&lt;&gt;"",$F37&lt;&gt;0),
                        SUMIF(CÁLCULO!$AM$15:$AW$240,CRONO!AE$12,CÁLCULO!$AB$15:$AL$240)/(ORÇAMENTO!$X$15-CÁLCULO.TotalAdmLocal)*CRONO!$F37,
                        0),
                 AE36*$S35),
          SUMIF(OFFSET($S37,1,0,$R35-2),($M35+1)&amp;"$",OFFSET(AE37,1,0,$R35-2)))</f>
        <v>125222.62199999999</v>
      </c>
      <c r="AF37" s="202" cm="1">
        <f t="array" aca="1" ref="AF37" ca="1">IF($R35=2,
         IF(AND(ACOMPANHAMENTO="PLE",ISNUMBER($F35)),
                SUMIF((OFFSET(CÁLCULO!$AM$15:$AW$15,$F35,0,OFFSET(ORÇAMENTO!$D$15,CRONO!$F35,0))),CRONO!AF$12,OFFSET(CÁLCULO!$AB$15:$AL$15,$F35,0,OFFSET(ORÇAMENTO!$D$15,CRONO!$F35,0)))
                +IF(AND($F37&lt;&gt;"",$F37&lt;&gt;0),
                        SUMIF(CÁLCULO!$AM$15:$AW$240,CRONO!AF$12,CÁLCULO!$AB$15:$AL$240)/(ORÇAMENTO!$X$15-CÁLCULO.TotalAdmLocal)*CRONO!$F37,
                        0),
                 AF36*$S35),
          SUMIF(OFFSET($S37,1,0,$R35-2),($M35+1)&amp;"$",OFFSET(AF37,1,0,$R35-2)))</f>
        <v>0</v>
      </c>
      <c r="AG37" s="534"/>
    </row>
    <row r="38" spans="1:33" x14ac:dyDescent="0.2">
      <c r="A38" s="186" t="str">
        <f t="shared" ref="A38" ca="1" si="50">IF($M38&gt;1,_xlfn.CONCAT($I38," ",$J38),"")</f>
        <v>1.8. INSTALAÇÕES HIDROSSANITARIAS</v>
      </c>
      <c r="B38" s="185">
        <f t="shared" ref="B38" ca="1" si="51">OFFSET(B38,-3,0)+1</f>
        <v>9</v>
      </c>
      <c r="C38" s="185">
        <f ca="1">IF($R38&lt;&gt;2,0,IF($S38=0,1,IF(F39&gt;0,OFFSET(QCI!$M$13,SUBSTITUTE(F39,".",""),0),OFFSET(ORÇAMENTO!$AA$15,CRONO!$F38,0))/$S38))</f>
        <v>0.46742776446497586</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117</v>
      </c>
      <c r="G38" s="185" t="str">
        <f t="shared" ref="G38" ca="1" si="52">IF(AND($F39&lt;&gt;-1,$S38&gt;0),"F","")</f>
        <v>F</v>
      </c>
      <c r="H38" s="189" cm="1">
        <f t="array" aca="1" ref="H38" ca="1">IF(OR(S38=0,S38=""),"Linha",IF(AND(OR(ACOMPANHAMENTO="PLE",$R38&lt;&gt;2),$F39=0),"Linha",ROUND(1-SUM(U38:AG38),4)))</f>
        <v>0</v>
      </c>
      <c r="I38" s="190" t="str">
        <f ca="1">IF($F39=0,OFFSET(ORÇAMENTO!O$15,$F38,0),IF($F39&lt;&gt;-1,OFFSET(QCI!$D$13,$F39,0),""))</f>
        <v>1.8.</v>
      </c>
      <c r="J38" s="191" t="str">
        <f ca="1">IF($F39=0,OFFSET(ORÇAMENTO!R$15,$F38,0),IF($F39&lt;&gt;-1,OFFSET(QCI!$G$13,$F39,0),""))</f>
        <v>INSTALAÇÕES HIDROSSANITARIAS</v>
      </c>
      <c r="K38" s="191"/>
      <c r="L38" s="191"/>
      <c r="M38" s="192">
        <f ca="1">IF($F39=0,OFFSET(ORÇAMENTO!C$15,$F38,0),1)</f>
        <v>2</v>
      </c>
      <c r="N38" s="193">
        <f ca="1">IF($F39=-1,0,IF(N$13&lt;=$M38,IF(ISERROR(MATCH(N$13,OFFSET($M38,1,0,ROW($M$56)-ROW($M38)-1),0)),ROW($M$56)-ROW($M38)-1,MATCH(N$13,OFFSET($M38,1,0,ROW($M$56)-ROW($M38)-1),0)-1),0))</f>
        <v>17</v>
      </c>
      <c r="O38" s="193">
        <f ca="1">IF($F39=-1,0,IF(O$13&lt;=$M38,IF(ISERROR(MATCH(O$13,OFFSET($M38,1,0,ROW($M$56)-ROW($M38)-1),0)),ROW($M$56)-ROW($M38)-1,MATCH(O$13,OFFSET($M38,1,0,ROW($M$56)-ROW($M38)-1),0)-1),0))</f>
        <v>2</v>
      </c>
      <c r="P38" s="193">
        <f ca="1">IF($F39=-1,0,IF(P$13&lt;=$M38,IF(ISERROR(MATCH(P$13,OFFSET($M38,1,0,ROW($M$56)-ROW($M38)-1),0)),ROW($M$56)-ROW($M38)-1,MATCH(P$13,OFFSET($M38,1,0,ROW($M$56)-ROW($M38)-1),0)-1),0))</f>
        <v>0</v>
      </c>
      <c r="Q38" s="193">
        <f ca="1">IF($F39=-1,0,IF(Q$13&lt;=$M38,IF(ISERROR(MATCH(Q$13,OFFSET($M38,1,0,ROW($M$56)-ROW($M38)-1),0)),ROW($M$56)-ROW($M38)-1,MATCH(Q$13,OFFSET($M38,1,0,ROW($M$56)-ROW($M38)-1),0)-1),0))</f>
        <v>0</v>
      </c>
      <c r="R38" s="193">
        <f t="shared" ref="R38" ca="1" si="53">MIN(OFFSET(M38,0,1,,M38))</f>
        <v>2</v>
      </c>
      <c r="S38" s="194">
        <f ca="1">IF($F39=0,OFFSET(ORÇAMENTO!X$15,$F38,0),IF($F39&lt;&gt;-1,OFFSET(QCI!$O$13,$F39,0),""))</f>
        <v>615007.78</v>
      </c>
      <c r="T38" s="195" t="s">
        <v>785</v>
      </c>
      <c r="U38" s="188" cm="1">
        <f t="array" aca="1" ref="U38" ca="1">IF(AND($R38=2,ACOMPANHAMENTO="BM"),ROUND(U39,4),U40/$S38)</f>
        <v>0</v>
      </c>
      <c r="V38" s="188" cm="1">
        <f t="array" aca="1" ref="V38" ca="1">IF(AND($R38=2,ACOMPANHAMENTO="BM"),ROUND(V39,4),V40/$S38)</f>
        <v>0.1</v>
      </c>
      <c r="W38" s="188" cm="1">
        <f t="array" aca="1" ref="W38" ca="1">IF(AND($R38=2,ACOMPANHAMENTO="BM"),ROUND(W39,4),W40/$S38)</f>
        <v>0.1</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0.2</v>
      </c>
      <c r="AD38" s="188" cm="1">
        <f t="array" aca="1" ref="AD38" ca="1">IF(AND($R38=2,ACOMPANHAMENTO="BM"),ROUND(AD39,4),AD40/$S38)</f>
        <v>0.1</v>
      </c>
      <c r="AE38" s="188" cm="1">
        <f t="array" aca="1" ref="AE38" ca="1">IF(AND($R38=2,ACOMPANHAMENTO="BM"),ROUND(AE39,4),AE40/$S38)</f>
        <v>0.2</v>
      </c>
      <c r="AF38" s="188" cm="1">
        <f t="array" aca="1" ref="AF38" ca="1">IF(AND($R38=2,ACOMPANHAMENTO="BM"),ROUND(AF39,4),AF40/$S38)</f>
        <v>0.3</v>
      </c>
      <c r="AG38" s="534"/>
    </row>
    <row r="39" spans="1:33" ht="12.75" customHeight="1" x14ac:dyDescent="0.2">
      <c r="E39" s="587"/>
      <c r="F39" s="185">
        <f ca="1">IF(ISERROR(F38),IF(1+COUNTIF($M$13:OFFSET(M38,-1,0),1)&lt;=MAX(QCI!$D$13:$D$24),1+COUNTIF($M$13:OFFSET(M38,-1,0),1),-1),0)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
      </c>
      <c r="K39" s="198"/>
      <c r="L39" s="198"/>
      <c r="M39" s="199"/>
      <c r="N39" s="199"/>
      <c r="O39" s="199"/>
      <c r="P39" s="199"/>
      <c r="Q39" s="199"/>
      <c r="R39" s="199"/>
      <c r="S39" s="200"/>
      <c r="T39" s="201"/>
      <c r="U39" s="587"/>
      <c r="V39" s="587">
        <v>0.1</v>
      </c>
      <c r="W39" s="587">
        <v>0.1</v>
      </c>
      <c r="X39" s="587"/>
      <c r="Y39" s="587"/>
      <c r="Z39" s="587"/>
      <c r="AA39" s="587"/>
      <c r="AB39" s="587"/>
      <c r="AC39" s="587">
        <v>0.2</v>
      </c>
      <c r="AD39" s="587">
        <v>0.1</v>
      </c>
      <c r="AE39" s="587">
        <v>0.2</v>
      </c>
      <c r="AF39" s="587">
        <v>0.3</v>
      </c>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SUMIF(CÁLCULO!$AM$15:$AW$240,CRONO!E$12,CÁLCULO!$AB$15:$AL$240)/(ORÇAMENTO!$X$15-CÁLCULO.TotalAdmLocal)*CRONO!$F40,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SUMIF(CÁLCULO!$AM$15:$AW$240,CRONO!U$12,CÁLCULO!$AB$15:$AL$240)/(ORÇAMENTO!$X$15-CÁLCULO.TotalAdmLocal)*CRONO!$F40,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SUMIF(CÁLCULO!$AM$15:$AW$240,CRONO!V$12,CÁLCULO!$AB$15:$AL$240)/(ORÇAMENTO!$X$15-CÁLCULO.TotalAdmLocal)*CRONO!$F40,
                        0),
                 V39*$S38),
          SUMIF(OFFSET($S40,1,0,$R38-2),($M38+1)&amp;"$",OFFSET(V40,1,0,$R38-2)))</f>
        <v>61500.778000000006</v>
      </c>
      <c r="W40" s="202" cm="1">
        <f t="array" aca="1" ref="W40" ca="1">IF($R38=2,
         IF(AND(ACOMPANHAMENTO="PLE",ISNUMBER($F38)),
                SUMIF((OFFSET(CÁLCULO!$AM$15:$AW$15,$F38,0,OFFSET(ORÇAMENTO!$D$15,CRONO!$F38,0))),CRONO!W$12,OFFSET(CÁLCULO!$AB$15:$AL$15,$F38,0,OFFSET(ORÇAMENTO!$D$15,CRONO!$F38,0)))
                +IF(AND($F40&lt;&gt;"",$F40&lt;&gt;0),
                        SUMIF(CÁLCULO!$AM$15:$AW$240,CRONO!W$12,CÁLCULO!$AB$15:$AL$240)/(ORÇAMENTO!$X$15-CÁLCULO.TotalAdmLocal)*CRONO!$F40,
                        0),
                 W39*$S38),
          SUMIF(OFFSET($S40,1,0,$R38-2),($M38+1)&amp;"$",OFFSET(W40,1,0,$R38-2)))</f>
        <v>61500.778000000006</v>
      </c>
      <c r="X40" s="202" cm="1">
        <f t="array" aca="1" ref="X40" ca="1">IF($R38=2,
         IF(AND(ACOMPANHAMENTO="PLE",ISNUMBER($F38)),
                SUMIF((OFFSET(CÁLCULO!$AM$15:$AW$15,$F38,0,OFFSET(ORÇAMENTO!$D$15,CRONO!$F38,0))),CRONO!X$12,OFFSET(CÁLCULO!$AB$15:$AL$15,$F38,0,OFFSET(ORÇAMENTO!$D$15,CRONO!$F38,0)))
                +IF(AND($F40&lt;&gt;"",$F40&lt;&gt;0),
                        SUMIF(CÁLCULO!$AM$15:$AW$240,CRONO!X$12,CÁLCULO!$AB$15:$AL$240)/(ORÇAMENTO!$X$15-CÁLCULO.TotalAdmLocal)*CRONO!$F40,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SUMIF(CÁLCULO!$AM$15:$AW$240,CRONO!Y$12,CÁLCULO!$AB$15:$AL$240)/(ORÇAMENTO!$X$15-CÁLCULO.TotalAdmLocal)*CRONO!$F40,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SUMIF(CÁLCULO!$AM$15:$AW$240,CRONO!Z$12,CÁLCULO!$AB$15:$AL$240)/(ORÇAMENTO!$X$15-CÁLCULO.TotalAdmLocal)*CRONO!$F40,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SUMIF(CÁLCULO!$AM$15:$AW$240,CRONO!AA$12,CÁLCULO!$AB$15:$AL$240)/(ORÇAMENTO!$X$15-CÁLCULO.TotalAdmLocal)*CRONO!$F40,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SUMIF(CÁLCULO!$AM$15:$AW$240,CRONO!AB$12,CÁLCULO!$AB$15:$AL$240)/(ORÇAMENTO!$X$15-CÁLCULO.TotalAdmLocal)*CRONO!$F40,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SUMIF(CÁLCULO!$AM$15:$AW$240,CRONO!AC$12,CÁLCULO!$AB$15:$AL$240)/(ORÇAMENTO!$X$15-CÁLCULO.TotalAdmLocal)*CRONO!$F40,
                        0),
                 AC39*$S38),
          SUMIF(OFFSET($S40,1,0,$R38-2),($M38+1)&amp;"$",OFFSET(AC40,1,0,$R38-2)))</f>
        <v>123001.55600000001</v>
      </c>
      <c r="AD40" s="202" cm="1">
        <f t="array" aca="1" ref="AD40" ca="1">IF($R38=2,
         IF(AND(ACOMPANHAMENTO="PLE",ISNUMBER($F38)),
                SUMIF((OFFSET(CÁLCULO!$AM$15:$AW$15,$F38,0,OFFSET(ORÇAMENTO!$D$15,CRONO!$F38,0))),CRONO!AD$12,OFFSET(CÁLCULO!$AB$15:$AL$15,$F38,0,OFFSET(ORÇAMENTO!$D$15,CRONO!$F38,0)))
                +IF(AND($F40&lt;&gt;"",$F40&lt;&gt;0),
                        SUMIF(CÁLCULO!$AM$15:$AW$240,CRONO!AD$12,CÁLCULO!$AB$15:$AL$240)/(ORÇAMENTO!$X$15-CÁLCULO.TotalAdmLocal)*CRONO!$F40,
                        0),
                 AD39*$S38),
          SUMIF(OFFSET($S40,1,0,$R38-2),($M38+1)&amp;"$",OFFSET(AD40,1,0,$R38-2)))</f>
        <v>61500.778000000006</v>
      </c>
      <c r="AE40" s="202" cm="1">
        <f t="array" aca="1" ref="AE40" ca="1">IF($R38=2,
         IF(AND(ACOMPANHAMENTO="PLE",ISNUMBER($F38)),
                SUMIF((OFFSET(CÁLCULO!$AM$15:$AW$15,$F38,0,OFFSET(ORÇAMENTO!$D$15,CRONO!$F38,0))),CRONO!AE$12,OFFSET(CÁLCULO!$AB$15:$AL$15,$F38,0,OFFSET(ORÇAMENTO!$D$15,CRONO!$F38,0)))
                +IF(AND($F40&lt;&gt;"",$F40&lt;&gt;0),
                        SUMIF(CÁLCULO!$AM$15:$AW$240,CRONO!AE$12,CÁLCULO!$AB$15:$AL$240)/(ORÇAMENTO!$X$15-CÁLCULO.TotalAdmLocal)*CRONO!$F40,
                        0),
                 AE39*$S38),
          SUMIF(OFFSET($S40,1,0,$R38-2),($M38+1)&amp;"$",OFFSET(AE40,1,0,$R38-2)))</f>
        <v>123001.55600000001</v>
      </c>
      <c r="AF40" s="202" cm="1">
        <f t="array" aca="1" ref="AF40" ca="1">IF($R38=2,
         IF(AND(ACOMPANHAMENTO="PLE",ISNUMBER($F38)),
                SUMIF((OFFSET(CÁLCULO!$AM$15:$AW$15,$F38,0,OFFSET(ORÇAMENTO!$D$15,CRONO!$F38,0))),CRONO!AF$12,OFFSET(CÁLCULO!$AB$15:$AL$15,$F38,0,OFFSET(ORÇAMENTO!$D$15,CRONO!$F38,0)))
                +IF(AND($F40&lt;&gt;"",$F40&lt;&gt;0),
                        SUMIF(CÁLCULO!$AM$15:$AW$240,CRONO!AF$12,CÁLCULO!$AB$15:$AL$240)/(ORÇAMENTO!$X$15-CÁLCULO.TotalAdmLocal)*CRONO!$F40,
                        0),
                 AF39*$S38),
          SUMIF(OFFSET($S40,1,0,$R38-2),($M38+1)&amp;"$",OFFSET(AF40,1,0,$R38-2)))</f>
        <v>184502.334</v>
      </c>
      <c r="AG40" s="534"/>
    </row>
    <row r="41" spans="1:33" x14ac:dyDescent="0.2">
      <c r="A41" s="186" t="str">
        <f t="shared" ref="A41" ca="1" si="56">IF($M41&gt;1,_xlfn.CONCAT($I41," ",$J41),"")</f>
        <v>1.9. INSTALAÇÕES ELÉTRICAS</v>
      </c>
      <c r="B41" s="185">
        <f t="shared" ref="B41" ca="1" si="57">OFFSET(B41,-3,0)+1</f>
        <v>10</v>
      </c>
      <c r="C41" s="185">
        <f ca="1">IF($R41&lt;&gt;2,0,IF($S41=0,1,IF(F42&gt;0,OFFSET(QCI!$M$13,SUBSTITUTE(F42,".",""),0),OFFSET(ORÇAMENTO!$AA$15,CRONO!$F41,0))/$S41))</f>
        <v>0.46742776446497597</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160</v>
      </c>
      <c r="G41" s="185" t="str">
        <f t="shared" ref="G41" ca="1" si="58">IF(AND($F42&lt;&gt;-1,$S41&gt;0),"F","")</f>
        <v>F</v>
      </c>
      <c r="H41" s="189" cm="1">
        <f t="array" aca="1" ref="H41" ca="1">IF(OR(S41=0,S41=""),"Linha",IF(AND(OR(ACOMPANHAMENTO="PLE",$R41&lt;&gt;2),$F42=0),"Linha",ROUND(1-SUM(U41:AG41),4)))</f>
        <v>0</v>
      </c>
      <c r="I41" s="190" t="str">
        <f ca="1">IF($F42=0,OFFSET(ORÇAMENTO!O$15,$F41,0),IF($F42&lt;&gt;-1,OFFSET(QCI!$D$13,$F42,0),""))</f>
        <v>1.9.</v>
      </c>
      <c r="J41" s="191" t="str">
        <f ca="1">IF($F42=0,OFFSET(ORÇAMENTO!R$15,$F41,0),IF($F42&lt;&gt;-1,OFFSET(QCI!$G$13,$F42,0),""))</f>
        <v>INSTALAÇÕES ELÉTRICAS</v>
      </c>
      <c r="K41" s="191"/>
      <c r="L41" s="191"/>
      <c r="M41" s="192">
        <f ca="1">IF($F42=0,OFFSET(ORÇAMENTO!C$15,$F41,0),1)</f>
        <v>2</v>
      </c>
      <c r="N41" s="193">
        <f ca="1">IF($F42=-1,0,IF(N$13&lt;=$M41,IF(ISERROR(MATCH(N$13,OFFSET($M41,1,0,ROW($M$56)-ROW($M41)-1),0)),ROW($M$56)-ROW($M41)-1,MATCH(N$13,OFFSET($M41,1,0,ROW($M$56)-ROW($M41)-1),0)-1),0))</f>
        <v>14</v>
      </c>
      <c r="O41" s="193">
        <f ca="1">IF($F42=-1,0,IF(O$13&lt;=$M41,IF(ISERROR(MATCH(O$13,OFFSET($M41,1,0,ROW($M$56)-ROW($M41)-1),0)),ROW($M$56)-ROW($M41)-1,MATCH(O$13,OFFSET($M41,1,0,ROW($M$56)-ROW($M41)-1),0)-1),0))</f>
        <v>2</v>
      </c>
      <c r="P41" s="193">
        <f ca="1">IF($F42=-1,0,IF(P$13&lt;=$M41,IF(ISERROR(MATCH(P$13,OFFSET($M41,1,0,ROW($M$56)-ROW($M41)-1),0)),ROW($M$56)-ROW($M41)-1,MATCH(P$13,OFFSET($M41,1,0,ROW($M$56)-ROW($M41)-1),0)-1),0))</f>
        <v>0</v>
      </c>
      <c r="Q41" s="193">
        <f ca="1">IF($F42=-1,0,IF(Q$13&lt;=$M41,IF(ISERROR(MATCH(Q$13,OFFSET($M41,1,0,ROW($M$56)-ROW($M41)-1),0)),ROW($M$56)-ROW($M41)-1,MATCH(Q$13,OFFSET($M41,1,0,ROW($M$56)-ROW($M41)-1),0)-1),0))</f>
        <v>0</v>
      </c>
      <c r="R41" s="193">
        <f t="shared" ref="R41" ca="1" si="59">MIN(OFFSET(M41,0,1,,M41))</f>
        <v>2</v>
      </c>
      <c r="S41" s="194">
        <f ca="1">IF($F42=0,OFFSET(ORÇAMENTO!X$15,$F41,0),IF($F42&lt;&gt;-1,OFFSET(QCI!$O$13,$F42,0),""))</f>
        <v>291170.40000000002</v>
      </c>
      <c r="T41" s="195" t="s">
        <v>785</v>
      </c>
      <c r="U41" s="188" cm="1">
        <f t="array" aca="1" ref="U41" ca="1">IF(AND($R41=2,ACOMPANHAMENTO="BM"),ROUND(U42,4),U43/$S41)</f>
        <v>0</v>
      </c>
      <c r="V41" s="188" cm="1">
        <f t="array" aca="1" ref="V41" ca="1">IF(AND($R41=2,ACOMPANHAMENTO="BM"),ROUND(V42,4),V43/$S41)</f>
        <v>0.1</v>
      </c>
      <c r="W41" s="188" cm="1">
        <f t="array" aca="1" ref="W41" ca="1">IF(AND($R41=2,ACOMPANHAMENTO="BM"),ROUND(W42,4),W43/$S41)</f>
        <v>0</v>
      </c>
      <c r="X41" s="188" cm="1">
        <f t="array" aca="1" ref="X41" ca="1">IF(AND($R41=2,ACOMPANHAMENTO="BM"),ROUND(X42,4),X43/$S41)</f>
        <v>0</v>
      </c>
      <c r="Y41" s="188" cm="1">
        <f t="array" aca="1" ref="Y41" ca="1">IF(AND($R41=2,ACOMPANHAMENTO="BM"),ROUND(Y42,4),Y43/$S41)</f>
        <v>0.1</v>
      </c>
      <c r="Z41" s="188" cm="1">
        <f t="array" aca="1" ref="Z41" ca="1">IF(AND($R41=2,ACOMPANHAMENTO="BM"),ROUND(Z42,4),Z43/$S41)</f>
        <v>0.1</v>
      </c>
      <c r="AA41" s="188" cm="1">
        <f t="array" aca="1" ref="AA41" ca="1">IF(AND($R41=2,ACOMPANHAMENTO="BM"),ROUND(AA42,4),AA43/$S41)</f>
        <v>0.1</v>
      </c>
      <c r="AB41" s="188" cm="1">
        <f t="array" aca="1" ref="AB41" ca="1">IF(AND($R41=2,ACOMPANHAMENTO="BM"),ROUND(AB42,4),AB43/$S41)</f>
        <v>0.2</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0.4</v>
      </c>
      <c r="AG41" s="534"/>
    </row>
    <row r="42" spans="1:33" ht="12.75" customHeight="1" x14ac:dyDescent="0.2">
      <c r="E42" s="587"/>
      <c r="F42" s="185">
        <f ca="1">IF(ISERROR(F41),IF(1+COUNTIF($M$13:OFFSET(M41,-1,0),1)&lt;=MAX(QCI!$D$13:$D$24),1+COUNTIF($M$13:OFFSET(M41,-1,0),1),-1),0)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
      </c>
      <c r="K42" s="198"/>
      <c r="L42" s="198"/>
      <c r="M42" s="199"/>
      <c r="N42" s="199"/>
      <c r="O42" s="199"/>
      <c r="P42" s="199"/>
      <c r="Q42" s="199"/>
      <c r="R42" s="199"/>
      <c r="S42" s="200"/>
      <c r="T42" s="201"/>
      <c r="U42" s="587"/>
      <c r="V42" s="587">
        <v>0.1</v>
      </c>
      <c r="W42" s="587"/>
      <c r="X42" s="587"/>
      <c r="Y42" s="587">
        <v>0.1</v>
      </c>
      <c r="Z42" s="587">
        <v>0.1</v>
      </c>
      <c r="AA42" s="587">
        <v>0.1</v>
      </c>
      <c r="AB42" s="587">
        <v>0.2</v>
      </c>
      <c r="AC42" s="587"/>
      <c r="AD42" s="587"/>
      <c r="AE42" s="587"/>
      <c r="AF42" s="587">
        <v>0.4</v>
      </c>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SUMIF(CÁLCULO!$AM$15:$AW$240,CRONO!E$12,CÁLCULO!$AB$15:$AL$240)/(ORÇAMENTO!$X$15-CÁLCULO.TotalAdmLocal)*CRONO!$F43,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SUMIF(CÁLCULO!$AM$15:$AW$240,CRONO!U$12,CÁLCULO!$AB$15:$AL$240)/(ORÇAMENTO!$X$15-CÁLCULO.TotalAdmLocal)*CRONO!$F43,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SUMIF(CÁLCULO!$AM$15:$AW$240,CRONO!V$12,CÁLCULO!$AB$15:$AL$240)/(ORÇAMENTO!$X$15-CÁLCULO.TotalAdmLocal)*CRONO!$F43,
                        0),
                 V42*$S41),
          SUMIF(OFFSET($S43,1,0,$R41-2),($M41+1)&amp;"$",OFFSET(V43,1,0,$R41-2)))</f>
        <v>29117.040000000005</v>
      </c>
      <c r="W43" s="202" cm="1">
        <f t="array" aca="1" ref="W43" ca="1">IF($R41=2,
         IF(AND(ACOMPANHAMENTO="PLE",ISNUMBER($F41)),
                SUMIF((OFFSET(CÁLCULO!$AM$15:$AW$15,$F41,0,OFFSET(ORÇAMENTO!$D$15,CRONO!$F41,0))),CRONO!W$12,OFFSET(CÁLCULO!$AB$15:$AL$15,$F41,0,OFFSET(ORÇAMENTO!$D$15,CRONO!$F41,0)))
                +IF(AND($F43&lt;&gt;"",$F43&lt;&gt;0),
                        SUMIF(CÁLCULO!$AM$15:$AW$240,CRONO!W$12,CÁLCULO!$AB$15:$AL$240)/(ORÇAMENTO!$X$15-CÁLCULO.TotalAdmLocal)*CRONO!$F43,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SUMIF(CÁLCULO!$AM$15:$AW$240,CRONO!X$12,CÁLCULO!$AB$15:$AL$240)/(ORÇAMENTO!$X$15-CÁLCULO.TotalAdmLocal)*CRONO!$F43,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SUMIF(CÁLCULO!$AM$15:$AW$240,CRONO!Y$12,CÁLCULO!$AB$15:$AL$240)/(ORÇAMENTO!$X$15-CÁLCULO.TotalAdmLocal)*CRONO!$F43,
                        0),
                 Y42*$S41),
          SUMIF(OFFSET($S43,1,0,$R41-2),($M41+1)&amp;"$",OFFSET(Y43,1,0,$R41-2)))</f>
        <v>29117.040000000005</v>
      </c>
      <c r="Z43" s="202" cm="1">
        <f t="array" aca="1" ref="Z43" ca="1">IF($R41=2,
         IF(AND(ACOMPANHAMENTO="PLE",ISNUMBER($F41)),
                SUMIF((OFFSET(CÁLCULO!$AM$15:$AW$15,$F41,0,OFFSET(ORÇAMENTO!$D$15,CRONO!$F41,0))),CRONO!Z$12,OFFSET(CÁLCULO!$AB$15:$AL$15,$F41,0,OFFSET(ORÇAMENTO!$D$15,CRONO!$F41,0)))
                +IF(AND($F43&lt;&gt;"",$F43&lt;&gt;0),
                        SUMIF(CÁLCULO!$AM$15:$AW$240,CRONO!Z$12,CÁLCULO!$AB$15:$AL$240)/(ORÇAMENTO!$X$15-CÁLCULO.TotalAdmLocal)*CRONO!$F43,
                        0),
                 Z42*$S41),
          SUMIF(OFFSET($S43,1,0,$R41-2),($M41+1)&amp;"$",OFFSET(Z43,1,0,$R41-2)))</f>
        <v>29117.040000000005</v>
      </c>
      <c r="AA43" s="202" cm="1">
        <f t="array" aca="1" ref="AA43" ca="1">IF($R41=2,
         IF(AND(ACOMPANHAMENTO="PLE",ISNUMBER($F41)),
                SUMIF((OFFSET(CÁLCULO!$AM$15:$AW$15,$F41,0,OFFSET(ORÇAMENTO!$D$15,CRONO!$F41,0))),CRONO!AA$12,OFFSET(CÁLCULO!$AB$15:$AL$15,$F41,0,OFFSET(ORÇAMENTO!$D$15,CRONO!$F41,0)))
                +IF(AND($F43&lt;&gt;"",$F43&lt;&gt;0),
                        SUMIF(CÁLCULO!$AM$15:$AW$240,CRONO!AA$12,CÁLCULO!$AB$15:$AL$240)/(ORÇAMENTO!$X$15-CÁLCULO.TotalAdmLocal)*CRONO!$F43,
                        0),
                 AA42*$S41),
          SUMIF(OFFSET($S43,1,0,$R41-2),($M41+1)&amp;"$",OFFSET(AA43,1,0,$R41-2)))</f>
        <v>29117.040000000005</v>
      </c>
      <c r="AB43" s="202" cm="1">
        <f t="array" aca="1" ref="AB43" ca="1">IF($R41=2,
         IF(AND(ACOMPANHAMENTO="PLE",ISNUMBER($F41)),
                SUMIF((OFFSET(CÁLCULO!$AM$15:$AW$15,$F41,0,OFFSET(ORÇAMENTO!$D$15,CRONO!$F41,0))),CRONO!AB$12,OFFSET(CÁLCULO!$AB$15:$AL$15,$F41,0,OFFSET(ORÇAMENTO!$D$15,CRONO!$F41,0)))
                +IF(AND($F43&lt;&gt;"",$F43&lt;&gt;0),
                        SUMIF(CÁLCULO!$AM$15:$AW$240,CRONO!AB$12,CÁLCULO!$AB$15:$AL$240)/(ORÇAMENTO!$X$15-CÁLCULO.TotalAdmLocal)*CRONO!$F43,
                        0),
                 AB42*$S41),
          SUMIF(OFFSET($S43,1,0,$R41-2),($M41+1)&amp;"$",OFFSET(AB43,1,0,$R41-2)))</f>
        <v>58234.080000000009</v>
      </c>
      <c r="AC43" s="202" cm="1">
        <f t="array" aca="1" ref="AC43" ca="1">IF($R41=2,
         IF(AND(ACOMPANHAMENTO="PLE",ISNUMBER($F41)),
                SUMIF((OFFSET(CÁLCULO!$AM$15:$AW$15,$F41,0,OFFSET(ORÇAMENTO!$D$15,CRONO!$F41,0))),CRONO!AC$12,OFFSET(CÁLCULO!$AB$15:$AL$15,$F41,0,OFFSET(ORÇAMENTO!$D$15,CRONO!$F41,0)))
                +IF(AND($F43&lt;&gt;"",$F43&lt;&gt;0),
                        SUMIF(CÁLCULO!$AM$15:$AW$240,CRONO!AC$12,CÁLCULO!$AB$15:$AL$240)/(ORÇAMENTO!$X$15-CÁLCULO.TotalAdmLocal)*CRONO!$F43,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SUMIF(CÁLCULO!$AM$15:$AW$240,CRONO!AD$12,CÁLCULO!$AB$15:$AL$240)/(ORÇAMENTO!$X$15-CÁLCULO.TotalAdmLocal)*CRONO!$F43,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SUMIF(CÁLCULO!$AM$15:$AW$240,CRONO!AE$12,CÁLCULO!$AB$15:$AL$240)/(ORÇAMENTO!$X$15-CÁLCULO.TotalAdmLocal)*CRONO!$F43,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SUMIF(CÁLCULO!$AM$15:$AW$240,CRONO!AF$12,CÁLCULO!$AB$15:$AL$240)/(ORÇAMENTO!$X$15-CÁLCULO.TotalAdmLocal)*CRONO!$F43,
                        0),
                 AF42*$S41),
          SUMIF(OFFSET($S43,1,0,$R41-2),($M41+1)&amp;"$",OFFSET(AF43,1,0,$R41-2)))</f>
        <v>116468.16000000002</v>
      </c>
      <c r="AG43" s="534"/>
    </row>
    <row r="44" spans="1:33" x14ac:dyDescent="0.2">
      <c r="A44" s="186" t="str">
        <f t="shared" ref="A44" ca="1" si="62">IF($M44&gt;1,_xlfn.CONCAT($I44," ",$J44),"")</f>
        <v>1.10. REVESTIMENTOS</v>
      </c>
      <c r="B44" s="185">
        <f t="shared" ref="B44" ca="1" si="63">OFFSET(B44,-3,0)+1</f>
        <v>11</v>
      </c>
      <c r="C44" s="185">
        <f ca="1">IF($R44&lt;&gt;2,0,IF($S44=0,1,IF(F45&gt;0,OFFSET(QCI!$M$13,SUBSTITUTE(F45,".",""),0),OFFSET(ORÇAMENTO!$AA$15,CRONO!$F44,0))/$S44))</f>
        <v>0.46742776446497591</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178</v>
      </c>
      <c r="G44" s="185" t="str">
        <f t="shared" ref="G44" ca="1" si="64">IF(AND($F45&lt;&gt;-1,$S44&gt;0),"F","")</f>
        <v>F</v>
      </c>
      <c r="H44" s="189" cm="1">
        <f t="array" aca="1" ref="H44" ca="1">IF(OR(S44=0,S44=""),"Linha",IF(AND(OR(ACOMPANHAMENTO="PLE",$R44&lt;&gt;2),$F45=0),"Linha",ROUND(1-SUM(U44:AG44),4)))</f>
        <v>0</v>
      </c>
      <c r="I44" s="190" t="str">
        <f ca="1">IF($F45=0,OFFSET(ORÇAMENTO!O$15,$F44,0),IF($F45&lt;&gt;-1,OFFSET(QCI!$D$13,$F45,0),""))</f>
        <v>1.10.</v>
      </c>
      <c r="J44" s="191" t="str">
        <f ca="1">IF($F45=0,OFFSET(ORÇAMENTO!R$15,$F44,0),IF($F45&lt;&gt;-1,OFFSET(QCI!$G$13,$F45,0),""))</f>
        <v>REVESTIMENTOS</v>
      </c>
      <c r="K44" s="191"/>
      <c r="L44" s="191"/>
      <c r="M44" s="192">
        <f ca="1">IF($F45=0,OFFSET(ORÇAMENTO!C$15,$F44,0),1)</f>
        <v>2</v>
      </c>
      <c r="N44" s="193">
        <f ca="1">IF($F45=-1,0,IF(N$13&lt;=$M44,IF(ISERROR(MATCH(N$13,OFFSET($M44,1,0,ROW($M$56)-ROW($M44)-1),0)),ROW($M$56)-ROW($M44)-1,MATCH(N$13,OFFSET($M44,1,0,ROW($M$56)-ROW($M44)-1),0)-1),0))</f>
        <v>11</v>
      </c>
      <c r="O44" s="193">
        <f ca="1">IF($F45=-1,0,IF(O$13&lt;=$M44,IF(ISERROR(MATCH(O$13,OFFSET($M44,1,0,ROW($M$56)-ROW($M44)-1),0)),ROW($M$56)-ROW($M44)-1,MATCH(O$13,OFFSET($M44,1,0,ROW($M$56)-ROW($M44)-1),0)-1),0))</f>
        <v>2</v>
      </c>
      <c r="P44" s="193">
        <f ca="1">IF($F45=-1,0,IF(P$13&lt;=$M44,IF(ISERROR(MATCH(P$13,OFFSET($M44,1,0,ROW($M$56)-ROW($M44)-1),0)),ROW($M$56)-ROW($M44)-1,MATCH(P$13,OFFSET($M44,1,0,ROW($M$56)-ROW($M44)-1),0)-1),0))</f>
        <v>0</v>
      </c>
      <c r="Q44" s="193">
        <f ca="1">IF($F45=-1,0,IF(Q$13&lt;=$M44,IF(ISERROR(MATCH(Q$13,OFFSET($M44,1,0,ROW($M$56)-ROW($M44)-1),0)),ROW($M$56)-ROW($M44)-1,MATCH(Q$13,OFFSET($M44,1,0,ROW($M$56)-ROW($M44)-1),0)-1),0))</f>
        <v>0</v>
      </c>
      <c r="R44" s="193">
        <f t="shared" ref="R44" ca="1" si="65">MIN(OFFSET(M44,0,1,,M44))</f>
        <v>2</v>
      </c>
      <c r="S44" s="194">
        <f ca="1">IF($F45=0,OFFSET(ORÇAMENTO!X$15,$F44,0),IF($F45&lt;&gt;-1,OFFSET(QCI!$O$13,$F45,0),""))</f>
        <v>658491.43999999994</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0.2</v>
      </c>
      <c r="AB44" s="188" cm="1">
        <f t="array" aca="1" ref="AB44" ca="1">IF(AND($R44=2,ACOMPANHAMENTO="BM"),ROUND(AB45,4),AB46/$S44)</f>
        <v>0.4</v>
      </c>
      <c r="AC44" s="188" cm="1">
        <f t="array" aca="1" ref="AC44" ca="1">IF(AND($R44=2,ACOMPANHAMENTO="BM"),ROUND(AC45,4),AC46/$S44)</f>
        <v>0.4</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v>0.2</v>
      </c>
      <c r="AB45" s="587">
        <v>0.4</v>
      </c>
      <c r="AC45" s="587">
        <v>0.4</v>
      </c>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SUMIF(CÁLCULO!$AM$15:$AW$240,CRONO!E$12,CÁLCULO!$AB$15:$AL$240)/(ORÇAMENTO!$X$15-CÁLCULO.TotalAdmLocal)*CRONO!$F46,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SUMIF(CÁLCULO!$AM$15:$AW$240,CRONO!U$12,CÁLCULO!$AB$15:$AL$240)/(ORÇAMENTO!$X$15-CÁLCULO.TotalAdmLocal)*CRONO!$F46,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SUMIF(CÁLCULO!$AM$15:$AW$240,CRONO!V$12,CÁLCULO!$AB$15:$AL$240)/(ORÇAMENTO!$X$15-CÁLCULO.TotalAdmLocal)*CRONO!$F46,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SUMIF(CÁLCULO!$AM$15:$AW$240,CRONO!W$12,CÁLCULO!$AB$15:$AL$240)/(ORÇAMENTO!$X$15-CÁLCULO.TotalAdmLocal)*CRONO!$F46,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SUMIF(CÁLCULO!$AM$15:$AW$240,CRONO!X$12,CÁLCULO!$AB$15:$AL$240)/(ORÇAMENTO!$X$15-CÁLCULO.TotalAdmLocal)*CRONO!$F46,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SUMIF(CÁLCULO!$AM$15:$AW$240,CRONO!Y$12,CÁLCULO!$AB$15:$AL$240)/(ORÇAMENTO!$X$15-CÁLCULO.TotalAdmLocal)*CRONO!$F46,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SUMIF(CÁLCULO!$AM$15:$AW$240,CRONO!Z$12,CÁLCULO!$AB$15:$AL$240)/(ORÇAMENTO!$X$15-CÁLCULO.TotalAdmLocal)*CRONO!$F46,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SUMIF(CÁLCULO!$AM$15:$AW$240,CRONO!AA$12,CÁLCULO!$AB$15:$AL$240)/(ORÇAMENTO!$X$15-CÁLCULO.TotalAdmLocal)*CRONO!$F46,
                        0),
                 AA45*$S44),
          SUMIF(OFFSET($S46,1,0,$R44-2),($M44+1)&amp;"$",OFFSET(AA46,1,0,$R44-2)))</f>
        <v>131698.288</v>
      </c>
      <c r="AB46" s="202" cm="1">
        <f t="array" aca="1" ref="AB46" ca="1">IF($R44=2,
         IF(AND(ACOMPANHAMENTO="PLE",ISNUMBER($F44)),
                SUMIF((OFFSET(CÁLCULO!$AM$15:$AW$15,$F44,0,OFFSET(ORÇAMENTO!$D$15,CRONO!$F44,0))),CRONO!AB$12,OFFSET(CÁLCULO!$AB$15:$AL$15,$F44,0,OFFSET(ORÇAMENTO!$D$15,CRONO!$F44,0)))
                +IF(AND($F46&lt;&gt;"",$F46&lt;&gt;0),
                        SUMIF(CÁLCULO!$AM$15:$AW$240,CRONO!AB$12,CÁLCULO!$AB$15:$AL$240)/(ORÇAMENTO!$X$15-CÁLCULO.TotalAdmLocal)*CRONO!$F46,
                        0),
                 AB45*$S44),
          SUMIF(OFFSET($S46,1,0,$R44-2),($M44+1)&amp;"$",OFFSET(AB46,1,0,$R44-2)))</f>
        <v>263396.576</v>
      </c>
      <c r="AC46" s="202" cm="1">
        <f t="array" aca="1" ref="AC46" ca="1">IF($R44=2,
         IF(AND(ACOMPANHAMENTO="PLE",ISNUMBER($F44)),
                SUMIF((OFFSET(CÁLCULO!$AM$15:$AW$15,$F44,0,OFFSET(ORÇAMENTO!$D$15,CRONO!$F44,0))),CRONO!AC$12,OFFSET(CÁLCULO!$AB$15:$AL$15,$F44,0,OFFSET(ORÇAMENTO!$D$15,CRONO!$F44,0)))
                +IF(AND($F46&lt;&gt;"",$F46&lt;&gt;0),
                        SUMIF(CÁLCULO!$AM$15:$AW$240,CRONO!AC$12,CÁLCULO!$AB$15:$AL$240)/(ORÇAMENTO!$X$15-CÁLCULO.TotalAdmLocal)*CRONO!$F46,
                        0),
                 AC45*$S44),
          SUMIF(OFFSET($S46,1,0,$R44-2),($M44+1)&amp;"$",OFFSET(AC46,1,0,$R44-2)))</f>
        <v>263396.576</v>
      </c>
      <c r="AD46" s="202" cm="1">
        <f t="array" aca="1" ref="AD46" ca="1">IF($R44=2,
         IF(AND(ACOMPANHAMENTO="PLE",ISNUMBER($F44)),
                SUMIF((OFFSET(CÁLCULO!$AM$15:$AW$15,$F44,0,OFFSET(ORÇAMENTO!$D$15,CRONO!$F44,0))),CRONO!AD$12,OFFSET(CÁLCULO!$AB$15:$AL$15,$F44,0,OFFSET(ORÇAMENTO!$D$15,CRONO!$F44,0)))
                +IF(AND($F46&lt;&gt;"",$F46&lt;&gt;0),
                        SUMIF(CÁLCULO!$AM$15:$AW$240,CRONO!AD$12,CÁLCULO!$AB$15:$AL$240)/(ORÇAMENTO!$X$15-CÁLCULO.TotalAdmLocal)*CRONO!$F46,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SUMIF(CÁLCULO!$AM$15:$AW$240,CRONO!AE$12,CÁLCULO!$AB$15:$AL$240)/(ORÇAMENTO!$X$15-CÁLCULO.TotalAdmLocal)*CRONO!$F46,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SUMIF(CÁLCULO!$AM$15:$AW$240,CRONO!AF$12,CÁLCULO!$AB$15:$AL$240)/(ORÇAMENTO!$X$15-CÁLCULO.TotalAdmLocal)*CRONO!$F46,
                        0),
                 AF45*$S44),
          SUMIF(OFFSET($S46,1,0,$R44-2),($M44+1)&amp;"$",OFFSET(AF46,1,0,$R44-2)))</f>
        <v>0</v>
      </c>
      <c r="AG46" s="534"/>
    </row>
    <row r="47" spans="1:33" x14ac:dyDescent="0.2">
      <c r="A47" s="186" t="str">
        <f t="shared" ref="A47" ca="1" si="68">IF($M47&gt;1,_xlfn.CONCAT($I47," ",$J47),"")</f>
        <v>1.11. FORROS</v>
      </c>
      <c r="B47" s="185">
        <f t="shared" ref="B47" ca="1" si="69">OFFSET(B47,-3,0)+1</f>
        <v>12</v>
      </c>
      <c r="C47" s="185">
        <f ca="1">IF($R47&lt;&gt;2,0,IF($S47=0,1,IF(F48&gt;0,OFFSET(QCI!$M$13,SUBSTITUTE(F48,".",""),0),OFFSET(ORÇAMENTO!$AA$15,CRONO!$F47,0))/$S47))</f>
        <v>0.46742776446497603</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204</v>
      </c>
      <c r="G47" s="185" t="str">
        <f t="shared" ref="G47" ca="1" si="70">IF(AND($F48&lt;&gt;-1,$S47&gt;0),"F","")</f>
        <v>F</v>
      </c>
      <c r="H47" s="189" cm="1">
        <f t="array" aca="1" ref="H47" ca="1">IF(OR(S47=0,S47=""),"Linha",IF(AND(OR(ACOMPANHAMENTO="PLE",$R47&lt;&gt;2),$F48=0),"Linha",ROUND(1-SUM(U47:AG47),4)))</f>
        <v>0</v>
      </c>
      <c r="I47" s="190" t="str">
        <f ca="1">IF($F48=0,OFFSET(ORÇAMENTO!O$15,$F47,0),IF($F48&lt;&gt;-1,OFFSET(QCI!$D$13,$F48,0),""))</f>
        <v>1.11.</v>
      </c>
      <c r="J47" s="191" t="str">
        <f ca="1">IF($F48=0,OFFSET(ORÇAMENTO!R$15,$F47,0),IF($F48&lt;&gt;-1,OFFSET(QCI!$G$13,$F48,0),""))</f>
        <v>FORROS</v>
      </c>
      <c r="K47" s="191"/>
      <c r="L47" s="191"/>
      <c r="M47" s="192">
        <f ca="1">IF($F48=0,OFFSET(ORÇAMENTO!C$15,$F47,0),1)</f>
        <v>2</v>
      </c>
      <c r="N47" s="193">
        <f ca="1">IF($F48=-1,0,IF(N$13&lt;=$M47,IF(ISERROR(MATCH(N$13,OFFSET($M47,1,0,ROW($M$56)-ROW($M47)-1),0)),ROW($M$56)-ROW($M47)-1,MATCH(N$13,OFFSET($M47,1,0,ROW($M$56)-ROW($M47)-1),0)-1),0))</f>
        <v>8</v>
      </c>
      <c r="O47" s="193">
        <f ca="1">IF($F48=-1,0,IF(O$13&lt;=$M47,IF(ISERROR(MATCH(O$13,OFFSET($M47,1,0,ROW($M$56)-ROW($M47)-1),0)),ROW($M$56)-ROW($M47)-1,MATCH(O$13,OFFSET($M47,1,0,ROW($M$56)-ROW($M47)-1),0)-1),0))</f>
        <v>2</v>
      </c>
      <c r="P47" s="193">
        <f ca="1">IF($F48=-1,0,IF(P$13&lt;=$M47,IF(ISERROR(MATCH(P$13,OFFSET($M47,1,0,ROW($M$56)-ROW($M47)-1),0)),ROW($M$56)-ROW($M47)-1,MATCH(P$13,OFFSET($M47,1,0,ROW($M$56)-ROW($M47)-1),0)-1),0))</f>
        <v>0</v>
      </c>
      <c r="Q47" s="193">
        <f ca="1">IF($F48=-1,0,IF(Q$13&lt;=$M47,IF(ISERROR(MATCH(Q$13,OFFSET($M47,1,0,ROW($M$56)-ROW($M47)-1),0)),ROW($M$56)-ROW($M47)-1,MATCH(Q$13,OFFSET($M47,1,0,ROW($M$56)-ROW($M47)-1),0)-1),0))</f>
        <v>0</v>
      </c>
      <c r="R47" s="193">
        <f t="shared" ref="R47" ca="1" si="71">MIN(OFFSET(M47,0,1,,M47))</f>
        <v>2</v>
      </c>
      <c r="S47" s="194">
        <f ca="1">IF($F48=0,OFFSET(ORÇAMENTO!X$15,$F47,0),IF($F48&lt;&gt;-1,OFFSET(QCI!$O$13,$F48,0),""))</f>
        <v>167762.71</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0.2</v>
      </c>
      <c r="AD47" s="188" cm="1">
        <f t="array" aca="1" ref="AD47" ca="1">IF(AND($R47=2,ACOMPANHAMENTO="BM"),ROUND(AD48,4),AD49/$S47)</f>
        <v>0.4</v>
      </c>
      <c r="AE47" s="188" cm="1">
        <f t="array" aca="1" ref="AE47" ca="1">IF(AND($R47=2,ACOMPANHAMENTO="BM"),ROUND(AE48,4),AE49/$S47)</f>
        <v>0.4</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F</v>
      </c>
      <c r="H48" s="196" t="str" cm="1">
        <f t="array" aca="1" ref="H48" ca="1">IF(OR(S47=0,S47=""),"vazia",IF(AND(OR(ACOMPANHAMENTO="PLE",$R47&lt;&gt;2),$F48=0),"calculada","--&gt;"))</f>
        <v>--&gt;</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v>0.2</v>
      </c>
      <c r="AD48" s="587">
        <v>0.4</v>
      </c>
      <c r="AE48" s="587">
        <v>0.4</v>
      </c>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SUMIF(CÁLCULO!$AM$15:$AW$240,CRONO!E$12,CÁLCULO!$AB$15:$AL$240)/(ORÇAMENTO!$X$15-CÁLCULO.TotalAdmLocal)*CRONO!$F49,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SUMIF(CÁLCULO!$AM$15:$AW$240,CRONO!U$12,CÁLCULO!$AB$15:$AL$240)/(ORÇAMENTO!$X$15-CÁLCULO.TotalAdmLocal)*CRONO!$F49,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SUMIF(CÁLCULO!$AM$15:$AW$240,CRONO!V$12,CÁLCULO!$AB$15:$AL$240)/(ORÇAMENTO!$X$15-CÁLCULO.TotalAdmLocal)*CRONO!$F49,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SUMIF(CÁLCULO!$AM$15:$AW$240,CRONO!W$12,CÁLCULO!$AB$15:$AL$240)/(ORÇAMENTO!$X$15-CÁLCULO.TotalAdmLocal)*CRONO!$F49,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SUMIF(CÁLCULO!$AM$15:$AW$240,CRONO!X$12,CÁLCULO!$AB$15:$AL$240)/(ORÇAMENTO!$X$15-CÁLCULO.TotalAdmLocal)*CRONO!$F49,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SUMIF(CÁLCULO!$AM$15:$AW$240,CRONO!Y$12,CÁLCULO!$AB$15:$AL$240)/(ORÇAMENTO!$X$15-CÁLCULO.TotalAdmLocal)*CRONO!$F49,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SUMIF(CÁLCULO!$AM$15:$AW$240,CRONO!Z$12,CÁLCULO!$AB$15:$AL$240)/(ORÇAMENTO!$X$15-CÁLCULO.TotalAdmLocal)*CRONO!$F49,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SUMIF(CÁLCULO!$AM$15:$AW$240,CRONO!AA$12,CÁLCULO!$AB$15:$AL$240)/(ORÇAMENTO!$X$15-CÁLCULO.TotalAdmLocal)*CRONO!$F49,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SUMIF(CÁLCULO!$AM$15:$AW$240,CRONO!AB$12,CÁLCULO!$AB$15:$AL$240)/(ORÇAMENTO!$X$15-CÁLCULO.TotalAdmLocal)*CRONO!$F49,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SUMIF(CÁLCULO!$AM$15:$AW$240,CRONO!AC$12,CÁLCULO!$AB$15:$AL$240)/(ORÇAMENTO!$X$15-CÁLCULO.TotalAdmLocal)*CRONO!$F49,
                        0),
                 AC48*$S47),
          SUMIF(OFFSET($S49,1,0,$R47-2),($M47+1)&amp;"$",OFFSET(AC49,1,0,$R47-2)))</f>
        <v>33552.542000000001</v>
      </c>
      <c r="AD49" s="202" cm="1">
        <f t="array" aca="1" ref="AD49" ca="1">IF($R47=2,
         IF(AND(ACOMPANHAMENTO="PLE",ISNUMBER($F47)),
                SUMIF((OFFSET(CÁLCULO!$AM$15:$AW$15,$F47,0,OFFSET(ORÇAMENTO!$D$15,CRONO!$F47,0))),CRONO!AD$12,OFFSET(CÁLCULO!$AB$15:$AL$15,$F47,0,OFFSET(ORÇAMENTO!$D$15,CRONO!$F47,0)))
                +IF(AND($F49&lt;&gt;"",$F49&lt;&gt;0),
                        SUMIF(CÁLCULO!$AM$15:$AW$240,CRONO!AD$12,CÁLCULO!$AB$15:$AL$240)/(ORÇAMENTO!$X$15-CÁLCULO.TotalAdmLocal)*CRONO!$F49,
                        0),
                 AD48*$S47),
          SUMIF(OFFSET($S49,1,0,$R47-2),($M47+1)&amp;"$",OFFSET(AD49,1,0,$R47-2)))</f>
        <v>67105.084000000003</v>
      </c>
      <c r="AE49" s="202" cm="1">
        <f t="array" aca="1" ref="AE49" ca="1">IF($R47=2,
         IF(AND(ACOMPANHAMENTO="PLE",ISNUMBER($F47)),
                SUMIF((OFFSET(CÁLCULO!$AM$15:$AW$15,$F47,0,OFFSET(ORÇAMENTO!$D$15,CRONO!$F47,0))),CRONO!AE$12,OFFSET(CÁLCULO!$AB$15:$AL$15,$F47,0,OFFSET(ORÇAMENTO!$D$15,CRONO!$F47,0)))
                +IF(AND($F49&lt;&gt;"",$F49&lt;&gt;0),
                        SUMIF(CÁLCULO!$AM$15:$AW$240,CRONO!AE$12,CÁLCULO!$AB$15:$AL$240)/(ORÇAMENTO!$X$15-CÁLCULO.TotalAdmLocal)*CRONO!$F49,
                        0),
                 AE48*$S47),
          SUMIF(OFFSET($S49,1,0,$R47-2),($M47+1)&amp;"$",OFFSET(AE49,1,0,$R47-2)))</f>
        <v>67105.084000000003</v>
      </c>
      <c r="AF49" s="202" cm="1">
        <f t="array" aca="1" ref="AF49" ca="1">IF($R47=2,
         IF(AND(ACOMPANHAMENTO="PLE",ISNUMBER($F47)),
                SUMIF((OFFSET(CÁLCULO!$AM$15:$AW$15,$F47,0,OFFSET(ORÇAMENTO!$D$15,CRONO!$F47,0))),CRONO!AF$12,OFFSET(CÁLCULO!$AB$15:$AL$15,$F47,0,OFFSET(ORÇAMENTO!$D$15,CRONO!$F47,0)))
                +IF(AND($F49&lt;&gt;"",$F49&lt;&gt;0),
                        SUMIF(CÁLCULO!$AM$15:$AW$240,CRONO!AF$12,CÁLCULO!$AB$15:$AL$240)/(ORÇAMENTO!$X$15-CÁLCULO.TotalAdmLocal)*CRONO!$F49,
                        0),
                 AF48*$S47),
          SUMIF(OFFSET($S49,1,0,$R47-2),($M47+1)&amp;"$",OFFSET(AF49,1,0,$R47-2)))</f>
        <v>0</v>
      </c>
      <c r="AG49" s="534"/>
    </row>
    <row r="50" spans="1:33" x14ac:dyDescent="0.2">
      <c r="A50" s="186" t="str">
        <f t="shared" ref="A50" ca="1" si="74">IF($M50&gt;1,_xlfn.CONCAT($I50," ",$J50),"")</f>
        <v>1.12. PINTURAS</v>
      </c>
      <c r="B50" s="185">
        <f t="shared" ref="B50" ca="1" si="75">OFFSET(B50,-3,0)+1</f>
        <v>13</v>
      </c>
      <c r="C50" s="185">
        <f ca="1">IF($R50&lt;&gt;2,0,IF($S50=0,1,IF(F51&gt;0,OFFSET(QCI!$M$13,SUBSTITUTE(F51,".",""),0),OFFSET(ORÇAMENTO!$AA$15,CRONO!$F50,0))/$S50))</f>
        <v>0.46742776446497597</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207</v>
      </c>
      <c r="G50" s="185" t="str">
        <f t="shared" ref="G50" ca="1" si="76">IF(AND($F51&lt;&gt;-1,$S50&gt;0),"F","")</f>
        <v>F</v>
      </c>
      <c r="H50" s="189" cm="1">
        <f t="array" aca="1" ref="H50" ca="1">IF(OR(S50=0,S50=""),"Linha",IF(AND(OR(ACOMPANHAMENTO="PLE",$R50&lt;&gt;2),$F51=0),"Linha",ROUND(1-SUM(U50:AG50),4)))</f>
        <v>0</v>
      </c>
      <c r="I50" s="190" t="str">
        <f ca="1">IF($F51=0,OFFSET(ORÇAMENTO!O$15,$F50,0),IF($F51&lt;&gt;-1,OFFSET(QCI!$D$13,$F51,0),""))</f>
        <v>1.12.</v>
      </c>
      <c r="J50" s="191" t="str">
        <f ca="1">IF($F51=0,OFFSET(ORÇAMENTO!R$15,$F50,0),IF($F51&lt;&gt;-1,OFFSET(QCI!$G$13,$F51,0),""))</f>
        <v>PINTURAS</v>
      </c>
      <c r="K50" s="191"/>
      <c r="L50" s="191"/>
      <c r="M50" s="192">
        <f ca="1">IF($F51=0,OFFSET(ORÇAMENTO!C$15,$F50,0),1)</f>
        <v>2</v>
      </c>
      <c r="N50" s="193">
        <f ca="1">IF($F51=-1,0,IF(N$13&lt;=$M50,IF(ISERROR(MATCH(N$13,OFFSET($M50,1,0,ROW($M$56)-ROW($M50)-1),0)),ROW($M$56)-ROW($M50)-1,MATCH(N$13,OFFSET($M50,1,0,ROW($M$56)-ROW($M50)-1),0)-1),0))</f>
        <v>5</v>
      </c>
      <c r="O50" s="193">
        <f ca="1">IF($F51=-1,0,IF(O$13&lt;=$M50,IF(ISERROR(MATCH(O$13,OFFSET($M50,1,0,ROW($M$56)-ROW($M50)-1),0)),ROW($M$56)-ROW($M50)-1,MATCH(O$13,OFFSET($M50,1,0,ROW($M$56)-ROW($M50)-1),0)-1),0))</f>
        <v>2</v>
      </c>
      <c r="P50" s="193">
        <f ca="1">IF($F51=-1,0,IF(P$13&lt;=$M50,IF(ISERROR(MATCH(P$13,OFFSET($M50,1,0,ROW($M$56)-ROW($M50)-1),0)),ROW($M$56)-ROW($M50)-1,MATCH(P$13,OFFSET($M50,1,0,ROW($M$56)-ROW($M50)-1),0)-1),0))</f>
        <v>0</v>
      </c>
      <c r="Q50" s="193">
        <f ca="1">IF($F51=-1,0,IF(Q$13&lt;=$M50,IF(ISERROR(MATCH(Q$13,OFFSET($M50,1,0,ROW($M$56)-ROW($M50)-1),0)),ROW($M$56)-ROW($M50)-1,MATCH(Q$13,OFFSET($M50,1,0,ROW($M$56)-ROW($M50)-1),0)-1),0))</f>
        <v>0</v>
      </c>
      <c r="R50" s="193">
        <f t="shared" ref="R50" ca="1" si="77">MIN(OFFSET(M50,0,1,,M50))</f>
        <v>2</v>
      </c>
      <c r="S50" s="194">
        <f ca="1">IF($F51=0,OFFSET(ORÇAMENTO!X$15,$F50,0),IF($F51&lt;&gt;-1,OFFSET(QCI!$O$13,$F51,0),""))</f>
        <v>138220.89000000001</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0.4</v>
      </c>
      <c r="AF50" s="188" cm="1">
        <f t="array" aca="1" ref="AF50" ca="1">IF(AND($R50=2,ACOMPANHAMENTO="BM"),ROUND(AF51,4),AF52/$S50)</f>
        <v>0.6</v>
      </c>
      <c r="AG50" s="534"/>
    </row>
    <row r="51" spans="1:33" ht="12.75" customHeight="1" x14ac:dyDescent="0.2">
      <c r="E51" s="587"/>
      <c r="F51" s="185">
        <f ca="1">IF(ISERROR(F50),IF(1+COUNTIF($M$13:OFFSET(M50,-1,0),1)&lt;=MAX(QCI!$D$13:$D$24),1+COUNTIF($M$13:OFFSET(M50,-1,0),1),-1),0)</f>
        <v>0</v>
      </c>
      <c r="G51" s="185" t="str" cm="1">
        <f t="array" aca="1" ref="G51" ca="1">IF(ACOMPANHAMENTO="BM",OFFSET(G51,-1,0),"")</f>
        <v>F</v>
      </c>
      <c r="H51" s="196" t="str" cm="1">
        <f t="array" aca="1" ref="H51" ca="1">IF(OR(S50=0,S50=""),"vazia",IF(AND(OR(ACOMPANHAMENTO="PLE",$R50&lt;&gt;2),$F51=0),"calculada","--&gt;"))</f>
        <v>--&gt;</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v>0.4</v>
      </c>
      <c r="AF51" s="587">
        <v>0.6</v>
      </c>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SUMIF(CÁLCULO!$AM$15:$AW$240,CRONO!E$12,CÁLCULO!$AB$15:$AL$240)/(ORÇAMENTO!$X$15-CÁLCULO.TotalAdmLocal)*CRONO!$F52,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SUMIF(CÁLCULO!$AM$15:$AW$240,CRONO!U$12,CÁLCULO!$AB$15:$AL$240)/(ORÇAMENTO!$X$15-CÁLCULO.TotalAdmLocal)*CRONO!$F52,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SUMIF(CÁLCULO!$AM$15:$AW$240,CRONO!V$12,CÁLCULO!$AB$15:$AL$240)/(ORÇAMENTO!$X$15-CÁLCULO.TotalAdmLocal)*CRONO!$F52,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SUMIF(CÁLCULO!$AM$15:$AW$240,CRONO!W$12,CÁLCULO!$AB$15:$AL$240)/(ORÇAMENTO!$X$15-CÁLCULO.TotalAdmLocal)*CRONO!$F52,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SUMIF(CÁLCULO!$AM$15:$AW$240,CRONO!X$12,CÁLCULO!$AB$15:$AL$240)/(ORÇAMENTO!$X$15-CÁLCULO.TotalAdmLocal)*CRONO!$F52,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SUMIF(CÁLCULO!$AM$15:$AW$240,CRONO!Y$12,CÁLCULO!$AB$15:$AL$240)/(ORÇAMENTO!$X$15-CÁLCULO.TotalAdmLocal)*CRONO!$F52,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SUMIF(CÁLCULO!$AM$15:$AW$240,CRONO!Z$12,CÁLCULO!$AB$15:$AL$240)/(ORÇAMENTO!$X$15-CÁLCULO.TotalAdmLocal)*CRONO!$F52,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SUMIF(CÁLCULO!$AM$15:$AW$240,CRONO!AA$12,CÁLCULO!$AB$15:$AL$240)/(ORÇAMENTO!$X$15-CÁLCULO.TotalAdmLocal)*CRONO!$F52,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SUMIF(CÁLCULO!$AM$15:$AW$240,CRONO!AB$12,CÁLCULO!$AB$15:$AL$240)/(ORÇAMENTO!$X$15-CÁLCULO.TotalAdmLocal)*CRONO!$F52,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SUMIF(CÁLCULO!$AM$15:$AW$240,CRONO!AC$12,CÁLCULO!$AB$15:$AL$240)/(ORÇAMENTO!$X$15-CÁLCULO.TotalAdmLocal)*CRONO!$F52,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SUMIF(CÁLCULO!$AM$15:$AW$240,CRONO!AD$12,CÁLCULO!$AB$15:$AL$240)/(ORÇAMENTO!$X$15-CÁLCULO.TotalAdmLocal)*CRONO!$F52,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SUMIF(CÁLCULO!$AM$15:$AW$240,CRONO!AE$12,CÁLCULO!$AB$15:$AL$240)/(ORÇAMENTO!$X$15-CÁLCULO.TotalAdmLocal)*CRONO!$F52,
                        0),
                 AE51*$S50),
          SUMIF(OFFSET($S52,1,0,$R50-2),($M50+1)&amp;"$",OFFSET(AE52,1,0,$R50-2)))</f>
        <v>55288.356000000007</v>
      </c>
      <c r="AF52" s="202" cm="1">
        <f t="array" aca="1" ref="AF52" ca="1">IF($R50=2,
         IF(AND(ACOMPANHAMENTO="PLE",ISNUMBER($F50)),
                SUMIF((OFFSET(CÁLCULO!$AM$15:$AW$15,$F50,0,OFFSET(ORÇAMENTO!$D$15,CRONO!$F50,0))),CRONO!AF$12,OFFSET(CÁLCULO!$AB$15:$AL$15,$F50,0,OFFSET(ORÇAMENTO!$D$15,CRONO!$F50,0)))
                +IF(AND($F52&lt;&gt;"",$F52&lt;&gt;0),
                        SUMIF(CÁLCULO!$AM$15:$AW$240,CRONO!AF$12,CÁLCULO!$AB$15:$AL$240)/(ORÇAMENTO!$X$15-CÁLCULO.TotalAdmLocal)*CRONO!$F52,
                        0),
                 AF51*$S50),
          SUMIF(OFFSET($S52,1,0,$R50-2),($M50+1)&amp;"$",OFFSET(AF52,1,0,$R50-2)))</f>
        <v>82932.534</v>
      </c>
      <c r="AG52" s="534"/>
    </row>
    <row r="53" spans="1:33" x14ac:dyDescent="0.2">
      <c r="A53" s="186" t="str">
        <f t="shared" ref="A53" ca="1" si="80">IF($M53&gt;1,_xlfn.CONCAT($I53," ",$J53),"")</f>
        <v>1.13. LIMPEZA FINAL DE OBRA</v>
      </c>
      <c r="B53" s="185">
        <f t="shared" ref="B53" ca="1" si="81">OFFSET(B53,-3,0)+1</f>
        <v>14</v>
      </c>
      <c r="C53" s="185">
        <f ca="1">IF($R53&lt;&gt;2,0,IF($S53=0,1,IF(F54&gt;0,OFFSET(QCI!$M$13,SUBSTITUTE(F54,".",""),0),OFFSET(ORÇAMENTO!$AA$15,CRONO!$F53,0))/$S53))</f>
        <v>0.46742776446497608</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219</v>
      </c>
      <c r="G53" s="185" t="str">
        <f t="shared" ref="G53" ca="1" si="82">IF(AND($F54&lt;&gt;-1,$S53&gt;0),"F","")</f>
        <v>F</v>
      </c>
      <c r="H53" s="189" cm="1">
        <f t="array" aca="1" ref="H53" ca="1">IF(OR(S53=0,S53=""),"Linha",IF(AND(OR(ACOMPANHAMENTO="PLE",$R53&lt;&gt;2),$F54=0),"Linha",ROUND(1-SUM(U53:AG53),4)))</f>
        <v>0</v>
      </c>
      <c r="I53" s="190" t="str">
        <f ca="1">IF($F54=0,OFFSET(ORÇAMENTO!O$15,$F53,0),IF($F54&lt;&gt;-1,OFFSET(QCI!$D$13,$F54,0),""))</f>
        <v>1.13.</v>
      </c>
      <c r="J53" s="191" t="str">
        <f ca="1">IF($F54=0,OFFSET(ORÇAMENTO!R$15,$F53,0),IF($F54&lt;&gt;-1,OFFSET(QCI!$G$13,$F54,0),""))</f>
        <v>LIMPEZA FINAL DE OBRA</v>
      </c>
      <c r="K53" s="191"/>
      <c r="L53" s="191"/>
      <c r="M53" s="192">
        <f ca="1">IF($F54=0,OFFSET(ORÇAMENTO!C$15,$F53,0),1)</f>
        <v>2</v>
      </c>
      <c r="N53" s="193">
        <f ca="1">IF($F54=-1,0,IF(N$13&lt;=$M53,IF(ISERROR(MATCH(N$13,OFFSET($M53,1,0,ROW($M$56)-ROW($M53)-1),0)),ROW($M$56)-ROW($M53)-1,MATCH(N$13,OFFSET($M53,1,0,ROW($M$56)-ROW($M53)-1),0)-1),0))</f>
        <v>2</v>
      </c>
      <c r="O53" s="193">
        <f ca="1">IF($F54=-1,0,IF(O$13&lt;=$M53,IF(ISERROR(MATCH(O$13,OFFSET($M53,1,0,ROW($M$56)-ROW($M53)-1),0)),ROW($M$56)-ROW($M53)-1,MATCH(O$13,OFFSET($M53,1,0,ROW($M$56)-ROW($M53)-1),0)-1),0))</f>
        <v>2</v>
      </c>
      <c r="P53" s="193">
        <f ca="1">IF($F54=-1,0,IF(P$13&lt;=$M53,IF(ISERROR(MATCH(P$13,OFFSET($M53,1,0,ROW($M$56)-ROW($M53)-1),0)),ROW($M$56)-ROW($M53)-1,MATCH(P$13,OFFSET($M53,1,0,ROW($M$56)-ROW($M53)-1),0)-1),0))</f>
        <v>0</v>
      </c>
      <c r="Q53" s="193">
        <f ca="1">IF($F54=-1,0,IF(Q$13&lt;=$M53,IF(ISERROR(MATCH(Q$13,OFFSET($M53,1,0,ROW($M$56)-ROW($M53)-1),0)),ROW($M$56)-ROW($M53)-1,MATCH(Q$13,OFFSET($M53,1,0,ROW($M$56)-ROW($M53)-1),0)-1),0))</f>
        <v>0</v>
      </c>
      <c r="R53" s="193">
        <f t="shared" ref="R53" ca="1" si="83">MIN(OFFSET(M53,0,1,,M53))</f>
        <v>2</v>
      </c>
      <c r="S53" s="194">
        <f ca="1">IF($F54=0,OFFSET(ORÇAMENTO!X$15,$F53,0),IF($F54&lt;&gt;-1,OFFSET(QCI!$O$13,$F54,0),""))</f>
        <v>13927.63</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0</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1</v>
      </c>
      <c r="AG53" s="534"/>
    </row>
    <row r="54" spans="1:33" ht="12.75" customHeight="1" x14ac:dyDescent="0.2">
      <c r="E54" s="587"/>
      <c r="F54" s="185">
        <f ca="1">IF(ISERROR(F53),IF(1+COUNTIF($M$13:OFFSET(M53,-1,0),1)&lt;=MAX(QCI!$D$13:$D$24),1+COUNTIF($M$13:OFFSET(M53,-1,0),1),-1),0)</f>
        <v>0</v>
      </c>
      <c r="G54" s="185" t="str" cm="1">
        <f t="array" aca="1" ref="G54" ca="1">IF(ACOMPANHAMENTO="BM",OFFSET(G54,-1,0),"")</f>
        <v>F</v>
      </c>
      <c r="H54" s="196" t="str" cm="1">
        <f t="array" aca="1" ref="H54" ca="1">IF(OR(S53=0,S53=""),"vazia",IF(AND(OR(ACOMPANHAMENTO="PLE",$R53&lt;&gt;2),$F54=0),"calculada","--&gt;"))</f>
        <v>--&gt;</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v>1</v>
      </c>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SUMIF(CÁLCULO!$AM$15:$AW$240,CRONO!E$12,CÁLCULO!$AB$15:$AL$240)/(ORÇAMENTO!$X$15-CÁLCULO.TotalAdmLocal)*CRONO!$F55,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SUMIF(CÁLCULO!$AM$15:$AW$240,CRONO!U$12,CÁLCULO!$AB$15:$AL$240)/(ORÇAMENTO!$X$15-CÁLCULO.TotalAdmLocal)*CRONO!$F55,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SUMIF(CÁLCULO!$AM$15:$AW$240,CRONO!V$12,CÁLCULO!$AB$15:$AL$240)/(ORÇAMENTO!$X$15-CÁLCULO.TotalAdmLocal)*CRONO!$F55,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SUMIF(CÁLCULO!$AM$15:$AW$240,CRONO!W$12,CÁLCULO!$AB$15:$AL$240)/(ORÇAMENTO!$X$15-CÁLCULO.TotalAdmLocal)*CRONO!$F55,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SUMIF(CÁLCULO!$AM$15:$AW$240,CRONO!X$12,CÁLCULO!$AB$15:$AL$240)/(ORÇAMENTO!$X$15-CÁLCULO.TotalAdmLocal)*CRONO!$F55,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SUMIF(CÁLCULO!$AM$15:$AW$240,CRONO!Y$12,CÁLCULO!$AB$15:$AL$240)/(ORÇAMENTO!$X$15-CÁLCULO.TotalAdmLocal)*CRONO!$F55,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SUMIF(CÁLCULO!$AM$15:$AW$240,CRONO!Z$12,CÁLCULO!$AB$15:$AL$240)/(ORÇAMENTO!$X$15-CÁLCULO.TotalAdmLocal)*CRONO!$F55,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SUMIF(CÁLCULO!$AM$15:$AW$240,CRONO!AA$12,CÁLCULO!$AB$15:$AL$240)/(ORÇAMENTO!$X$15-CÁLCULO.TotalAdmLocal)*CRONO!$F55,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SUMIF(CÁLCULO!$AM$15:$AW$240,CRONO!AB$12,CÁLCULO!$AB$15:$AL$240)/(ORÇAMENTO!$X$15-CÁLCULO.TotalAdmLocal)*CRONO!$F55,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SUMIF(CÁLCULO!$AM$15:$AW$240,CRONO!AC$12,CÁLCULO!$AB$15:$AL$240)/(ORÇAMENTO!$X$15-CÁLCULO.TotalAdmLocal)*CRONO!$F55,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SUMIF(CÁLCULO!$AM$15:$AW$240,CRONO!AD$12,CÁLCULO!$AB$15:$AL$240)/(ORÇAMENTO!$X$15-CÁLCULO.TotalAdmLocal)*CRONO!$F55,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SUMIF(CÁLCULO!$AM$15:$AW$240,CRONO!AE$12,CÁLCULO!$AB$15:$AL$240)/(ORÇAMENTO!$X$15-CÁLCULO.TotalAdmLocal)*CRONO!$F55,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SUMIF(CÁLCULO!$AM$15:$AW$240,CRONO!AF$12,CÁLCULO!$AB$15:$AL$240)/(ORÇAMENTO!$X$15-CÁLCULO.TotalAdmLocal)*CRONO!$F55,
                        0),
                 AF54*$S53),
          SUMIF(OFFSET($S55,1,0,$R53-2),($M53+1)&amp;"$",OFFSET(AF55,1,0,$R53-2)))</f>
        <v>13927.63</v>
      </c>
      <c r="AG55" s="534"/>
    </row>
    <row r="56" spans="1:33" ht="5.0999999999999996" customHeight="1" x14ac:dyDescent="0.2">
      <c r="E56" s="640"/>
      <c r="G56" s="185" t="s">
        <v>536</v>
      </c>
      <c r="H56" s="432"/>
      <c r="I56" s="641"/>
      <c r="J56" s="642"/>
      <c r="K56" s="642"/>
      <c r="L56" s="642"/>
      <c r="M56" s="643" t="s">
        <v>797</v>
      </c>
      <c r="N56" s="643"/>
      <c r="O56" s="643"/>
      <c r="P56" s="643"/>
      <c r="Q56" s="643"/>
      <c r="R56" s="643"/>
      <c r="S56" s="644"/>
      <c r="T56" s="644"/>
      <c r="U56" s="642"/>
      <c r="V56" s="642"/>
      <c r="W56" s="642"/>
      <c r="X56" s="642"/>
      <c r="Y56" s="642"/>
      <c r="Z56" s="642"/>
      <c r="AA56" s="642"/>
      <c r="AB56" s="642"/>
      <c r="AC56" s="642"/>
      <c r="AD56" s="642"/>
      <c r="AE56" s="642"/>
      <c r="AF56" s="642"/>
      <c r="AG56" s="534"/>
    </row>
    <row r="57" spans="1:33" ht="12.75" customHeight="1" x14ac:dyDescent="0.2">
      <c r="E57" s="528">
        <f ca="1">E61/$R$57</f>
        <v>0</v>
      </c>
      <c r="G57" s="185" t="s">
        <v>536</v>
      </c>
      <c r="I57" s="680" t="str">
        <f ca="1">"Total:    R$ "&amp;TEXT(R57,"#.##0,00")</f>
        <v>Total:    R$ 4.506.430,94</v>
      </c>
      <c r="J57" s="680"/>
      <c r="K57" s="680"/>
      <c r="L57" s="227"/>
      <c r="R57" s="228">
        <f ca="1">SUMIF(M12:M56,1,S12:S56)</f>
        <v>4506430.9400000004</v>
      </c>
      <c r="S57" s="229"/>
      <c r="T57" s="230" t="s">
        <v>798</v>
      </c>
      <c r="U57" s="528">
        <f t="shared" ref="U57:AF57" ca="1" si="86">ROUND(U61,2)/$R$57</f>
        <v>5.9702501509986523E-2</v>
      </c>
      <c r="V57" s="528">
        <f t="shared" ca="1" si="86"/>
        <v>7.9002985897305228E-2</v>
      </c>
      <c r="W57" s="528">
        <f t="shared" ca="1" si="86"/>
        <v>8.463681460521838E-2</v>
      </c>
      <c r="X57" s="528">
        <f t="shared" ca="1" si="86"/>
        <v>5.6175994566556024E-2</v>
      </c>
      <c r="Y57" s="528">
        <f t="shared" ca="1" si="86"/>
        <v>4.3135421931041501E-2</v>
      </c>
      <c r="Z57" s="528">
        <f t="shared" ca="1" si="86"/>
        <v>5.9889130354674858E-2</v>
      </c>
      <c r="AA57" s="528">
        <f t="shared" ca="1" si="86"/>
        <v>8.6335924189265389E-2</v>
      </c>
      <c r="AB57" s="528">
        <f t="shared" ca="1" si="86"/>
        <v>0.12202166577526648</v>
      </c>
      <c r="AC57" s="528">
        <f t="shared" ca="1" si="86"/>
        <v>0.17162691724285026</v>
      </c>
      <c r="AD57" s="528">
        <f t="shared" ca="1" si="86"/>
        <v>6.5977407389272005E-2</v>
      </c>
      <c r="AE57" s="528">
        <f t="shared" ca="1" si="86"/>
        <v>8.2630996670726736E-2</v>
      </c>
      <c r="AF57" s="539">
        <f t="shared" ca="1" si="86"/>
        <v>8.8864239867836509E-2</v>
      </c>
      <c r="AG57" s="534"/>
    </row>
    <row r="58" spans="1:33" ht="15" customHeight="1" x14ac:dyDescent="0.2">
      <c r="E58" s="231">
        <f ca="1">IF(E$12=1,ROUND(E63,2),ROUND(E63,2)-ROUND(D63,2))</f>
        <v>0</v>
      </c>
      <c r="G58" s="185" t="s">
        <v>536</v>
      </c>
      <c r="I58" s="680"/>
      <c r="J58" s="680"/>
      <c r="K58" s="680"/>
      <c r="L58" s="232"/>
      <c r="R58" s="228"/>
      <c r="S58" s="233"/>
      <c r="T58" s="234" t="str">
        <f>IF(import.recurso="FGTS","Financiamento:","Repasse:")</f>
        <v>Repasse:</v>
      </c>
      <c r="U58" s="231">
        <f t="shared" ref="U58:AF58" ca="1" si="87">IF(U$12=1,ROUND(U63,2),ROUND(U63,2)-ROUND(T63,2))</f>
        <v>143286.01</v>
      </c>
      <c r="V58" s="231">
        <f t="shared" ca="1" si="87"/>
        <v>189607.15999999997</v>
      </c>
      <c r="W58" s="231">
        <f t="shared" ca="1" si="87"/>
        <v>203128.36000000004</v>
      </c>
      <c r="X58" s="231">
        <f t="shared" ca="1" si="87"/>
        <v>134822.38</v>
      </c>
      <c r="Y58" s="231">
        <f t="shared" ca="1" si="87"/>
        <v>103525.01000000001</v>
      </c>
      <c r="Z58" s="231">
        <f t="shared" ca="1" si="87"/>
        <v>143733.91999999993</v>
      </c>
      <c r="AA58" s="231">
        <f t="shared" ca="1" si="87"/>
        <v>207206.22000000009</v>
      </c>
      <c r="AB58" s="231">
        <f t="shared" ca="1" si="87"/>
        <v>292851.99</v>
      </c>
      <c r="AC58" s="231">
        <f t="shared" ca="1" si="87"/>
        <v>411904.59999999986</v>
      </c>
      <c r="AD58" s="231">
        <f t="shared" ca="1" si="87"/>
        <v>158345.78000000003</v>
      </c>
      <c r="AE58" s="231">
        <f t="shared" ca="1" si="87"/>
        <v>198314.3899999999</v>
      </c>
      <c r="AF58" s="231">
        <f t="shared" ca="1" si="87"/>
        <v>213274.18000000017</v>
      </c>
      <c r="AG58" s="534"/>
    </row>
    <row r="59" spans="1:33" ht="12.75" customHeight="1" x14ac:dyDescent="0.2">
      <c r="E59" s="529">
        <f ca="1">IF(E$12=1,ROUND(E64,2),ROUND(E64,2)-ROUND(D64,2))</f>
        <v>0</v>
      </c>
      <c r="G59" s="185" t="s">
        <v>536</v>
      </c>
      <c r="I59" s="235"/>
      <c r="L59" s="236" t="s">
        <v>799</v>
      </c>
      <c r="R59" s="228"/>
      <c r="S59" s="237"/>
      <c r="T59" s="238" t="s">
        <v>800</v>
      </c>
      <c r="U59" s="529">
        <f t="shared" ref="U59:AF59" ca="1" si="88">IF(U$12=1,ROUND(U64,2),ROUND(U64,2)-ROUND(T64,2))</f>
        <v>125759.2</v>
      </c>
      <c r="V59" s="529">
        <f t="shared" ca="1" si="88"/>
        <v>166414.33000000002</v>
      </c>
      <c r="W59" s="529">
        <f t="shared" ca="1" si="88"/>
        <v>178281.61</v>
      </c>
      <c r="X59" s="529">
        <f t="shared" ca="1" si="88"/>
        <v>118330.84999999998</v>
      </c>
      <c r="Y59" s="529">
        <f t="shared" ca="1" si="88"/>
        <v>90861.780000000028</v>
      </c>
      <c r="Z59" s="529">
        <f t="shared" ca="1" si="88"/>
        <v>126152.31999999995</v>
      </c>
      <c r="AA59" s="529">
        <f t="shared" ca="1" si="88"/>
        <v>181860.66000000003</v>
      </c>
      <c r="AB59" s="529">
        <f t="shared" ca="1" si="88"/>
        <v>257030.21999999997</v>
      </c>
      <c r="AC59" s="529">
        <f t="shared" ca="1" si="88"/>
        <v>361520.25</v>
      </c>
      <c r="AD59" s="529">
        <f t="shared" ca="1" si="88"/>
        <v>138976.85000000009</v>
      </c>
      <c r="AE59" s="529">
        <f t="shared" ca="1" si="88"/>
        <v>174056.49</v>
      </c>
      <c r="AF59" s="529">
        <f t="shared" ca="1" si="88"/>
        <v>187186.37999999989</v>
      </c>
      <c r="AG59" s="534"/>
    </row>
    <row r="60" spans="1:33" x14ac:dyDescent="0.2">
      <c r="E60" s="239">
        <f ca="1">IF(E$12=1,ROUND(E65,2),ROUND(E65,2)-ROUND(D65,2))</f>
        <v>0</v>
      </c>
      <c r="G60" s="185" t="s">
        <v>536</v>
      </c>
      <c r="I60" s="235"/>
      <c r="L60" s="236"/>
      <c r="R60" s="228"/>
      <c r="S60" s="240"/>
      <c r="T60" s="241" t="s">
        <v>801</v>
      </c>
      <c r="U60" s="239">
        <f t="shared" ref="U60:AF60" ca="1" si="89">IF(U$12=1,ROUND(U65,2),ROUND(U65,2)-ROUND(T65,2))</f>
        <v>0</v>
      </c>
      <c r="V60" s="239">
        <f t="shared" ca="1" si="89"/>
        <v>0</v>
      </c>
      <c r="W60" s="239">
        <f t="shared" ca="1" si="89"/>
        <v>0</v>
      </c>
      <c r="X60" s="239">
        <f t="shared" ca="1" si="89"/>
        <v>0</v>
      </c>
      <c r="Y60" s="239">
        <f t="shared" ca="1" si="89"/>
        <v>0</v>
      </c>
      <c r="Z60" s="239">
        <f t="shared" ca="1" si="89"/>
        <v>0</v>
      </c>
      <c r="AA60" s="239">
        <f t="shared" ca="1" si="89"/>
        <v>0</v>
      </c>
      <c r="AB60" s="239">
        <f t="shared" ca="1" si="89"/>
        <v>0</v>
      </c>
      <c r="AC60" s="239">
        <f t="shared" ca="1" si="89"/>
        <v>0</v>
      </c>
      <c r="AD60" s="239">
        <f t="shared" ca="1" si="89"/>
        <v>0</v>
      </c>
      <c r="AE60" s="239">
        <f t="shared" ca="1" si="89"/>
        <v>0</v>
      </c>
      <c r="AF60" s="239">
        <f t="shared" ca="1" si="89"/>
        <v>0</v>
      </c>
      <c r="AG60" s="534"/>
    </row>
    <row r="61" spans="1:33" x14ac:dyDescent="0.2">
      <c r="E61" s="530">
        <f ca="1">IF(E$12=1,ROUND(E66,2),ROUND(E66,2)-ROUND(D66,2))</f>
        <v>0</v>
      </c>
      <c r="G61" s="185" t="s">
        <v>536</v>
      </c>
      <c r="H61" s="536"/>
      <c r="L61" s="242"/>
      <c r="S61" s="243"/>
      <c r="T61" s="244" t="s">
        <v>802</v>
      </c>
      <c r="U61" s="530">
        <f t="shared" ref="U61:AF61" ca="1" si="90">IF(U$12=1,ROUND(U66,2),ROUND(U66,2)-ROUND(T66,2))</f>
        <v>269045.2</v>
      </c>
      <c r="V61" s="530">
        <f t="shared" ca="1" si="90"/>
        <v>356021.49999999994</v>
      </c>
      <c r="W61" s="530">
        <f t="shared" ca="1" si="90"/>
        <v>381409.96000000008</v>
      </c>
      <c r="X61" s="530">
        <f t="shared" ca="1" si="90"/>
        <v>253153.23999999987</v>
      </c>
      <c r="Y61" s="530">
        <f t="shared" ca="1" si="90"/>
        <v>194386.80000000005</v>
      </c>
      <c r="Z61" s="530">
        <f t="shared" ca="1" si="90"/>
        <v>269886.23</v>
      </c>
      <c r="AA61" s="530">
        <f t="shared" ca="1" si="90"/>
        <v>389066.88000000012</v>
      </c>
      <c r="AB61" s="530">
        <f t="shared" ca="1" si="90"/>
        <v>549882.21</v>
      </c>
      <c r="AC61" s="530">
        <f t="shared" ca="1" si="90"/>
        <v>773424.85000000009</v>
      </c>
      <c r="AD61" s="530">
        <f t="shared" ca="1" si="90"/>
        <v>297322.62999999989</v>
      </c>
      <c r="AE61" s="530">
        <f t="shared" ca="1" si="90"/>
        <v>372370.87999999989</v>
      </c>
      <c r="AF61" s="530">
        <f t="shared" ca="1" si="90"/>
        <v>400460.56000000052</v>
      </c>
      <c r="AG61" s="534"/>
    </row>
    <row r="62" spans="1:33" x14ac:dyDescent="0.2">
      <c r="E62" s="528">
        <f ca="1">ROUND(ROUND(E66,2)/$R$57,4)</f>
        <v>0</v>
      </c>
      <c r="G62" s="185" t="s">
        <v>536</v>
      </c>
      <c r="L62" s="227"/>
      <c r="S62" s="229"/>
      <c r="T62" s="230" t="s">
        <v>798</v>
      </c>
      <c r="U62" s="528">
        <f t="shared" ref="U62:AF62" ca="1" si="91">ROUND(ROUND(U66,2)/$R$57,4)</f>
        <v>5.9700000000000003E-2</v>
      </c>
      <c r="V62" s="528">
        <f t="shared" ca="1" si="91"/>
        <v>0.13869999999999999</v>
      </c>
      <c r="W62" s="528">
        <f t="shared" ca="1" si="91"/>
        <v>0.2233</v>
      </c>
      <c r="X62" s="528">
        <f t="shared" ca="1" si="91"/>
        <v>0.27950000000000003</v>
      </c>
      <c r="Y62" s="528">
        <f t="shared" ca="1" si="91"/>
        <v>0.32269999999999999</v>
      </c>
      <c r="Z62" s="528">
        <f t="shared" ca="1" si="91"/>
        <v>0.38250000000000001</v>
      </c>
      <c r="AA62" s="528">
        <f t="shared" ca="1" si="91"/>
        <v>0.46889999999999998</v>
      </c>
      <c r="AB62" s="528">
        <f t="shared" ca="1" si="91"/>
        <v>0.59089999999999998</v>
      </c>
      <c r="AC62" s="528">
        <f t="shared" ca="1" si="91"/>
        <v>0.76249999999999996</v>
      </c>
      <c r="AD62" s="528">
        <f t="shared" ca="1" si="91"/>
        <v>0.82850000000000001</v>
      </c>
      <c r="AE62" s="528">
        <f t="shared" ca="1" si="91"/>
        <v>0.91110000000000002</v>
      </c>
      <c r="AF62" s="528">
        <f t="shared" ca="1" si="91"/>
        <v>1</v>
      </c>
      <c r="AG62" s="534"/>
    </row>
    <row r="63" spans="1:33" x14ac:dyDescent="0.2">
      <c r="E63" s="231">
        <f ca="1">ROUND(E66-E65-E64,2)</f>
        <v>0</v>
      </c>
      <c r="G63" s="185" t="s">
        <v>536</v>
      </c>
      <c r="L63" s="232"/>
      <c r="S63" s="233"/>
      <c r="T63" s="234" t="str">
        <f>IF(import.recurso="FGTS","Financiamento:","Repasse:")</f>
        <v>Repasse:</v>
      </c>
      <c r="U63" s="231">
        <f t="shared" ref="U63:AF63" ca="1" si="92">ROUND(U66-U65-U64,2)</f>
        <v>143286.01</v>
      </c>
      <c r="V63" s="231">
        <f t="shared" ca="1" si="92"/>
        <v>332893.17</v>
      </c>
      <c r="W63" s="231">
        <f t="shared" ca="1" si="92"/>
        <v>536021.53</v>
      </c>
      <c r="X63" s="231">
        <f t="shared" ca="1" si="92"/>
        <v>670843.91</v>
      </c>
      <c r="Y63" s="231">
        <f t="shared" ca="1" si="92"/>
        <v>774368.92</v>
      </c>
      <c r="Z63" s="231">
        <f t="shared" ca="1" si="92"/>
        <v>918102.84</v>
      </c>
      <c r="AA63" s="231">
        <f t="shared" ca="1" si="92"/>
        <v>1125309.06</v>
      </c>
      <c r="AB63" s="231">
        <f t="shared" ca="1" si="92"/>
        <v>1418161.05</v>
      </c>
      <c r="AC63" s="231">
        <f t="shared" ca="1" si="92"/>
        <v>1830065.65</v>
      </c>
      <c r="AD63" s="231">
        <f t="shared" ca="1" si="92"/>
        <v>1988411.43</v>
      </c>
      <c r="AE63" s="231">
        <f t="shared" ca="1" si="92"/>
        <v>2186725.8199999998</v>
      </c>
      <c r="AF63" s="231">
        <f t="shared" ca="1" si="92"/>
        <v>2400000</v>
      </c>
      <c r="AG63" s="534"/>
    </row>
    <row r="64" spans="1:33" x14ac:dyDescent="0.2">
      <c r="E64" s="529" cm="1">
        <f t="array" aca="1" ref="E64" ca="1">IF(E$12=1,0,OFFSET(E64,0,-1))+SUM((OFFSET($C$13,1,0):OFFSET($C$56,-3,0))*IF(ISNUMBER(OFFSET(E$11,5,0):OFFSET(E$56,-1,0)),OFFSET(E$11,5,0):OFFSET(E$56,-1,0),0))</f>
        <v>0</v>
      </c>
      <c r="G64" s="185" t="s">
        <v>536</v>
      </c>
      <c r="L64" s="236" t="s">
        <v>803</v>
      </c>
      <c r="S64" s="237"/>
      <c r="T64" s="238" t="s">
        <v>800</v>
      </c>
      <c r="U64" s="529" cm="1">
        <f t="array" aca="1" ref="U64" ca="1">IF(U$12=1,0,OFFSET(U64,0,-1))+SUM((OFFSET($C$13,1,0):OFFSET($C$56,-3,0))*IF(ISNUMBER(OFFSET(U$11,5,0):OFFSET(U$56,-1,0)),OFFSET(U$11,5,0):OFFSET(U$56,-1,0),0))</f>
        <v>125759.19787180121</v>
      </c>
      <c r="V64" s="529" cm="1">
        <f t="array" aca="1" ref="V64" ca="1">IF(V$12=1,0,OFFSET(V64,0,-1))+SUM((OFFSET($C$13,1,0):OFFSET($C$56,-3,0))*IF(ISNUMBER(OFFSET(V$11,5,0):OFFSET(V$56,-1,0)),OFFSET(V$11,5,0):OFFSET(V$56,-1,0),0))</f>
        <v>292173.53227918199</v>
      </c>
      <c r="W64" s="529" cm="1">
        <f t="array" aca="1" ref="W64" ca="1">IF(W$12=1,0,OFFSET(W64,0,-1))+SUM((OFFSET($C$13,1,0):OFFSET($C$56,-3,0))*IF(ISNUMBER(OFFSET(W$11,5,0):OFFSET(W$56,-1,0)),OFFSET(W$11,5,0):OFFSET(W$56,-1,0),0))</f>
        <v>470455.13685271569</v>
      </c>
      <c r="X64" s="529" cm="1">
        <f t="array" aca="1" ref="X64" ca="1">IF(X$12=1,0,OFFSET(X64,0,-1))+SUM((OFFSET($C$13,1,0):OFFSET($C$56,-3,0))*IF(ISNUMBER(OFFSET(X$11,5,0):OFFSET(X$56,-1,0)),OFFSET(X$11,5,0):OFFSET(X$56,-1,0),0))</f>
        <v>588785.98671447241</v>
      </c>
      <c r="Y64" s="529" cm="1">
        <f t="array" aca="1" ref="Y64" ca="1">IF(Y$12=1,0,OFFSET(Y64,0,-1))+SUM((OFFSET($C$13,1,0):OFFSET($C$56,-3,0))*IF(ISNUMBER(OFFSET(Y$11,5,0):OFFSET(Y$56,-1,0)),OFFSET(Y$11,5,0):OFFSET(Y$56,-1,0),0))</f>
        <v>679647.77464088611</v>
      </c>
      <c r="Z64" s="529" cm="1">
        <f t="array" aca="1" ref="Z64" ca="1">IF(Z$12=1,0,OFFSET(Z64,0,-1))+SUM((OFFSET($C$13,1,0):OFFSET($C$56,-3,0))*IF(ISNUMBER(OFFSET(Z$11,5,0):OFFSET(Z$56,-1,0)),OFFSET(Z$11,5,0):OFFSET(Z$56,-1,0),0))</f>
        <v>805800.09188315202</v>
      </c>
      <c r="AA64" s="529" cm="1">
        <f t="array" aca="1" ref="AA64" ca="1">IF(AA$12=1,0,OFFSET(AA64,0,-1))+SUM((OFFSET($C$13,1,0):OFFSET($C$56,-3,0))*IF(ISNUMBER(OFFSET(AA$11,5,0):OFFSET(AA$56,-1,0)),OFFSET(AA$11,5,0):OFFSET(AA$56,-1,0),0))</f>
        <v>987660.75485725619</v>
      </c>
      <c r="AB64" s="529" cm="1">
        <f t="array" aca="1" ref="AB64" ca="1">IF(AB$12=1,0,OFFSET(AB64,0,-1))+SUM((OFFSET($C$13,1,0):OFFSET($C$56,-3,0))*IF(ISNUMBER(OFFSET(AB$11,5,0):OFFSET(AB$56,-1,0)),OFFSET(AB$11,5,0):OFFSET(AB$56,-1,0),0))</f>
        <v>1244690.9670901021</v>
      </c>
      <c r="AC64" s="529" cm="1">
        <f t="array" aca="1" ref="AC64" ca="1">IF(AC$12=1,0,OFFSET(AC64,0,-1))+SUM((OFFSET($C$13,1,0):OFFSET($C$56,-3,0))*IF(ISNUMBER(OFFSET(AC$11,5,0):OFFSET(AC$56,-1,0)),OFFSET(AC$11,5,0):OFFSET(AC$56,-1,0),0))</f>
        <v>1606211.215800747</v>
      </c>
      <c r="AD64" s="529" cm="1">
        <f t="array" aca="1" ref="AD64" ca="1">IF(AD$12=1,0,OFFSET(AD64,0,-1))+SUM((OFFSET($C$13,1,0):OFFSET($C$56,-3,0))*IF(ISNUMBER(OFFSET(AD$11,5,0):OFFSET(AD$56,-1,0)),OFFSET(AD$11,5,0):OFFSET(AD$56,-1,0),0))</f>
        <v>1745188.0658228409</v>
      </c>
      <c r="AE64" s="529" cm="1">
        <f t="array" aca="1" ref="AE64" ca="1">IF(AE$12=1,0,OFFSET(AE64,0,-1))+SUM((OFFSET($C$13,1,0):OFFSET($C$56,-3,0))*IF(ISNUMBER(OFFSET(AE$11,5,0):OFFSET(AE$56,-1,0)),OFFSET(AE$11,5,0):OFFSET(AE$56,-1,0),0))</f>
        <v>1919244.5562437212</v>
      </c>
      <c r="AF64" s="529" cm="1">
        <f t="array" aca="1" ref="AF64" ca="1">IF(AF$12=1,0,OFFSET(AF64,0,-1))+SUM((OFFSET($C$13,1,0):OFFSET($C$56,-3,0))*IF(ISNUMBER(OFFSET(AF$11,5,0):OFFSET(AF$56,-1,0)),OFFSET(AF$11,5,0):OFFSET(AF$56,-1,0),0))</f>
        <v>2106430.9400000004</v>
      </c>
      <c r="AG64" s="534"/>
    </row>
    <row r="65" spans="4:33" x14ac:dyDescent="0.2">
      <c r="E65" s="239" cm="1">
        <f t="array" aca="1" ref="E65" ca="1">IF(E$12=1,0,OFFSET(E65,0,-1))+SUM((OFFSET($D$13,1,0):OFFSET($D$56,-3,0))*IF(ISNUMBER(OFFSET(E$11,5,0):OFFSET(E$56,-1,0)),OFFSET(E$11,5,0):OFFSET(E$56,-1,0),0))</f>
        <v>0</v>
      </c>
      <c r="G65" s="185" t="s">
        <v>536</v>
      </c>
      <c r="L65" s="236"/>
      <c r="S65" s="240"/>
      <c r="T65" s="241" t="s">
        <v>801</v>
      </c>
      <c r="U65" s="239" cm="1">
        <f t="array" aca="1" ref="U65" ca="1">IF(U$12=1,0,OFFSET(U65,0,-1))+SUM((OFFSET($D$13,1,0):OFFSET($D$56,-3,0))*IF(ISNUMBER(OFFSET(U$11,5,0):OFFSET(U$56,-1,0)),OFFSET(U$11,5,0):OFFSET(U$56,-1,0),0))</f>
        <v>0</v>
      </c>
      <c r="V65" s="239" cm="1">
        <f t="array" aca="1" ref="V65" ca="1">IF(V$12=1,0,OFFSET(V65,0,-1))+SUM((OFFSET($D$13,1,0):OFFSET($D$56,-3,0))*IF(ISNUMBER(OFFSET(V$11,5,0):OFFSET(V$56,-1,0)),OFFSET(V$11,5,0):OFFSET(V$56,-1,0),0))</f>
        <v>0</v>
      </c>
      <c r="W65" s="239" cm="1">
        <f t="array" aca="1" ref="W65" ca="1">IF(W$12=1,0,OFFSET(W65,0,-1))+SUM((OFFSET($D$13,1,0):OFFSET($D$56,-3,0))*IF(ISNUMBER(OFFSET(W$11,5,0):OFFSET(W$56,-1,0)),OFFSET(W$11,5,0):OFFSET(W$56,-1,0),0))</f>
        <v>0</v>
      </c>
      <c r="X65" s="239" cm="1">
        <f t="array" aca="1" ref="X65" ca="1">IF(X$12=1,0,OFFSET(X65,0,-1))+SUM((OFFSET($D$13,1,0):OFFSET($D$56,-3,0))*IF(ISNUMBER(OFFSET(X$11,5,0):OFFSET(X$56,-1,0)),OFFSET(X$11,5,0):OFFSET(X$56,-1,0),0))</f>
        <v>0</v>
      </c>
      <c r="Y65" s="239" cm="1">
        <f t="array" aca="1" ref="Y65" ca="1">IF(Y$12=1,0,OFFSET(Y65,0,-1))+SUM((OFFSET($D$13,1,0):OFFSET($D$56,-3,0))*IF(ISNUMBER(OFFSET(Y$11,5,0):OFFSET(Y$56,-1,0)),OFFSET(Y$11,5,0):OFFSET(Y$56,-1,0),0))</f>
        <v>0</v>
      </c>
      <c r="Z65" s="239" cm="1">
        <f t="array" aca="1" ref="Z65" ca="1">IF(Z$12=1,0,OFFSET(Z65,0,-1))+SUM((OFFSET($D$13,1,0):OFFSET($D$56,-3,0))*IF(ISNUMBER(OFFSET(Z$11,5,0):OFFSET(Z$56,-1,0)),OFFSET(Z$11,5,0):OFFSET(Z$56,-1,0),0))</f>
        <v>0</v>
      </c>
      <c r="AA65" s="239" cm="1">
        <f t="array" aca="1" ref="AA65" ca="1">IF(AA$12=1,0,OFFSET(AA65,0,-1))+SUM((OFFSET($D$13,1,0):OFFSET($D$56,-3,0))*IF(ISNUMBER(OFFSET(AA$11,5,0):OFFSET(AA$56,-1,0)),OFFSET(AA$11,5,0):OFFSET(AA$56,-1,0),0))</f>
        <v>0</v>
      </c>
      <c r="AB65" s="239" cm="1">
        <f t="array" aca="1" ref="AB65" ca="1">IF(AB$12=1,0,OFFSET(AB65,0,-1))+SUM((OFFSET($D$13,1,0):OFFSET($D$56,-3,0))*IF(ISNUMBER(OFFSET(AB$11,5,0):OFFSET(AB$56,-1,0)),OFFSET(AB$11,5,0):OFFSET(AB$56,-1,0),0))</f>
        <v>0</v>
      </c>
      <c r="AC65" s="239" cm="1">
        <f t="array" aca="1" ref="AC65" ca="1">IF(AC$12=1,0,OFFSET(AC65,0,-1))+SUM((OFFSET($D$13,1,0):OFFSET($D$56,-3,0))*IF(ISNUMBER(OFFSET(AC$11,5,0):OFFSET(AC$56,-1,0)),OFFSET(AC$11,5,0):OFFSET(AC$56,-1,0),0))</f>
        <v>0</v>
      </c>
      <c r="AD65" s="239" cm="1">
        <f t="array" aca="1" ref="AD65" ca="1">IF(AD$12=1,0,OFFSET(AD65,0,-1))+SUM((OFFSET($D$13,1,0):OFFSET($D$56,-3,0))*IF(ISNUMBER(OFFSET(AD$11,5,0):OFFSET(AD$56,-1,0)),OFFSET(AD$11,5,0):OFFSET(AD$56,-1,0),0))</f>
        <v>0</v>
      </c>
      <c r="AE65" s="239" cm="1">
        <f t="array" aca="1" ref="AE65" ca="1">IF(AE$12=1,0,OFFSET(AE65,0,-1))+SUM((OFFSET($D$13,1,0):OFFSET($D$56,-3,0))*IF(ISNUMBER(OFFSET(AE$11,5,0):OFFSET(AE$56,-1,0)),OFFSET(AE$11,5,0):OFFSET(AE$56,-1,0),0))</f>
        <v>0</v>
      </c>
      <c r="AF65" s="239" cm="1">
        <f t="array" aca="1" ref="AF65" ca="1">IF(AF$12=1,0,OFFSET(AF65,0,-1))+SUM((OFFSET($D$13,1,0):OFFSET($D$56,-3,0))*IF(ISNUMBER(OFFSET(AF$11,5,0):OFFSET(AF$56,-1,0)),OFFSET(AF$11,5,0):OFFSET(AF$56,-1,0),0))</f>
        <v>0</v>
      </c>
      <c r="AG65" s="534"/>
    </row>
    <row r="66" spans="4:33" ht="13.5" thickBot="1" x14ac:dyDescent="0.25">
      <c r="D66" s="533"/>
      <c r="E66" s="531">
        <f ca="1">SUMIF($S$12:$S$56,"1$",E12:E56)+IF(E$12&gt;1,OFFSET(E66,0,-1),0)</f>
        <v>0</v>
      </c>
      <c r="G66" s="185" t="s">
        <v>536</v>
      </c>
      <c r="H66" s="522" t="str" cm="1">
        <f t="array" ref="H66">IF(ACOMPANHAMENTO="BM","Selecione o Macrosserviço da Administração Local:","")</f>
        <v>Selecione o Macrosserviço da Administração Local:</v>
      </c>
      <c r="I66"/>
      <c r="L66" s="236"/>
      <c r="S66" s="237"/>
      <c r="T66" s="526" t="s">
        <v>802</v>
      </c>
      <c r="U66" s="531">
        <f t="shared" ref="U66:AF66" ca="1" si="93">SUMIF($S$12:$S$56,"1$",U12:U56)+IF(U$12&gt;1,OFFSET(U66,0,-1),0)</f>
        <v>269045.20319999999</v>
      </c>
      <c r="V66" s="531">
        <f t="shared" ca="1" si="93"/>
        <v>625066.70439999993</v>
      </c>
      <c r="W66" s="531">
        <f t="shared" ca="1" si="93"/>
        <v>1006476.6635999999</v>
      </c>
      <c r="X66" s="531">
        <f t="shared" ca="1" si="93"/>
        <v>1259629.8967999998</v>
      </c>
      <c r="Y66" s="531">
        <f t="shared" ca="1" si="93"/>
        <v>1454016.6979999999</v>
      </c>
      <c r="Z66" s="531">
        <f t="shared" ca="1" si="93"/>
        <v>1723902.9282</v>
      </c>
      <c r="AA66" s="531">
        <f t="shared" ca="1" si="93"/>
        <v>2112969.8103999998</v>
      </c>
      <c r="AB66" s="531">
        <f t="shared" ca="1" si="93"/>
        <v>2662852.0205999999</v>
      </c>
      <c r="AC66" s="531">
        <f t="shared" ca="1" si="93"/>
        <v>3436276.8707999997</v>
      </c>
      <c r="AD66" s="531">
        <f t="shared" ca="1" si="93"/>
        <v>3733599.4959999998</v>
      </c>
      <c r="AE66" s="531">
        <f t="shared" ca="1" si="93"/>
        <v>4105970.3811999997</v>
      </c>
      <c r="AF66" s="540">
        <f t="shared" ca="1" si="93"/>
        <v>4506430.9399999995</v>
      </c>
      <c r="AG66" s="534"/>
    </row>
    <row r="67" spans="4:33" ht="13.5" thickBot="1" x14ac:dyDescent="0.25">
      <c r="D67" s="533"/>
      <c r="E67" s="532" t="str">
        <f ca="1">IF($F$67="","",
  IF(ACOMPANHAMENTO="PLE",
     IF(AUTOEVENTO="Manual",
         IF(AdmLocal="Automática",
              E62,
              SUMIF(OFFSET(CRONOPLE!$F$14,CRONOPLE!$A$8+1,1,1,OFFSET(CRONOPLE!$AF$12,0,-1)),"&lt;="&amp;E$12,OFFSET(EVENTOS!$G$14,CRONOPLE!$A$8+1,1,1,OFFSET(CRONOPLE!$AF$12,0,-1)))/OFFSET(EVENTOS!$G$14,CRONOPLE!$A$8+1,-1)),
         SUMIFS(OFFSET(CÁLCULO!$AA$15,$F$67,1,OFFSET(ORÇAMENTO!$D$15,$F$67,0),CÁLCULO.FrentesPreenchidas),OFFSET(CÁLCULO!$AL$15,$F$67,1,OFFSET(ORÇAMENTO!$D$15,$F$67,0),CÁLCULO.FrentesPreenchidas),"&lt;="&amp;E$12)/OFFSET(ORÇAMENTO!$X$15,$F$67,0)),
     IF(ACOMPANHAMENTO="BM",SUM(OFFSET($T$13,$F$67+2,1,1,E$12))/OFFSET($S$13,$F$67,0),"")))</f>
        <v/>
      </c>
      <c r="F67" s="185" t="str">
        <f>IF(ACOMPANHAMENTO="PLE",
    IF(AUTOEVENTO="Manual",
        IF(AdmLocal="Automática",1,IF(CRONOPLE!$D$8&lt;&gt;"","",MATCH(Import.EventoAdmLocal,EVENTOS!$B$15:$B$65,0))),
        IF(CRONOPLE!$D$8&lt;&gt;"","",CRONOPLE!$A$10)),
    IF($H$68&lt;&gt;"","",MATCH(Import.MacrosserviçoAdmLocal,$A$13:$A$56,0)-1))</f>
        <v/>
      </c>
      <c r="G67" s="185" t="s">
        <v>536</v>
      </c>
      <c r="H67" s="686"/>
      <c r="I67" s="687"/>
      <c r="J67" s="688"/>
      <c r="L67" s="242"/>
      <c r="S67" s="525"/>
      <c r="T67" s="527" t="s">
        <v>804</v>
      </c>
      <c r="U67" s="532" t="str">
        <f ca="1">IF($F$67="","",
  IF(ACOMPANHAMENTO="PLE",
     IF(AUTOEVENTO="Manual",
         IF(AdmLocal="Automática",
              U62,
              SUMIF(OFFSET(CRONOPLE!$F$14,CRONOPLE!$A$8+1,1,1,OFFSET(CRONOPLE!$AF$12,0,-1)),"&lt;="&amp;U$12,OFFSET(EVENTOS!$G$14,CRONOPLE!$A$8+1,1,1,OFFSET(CRONOPLE!$AF$12,0,-1)))/OFFSET(EVENTOS!$G$14,CRONOPLE!$A$8+1,-1)),
         SUMIFS(OFFSET(CÁLCULO!$AA$15,$F$67,1,OFFSET(ORÇAMENTO!$D$15,$F$67,0),CÁLCULO.FrentesPreenchidas),OFFSET(CÁLCULO!$AL$15,$F$67,1,OFFSET(ORÇAMENTO!$D$15,$F$67,0),CÁLCULO.FrentesPreenchidas),"&lt;="&amp;U$12)/OFFSET(ORÇAMENTO!$X$15,$F$67,0)),
     IF(ACOMPANHAMENTO="BM",SUM(OFFSET($T$13,$F$67+2,1,1,U$12))/OFFSET($S$13,$F$67,0),"")))</f>
        <v/>
      </c>
      <c r="V67" s="532" t="str">
        <f ca="1">IF($F$67="","",
  IF(ACOMPANHAMENTO="PLE",
     IF(AUTOEVENTO="Manual",
         IF(AdmLocal="Automática",
              V62,
              SUMIF(OFFSET(CRONOPLE!$F$14,CRONOPLE!$A$8+1,1,1,OFFSET(CRONOPLE!$AF$12,0,-1)),"&lt;="&amp;V$12,OFFSET(EVENTOS!$G$14,CRONOPLE!$A$8+1,1,1,OFFSET(CRONOPLE!$AF$12,0,-1)))/OFFSET(EVENTOS!$G$14,CRONOPLE!$A$8+1,-1)),
         SUMIFS(OFFSET(CÁLCULO!$AA$15,$F$67,1,OFFSET(ORÇAMENTO!$D$15,$F$67,0),CÁLCULO.FrentesPreenchidas),OFFSET(CÁLCULO!$AL$15,$F$67,1,OFFSET(ORÇAMENTO!$D$15,$F$67,0),CÁLCULO.FrentesPreenchidas),"&lt;="&amp;V$12)/OFFSET(ORÇAMENTO!$X$15,$F$67,0)),
     IF(ACOMPANHAMENTO="BM",SUM(OFFSET($T$13,$F$67+2,1,1,V$12))/OFFSET($S$13,$F$67,0),"")))</f>
        <v/>
      </c>
      <c r="W67" s="532" t="str">
        <f ca="1">IF($F$67="","",
  IF(ACOMPANHAMENTO="PLE",
     IF(AUTOEVENTO="Manual",
         IF(AdmLocal="Automática",
              W62,
              SUMIF(OFFSET(CRONOPLE!$F$14,CRONOPLE!$A$8+1,1,1,OFFSET(CRONOPLE!$AF$12,0,-1)),"&lt;="&amp;W$12,OFFSET(EVENTOS!$G$14,CRONOPLE!$A$8+1,1,1,OFFSET(CRONOPLE!$AF$12,0,-1)))/OFFSET(EVENTOS!$G$14,CRONOPLE!$A$8+1,-1)),
         SUMIFS(OFFSET(CÁLCULO!$AA$15,$F$67,1,OFFSET(ORÇAMENTO!$D$15,$F$67,0),CÁLCULO.FrentesPreenchidas),OFFSET(CÁLCULO!$AL$15,$F$67,1,OFFSET(ORÇAMENTO!$D$15,$F$67,0),CÁLCULO.FrentesPreenchidas),"&lt;="&amp;W$12)/OFFSET(ORÇAMENTO!$X$15,$F$67,0)),
     IF(ACOMPANHAMENTO="BM",SUM(OFFSET($T$13,$F$67+2,1,1,W$12))/OFFSET($S$13,$F$67,0),"")))</f>
        <v/>
      </c>
      <c r="X67" s="532" t="str">
        <f ca="1">IF($F$67="","",
  IF(ACOMPANHAMENTO="PLE",
     IF(AUTOEVENTO="Manual",
         IF(AdmLocal="Automática",
              X62,
              SUMIF(OFFSET(CRONOPLE!$F$14,CRONOPLE!$A$8+1,1,1,OFFSET(CRONOPLE!$AF$12,0,-1)),"&lt;="&amp;X$12,OFFSET(EVENTOS!$G$14,CRONOPLE!$A$8+1,1,1,OFFSET(CRONOPLE!$AF$12,0,-1)))/OFFSET(EVENTOS!$G$14,CRONOPLE!$A$8+1,-1)),
         SUMIFS(OFFSET(CÁLCULO!$AA$15,$F$67,1,OFFSET(ORÇAMENTO!$D$15,$F$67,0),CÁLCULO.FrentesPreenchidas),OFFSET(CÁLCULO!$AL$15,$F$67,1,OFFSET(ORÇAMENTO!$D$15,$F$67,0),CÁLCULO.FrentesPreenchidas),"&lt;="&amp;X$12)/OFFSET(ORÇAMENTO!$X$15,$F$67,0)),
     IF(ACOMPANHAMENTO="BM",SUM(OFFSET($T$13,$F$67+2,1,1,X$12))/OFFSET($S$13,$F$67,0),"")))</f>
        <v/>
      </c>
      <c r="Y67" s="532" t="str">
        <f ca="1">IF($F$67="","",
  IF(ACOMPANHAMENTO="PLE",
     IF(AUTOEVENTO="Manual",
         IF(AdmLocal="Automática",
              Y62,
              SUMIF(OFFSET(CRONOPLE!$F$14,CRONOPLE!$A$8+1,1,1,OFFSET(CRONOPLE!$AF$12,0,-1)),"&lt;="&amp;Y$12,OFFSET(EVENTOS!$G$14,CRONOPLE!$A$8+1,1,1,OFFSET(CRONOPLE!$AF$12,0,-1)))/OFFSET(EVENTOS!$G$14,CRONOPLE!$A$8+1,-1)),
         SUMIFS(OFFSET(CÁLCULO!$AA$15,$F$67,1,OFFSET(ORÇAMENTO!$D$15,$F$67,0),CÁLCULO.FrentesPreenchidas),OFFSET(CÁLCULO!$AL$15,$F$67,1,OFFSET(ORÇAMENTO!$D$15,$F$67,0),CÁLCULO.FrentesPreenchidas),"&lt;="&amp;Y$12)/OFFSET(ORÇAMENTO!$X$15,$F$67,0)),
     IF(ACOMPANHAMENTO="BM",SUM(OFFSET($T$13,$F$67+2,1,1,Y$12))/OFFSET($S$13,$F$67,0),"")))</f>
        <v/>
      </c>
      <c r="Z67" s="532" t="str">
        <f ca="1">IF($F$67="","",
  IF(ACOMPANHAMENTO="PLE",
     IF(AUTOEVENTO="Manual",
         IF(AdmLocal="Automática",
              Z62,
              SUMIF(OFFSET(CRONOPLE!$F$14,CRONOPLE!$A$8+1,1,1,OFFSET(CRONOPLE!$AF$12,0,-1)),"&lt;="&amp;Z$12,OFFSET(EVENTOS!$G$14,CRONOPLE!$A$8+1,1,1,OFFSET(CRONOPLE!$AF$12,0,-1)))/OFFSET(EVENTOS!$G$14,CRONOPLE!$A$8+1,-1)),
         SUMIFS(OFFSET(CÁLCULO!$AA$15,$F$67,1,OFFSET(ORÇAMENTO!$D$15,$F$67,0),CÁLCULO.FrentesPreenchidas),OFFSET(CÁLCULO!$AL$15,$F$67,1,OFFSET(ORÇAMENTO!$D$15,$F$67,0),CÁLCULO.FrentesPreenchidas),"&lt;="&amp;Z$12)/OFFSET(ORÇAMENTO!$X$15,$F$67,0)),
     IF(ACOMPANHAMENTO="BM",SUM(OFFSET($T$13,$F$67+2,1,1,Z$12))/OFFSET($S$13,$F$67,0),"")))</f>
        <v/>
      </c>
      <c r="AA67" s="532" t="str">
        <f ca="1">IF($F$67="","",
  IF(ACOMPANHAMENTO="PLE",
     IF(AUTOEVENTO="Manual",
         IF(AdmLocal="Automática",
              AA62,
              SUMIF(OFFSET(CRONOPLE!$F$14,CRONOPLE!$A$8+1,1,1,OFFSET(CRONOPLE!$AF$12,0,-1)),"&lt;="&amp;AA$12,OFFSET(EVENTOS!$G$14,CRONOPLE!$A$8+1,1,1,OFFSET(CRONOPLE!$AF$12,0,-1)))/OFFSET(EVENTOS!$G$14,CRONOPLE!$A$8+1,-1)),
         SUMIFS(OFFSET(CÁLCULO!$AA$15,$F$67,1,OFFSET(ORÇAMENTO!$D$15,$F$67,0),CÁLCULO.FrentesPreenchidas),OFFSET(CÁLCULO!$AL$15,$F$67,1,OFFSET(ORÇAMENTO!$D$15,$F$67,0),CÁLCULO.FrentesPreenchidas),"&lt;="&amp;AA$12)/OFFSET(ORÇAMENTO!$X$15,$F$67,0)),
     IF(ACOMPANHAMENTO="BM",SUM(OFFSET($T$13,$F$67+2,1,1,AA$12))/OFFSET($S$13,$F$67,0),"")))</f>
        <v/>
      </c>
      <c r="AB67" s="532" t="str">
        <f ca="1">IF($F$67="","",
  IF(ACOMPANHAMENTO="PLE",
     IF(AUTOEVENTO="Manual",
         IF(AdmLocal="Automática",
              AB62,
              SUMIF(OFFSET(CRONOPLE!$F$14,CRONOPLE!$A$8+1,1,1,OFFSET(CRONOPLE!$AF$12,0,-1)),"&lt;="&amp;AB$12,OFFSET(EVENTOS!$G$14,CRONOPLE!$A$8+1,1,1,OFFSET(CRONOPLE!$AF$12,0,-1)))/OFFSET(EVENTOS!$G$14,CRONOPLE!$A$8+1,-1)),
         SUMIFS(OFFSET(CÁLCULO!$AA$15,$F$67,1,OFFSET(ORÇAMENTO!$D$15,$F$67,0),CÁLCULO.FrentesPreenchidas),OFFSET(CÁLCULO!$AL$15,$F$67,1,OFFSET(ORÇAMENTO!$D$15,$F$67,0),CÁLCULO.FrentesPreenchidas),"&lt;="&amp;AB$12)/OFFSET(ORÇAMENTO!$X$15,$F$67,0)),
     IF(ACOMPANHAMENTO="BM",SUM(OFFSET($T$13,$F$67+2,1,1,AB$12))/OFFSET($S$13,$F$67,0),"")))</f>
        <v/>
      </c>
      <c r="AC67" s="532" t="str">
        <f ca="1">IF($F$67="","",
  IF(ACOMPANHAMENTO="PLE",
     IF(AUTOEVENTO="Manual",
         IF(AdmLocal="Automática",
              AC62,
              SUMIF(OFFSET(CRONOPLE!$F$14,CRONOPLE!$A$8+1,1,1,OFFSET(CRONOPLE!$AF$12,0,-1)),"&lt;="&amp;AC$12,OFFSET(EVENTOS!$G$14,CRONOPLE!$A$8+1,1,1,OFFSET(CRONOPLE!$AF$12,0,-1)))/OFFSET(EVENTOS!$G$14,CRONOPLE!$A$8+1,-1)),
         SUMIFS(OFFSET(CÁLCULO!$AA$15,$F$67,1,OFFSET(ORÇAMENTO!$D$15,$F$67,0),CÁLCULO.FrentesPreenchidas),OFFSET(CÁLCULO!$AL$15,$F$67,1,OFFSET(ORÇAMENTO!$D$15,$F$67,0),CÁLCULO.FrentesPreenchidas),"&lt;="&amp;AC$12)/OFFSET(ORÇAMENTO!$X$15,$F$67,0)),
     IF(ACOMPANHAMENTO="BM",SUM(OFFSET($T$13,$F$67+2,1,1,AC$12))/OFFSET($S$13,$F$67,0),"")))</f>
        <v/>
      </c>
      <c r="AD67" s="532" t="str">
        <f ca="1">IF($F$67="","",
  IF(ACOMPANHAMENTO="PLE",
     IF(AUTOEVENTO="Manual",
         IF(AdmLocal="Automática",
              AD62,
              SUMIF(OFFSET(CRONOPLE!$F$14,CRONOPLE!$A$8+1,1,1,OFFSET(CRONOPLE!$AF$12,0,-1)),"&lt;="&amp;AD$12,OFFSET(EVENTOS!$G$14,CRONOPLE!$A$8+1,1,1,OFFSET(CRONOPLE!$AF$12,0,-1)))/OFFSET(EVENTOS!$G$14,CRONOPLE!$A$8+1,-1)),
         SUMIFS(OFFSET(CÁLCULO!$AA$15,$F$67,1,OFFSET(ORÇAMENTO!$D$15,$F$67,0),CÁLCULO.FrentesPreenchidas),OFFSET(CÁLCULO!$AL$15,$F$67,1,OFFSET(ORÇAMENTO!$D$15,$F$67,0),CÁLCULO.FrentesPreenchidas),"&lt;="&amp;AD$12)/OFFSET(ORÇAMENTO!$X$15,$F$67,0)),
     IF(ACOMPANHAMENTO="BM",SUM(OFFSET($T$13,$F$67+2,1,1,AD$12))/OFFSET($S$13,$F$67,0),"")))</f>
        <v/>
      </c>
      <c r="AE67" s="532" t="str">
        <f ca="1">IF($F$67="","",
  IF(ACOMPANHAMENTO="PLE",
     IF(AUTOEVENTO="Manual",
         IF(AdmLocal="Automática",
              AE62,
              SUMIF(OFFSET(CRONOPLE!$F$14,CRONOPLE!$A$8+1,1,1,OFFSET(CRONOPLE!$AF$12,0,-1)),"&lt;="&amp;AE$12,OFFSET(EVENTOS!$G$14,CRONOPLE!$A$8+1,1,1,OFFSET(CRONOPLE!$AF$12,0,-1)))/OFFSET(EVENTOS!$G$14,CRONOPLE!$A$8+1,-1)),
         SUMIFS(OFFSET(CÁLCULO!$AA$15,$F$67,1,OFFSET(ORÇAMENTO!$D$15,$F$67,0),CÁLCULO.FrentesPreenchidas),OFFSET(CÁLCULO!$AL$15,$F$67,1,OFFSET(ORÇAMENTO!$D$15,$F$67,0),CÁLCULO.FrentesPreenchidas),"&lt;="&amp;AE$12)/OFFSET(ORÇAMENTO!$X$15,$F$67,0)),
     IF(ACOMPANHAMENTO="BM",SUM(OFFSET($T$13,$F$67+2,1,1,AE$12))/OFFSET($S$13,$F$67,0),"")))</f>
        <v/>
      </c>
      <c r="AF67" s="532" t="str">
        <f ca="1">IF($F$67="","",
  IF(ACOMPANHAMENTO="PLE",
     IF(AUTOEVENTO="Manual",
         IF(AdmLocal="Automática",
              AF62,
              SUMIF(OFFSET(CRONOPLE!$F$14,CRONOPLE!$A$8+1,1,1,OFFSET(CRONOPLE!$AF$12,0,-1)),"&lt;="&amp;AF$12,OFFSET(EVENTOS!$G$14,CRONOPLE!$A$8+1,1,1,OFFSET(CRONOPLE!$AF$12,0,-1)))/OFFSET(EVENTOS!$G$14,CRONOPLE!$A$8+1,-1)),
         SUMIFS(OFFSET(CÁLCULO!$AA$15,$F$67,1,OFFSET(ORÇAMENTO!$D$15,$F$67,0),CÁLCULO.FrentesPreenchidas),OFFSET(CÁLCULO!$AL$15,$F$67,1,OFFSET(ORÇAMENTO!$D$15,$F$67,0),CÁLCULO.FrentesPreenchidas),"&lt;="&amp;AF$12)/OFFSET(ORÇAMENTO!$X$15,$F$67,0)),
     IF(ACOMPANHAMENTO="BM",SUM(OFFSET($T$13,$F$67+2,1,1,AF$12))/OFFSET($S$13,$F$67,0),"")))</f>
        <v/>
      </c>
      <c r="AG67" s="534"/>
    </row>
    <row r="68" spans="4:33" ht="17.100000000000001" customHeight="1" x14ac:dyDescent="0.25">
      <c r="G68" s="185" t="s">
        <v>536</v>
      </c>
      <c r="H68" s="571" t="str" cm="1">
        <f t="array" ref="H68">IF(AND(ACOMPANHAMENTO="BM",$H$67=""),"↑ Não foi indicado o Macrosserviço de Administração Local","")</f>
        <v>↑ Não foi indicado o Macrosserviço de Administração Local</v>
      </c>
      <c r="T68" s="583" t="str">
        <f ca="1">IF(COUNTIF(U68:AG68,"%Adm&gt;%Global")&gt;0,"Verificar proporcionalidade da Administração Local","")</f>
        <v/>
      </c>
      <c r="U68" s="535" t="str">
        <f ca="1">IF(U67="","",IF(ROUND(U67,4)&gt;ROUND(U62,4),"%Adm&gt;%Global",""))</f>
        <v/>
      </c>
      <c r="V68" s="535" t="str">
        <f t="shared" ref="V68:AG68" ca="1" si="94">IF(V67="","",IF(ROUND(V67,4)&gt;ROUND(V62,4),"%Adm&gt;%Global",""))</f>
        <v/>
      </c>
      <c r="W68" s="535" t="str">
        <f t="shared" ca="1" si="94"/>
        <v/>
      </c>
      <c r="X68" s="535" t="str">
        <f t="shared" ca="1" si="94"/>
        <v/>
      </c>
      <c r="Y68" s="535" t="str">
        <f t="shared" ca="1" si="94"/>
        <v/>
      </c>
      <c r="Z68" s="535" t="str">
        <f t="shared" ca="1" si="94"/>
        <v/>
      </c>
      <c r="AA68" s="535" t="str">
        <f t="shared" ca="1" si="94"/>
        <v/>
      </c>
      <c r="AB68" s="535" t="str">
        <f t="shared" ca="1" si="94"/>
        <v/>
      </c>
      <c r="AC68" s="535" t="str">
        <f t="shared" ca="1" si="94"/>
        <v/>
      </c>
      <c r="AD68" s="535" t="str">
        <f t="shared" ca="1" si="94"/>
        <v/>
      </c>
      <c r="AE68" s="535" t="str">
        <f t="shared" ca="1" si="94"/>
        <v/>
      </c>
      <c r="AF68" s="535" t="str">
        <f t="shared" ca="1" si="94"/>
        <v/>
      </c>
      <c r="AG68" s="535" t="str">
        <f t="shared" si="94"/>
        <v/>
      </c>
    </row>
    <row r="69" spans="4:33" ht="32.25" customHeight="1" x14ac:dyDescent="0.2">
      <c r="G69" s="185" t="s">
        <v>536</v>
      </c>
      <c r="I69" s="685" t="str">
        <f>Import.Município</f>
        <v>SARANDI/RS</v>
      </c>
      <c r="J69" s="685"/>
      <c r="K69" s="685"/>
      <c r="L69" s="685"/>
      <c r="M69" s="685"/>
      <c r="N69" s="685"/>
      <c r="O69" s="685"/>
      <c r="P69" s="685"/>
      <c r="Q69" s="685"/>
      <c r="R69" s="685"/>
      <c r="S69" s="685"/>
      <c r="AA69" s="460"/>
      <c r="AB69" s="460"/>
      <c r="AC69" s="460"/>
      <c r="AD69" s="460"/>
      <c r="AE69" s="462"/>
      <c r="AF69" s="462"/>
    </row>
    <row r="70" spans="4:33" x14ac:dyDescent="0.2">
      <c r="G70" s="185" t="s">
        <v>536</v>
      </c>
      <c r="I70" s="9" t="s">
        <v>693</v>
      </c>
      <c r="J70"/>
      <c r="K70"/>
      <c r="L70"/>
      <c r="AA70" s="181" t="s">
        <v>696</v>
      </c>
      <c r="AB70" s="181"/>
      <c r="AC70" s="181"/>
      <c r="AD70" s="181"/>
      <c r="AE70" s="185"/>
      <c r="AF70" s="185"/>
    </row>
    <row r="71" spans="4:33" x14ac:dyDescent="0.2">
      <c r="G71" s="185" t="s">
        <v>536</v>
      </c>
      <c r="I71"/>
      <c r="J71"/>
      <c r="K71"/>
      <c r="L71"/>
      <c r="AA71" s="398" t="str">
        <f t="array" aca="1" ref="AA71:AA73" ca="1">OFFSET(Import.RespOrçamento,0,-1) &amp; " " &amp; Import.RespOrçamento</f>
        <v>Nome: RENATA CENCI SIGNOR</v>
      </c>
      <c r="AC71"/>
      <c r="AD71" s="79"/>
      <c r="AE71" s="185"/>
      <c r="AF71" s="185"/>
    </row>
    <row r="72" spans="4:33" x14ac:dyDescent="0.2">
      <c r="G72" s="185" t="s">
        <v>536</v>
      </c>
      <c r="I72" s="684">
        <f ca="1">DADOS!$C$25</f>
        <v>46190</v>
      </c>
      <c r="J72" s="684"/>
      <c r="K72" s="684"/>
      <c r="L72" s="180"/>
      <c r="M72" s="245"/>
      <c r="N72" s="245"/>
      <c r="O72" s="245"/>
      <c r="P72" s="245"/>
      <c r="Q72" s="245"/>
      <c r="R72" s="245"/>
      <c r="S72" s="246"/>
      <c r="AA72" s="398" t="str">
        <f ca="1"/>
        <v>CREA/CAU: 093177</v>
      </c>
      <c r="AC72" s="79"/>
      <c r="AD72" s="79"/>
      <c r="AE72" s="185"/>
      <c r="AF72" s="185"/>
    </row>
    <row r="73" spans="4:33" x14ac:dyDescent="0.2">
      <c r="G73" s="185" t="s">
        <v>536</v>
      </c>
      <c r="I73" s="9" t="s">
        <v>694</v>
      </c>
      <c r="J73"/>
      <c r="K73"/>
      <c r="L73"/>
      <c r="AA73" s="398" t="str">
        <f ca="1"/>
        <v>ART/RRT: 14426537</v>
      </c>
      <c r="AC73" s="79"/>
      <c r="AD73" s="79"/>
      <c r="AE73" s="185"/>
      <c r="AF73" s="185"/>
    </row>
  </sheetData>
  <sheetProtection algorithmName="SHA-512" hashValue="uujABYNUhTNKWtxOO+ramVF6+eNWzyV1S/epLy2KtDRLm03XsrQxmNoHXaiNJwmHq4yL3I63oUGCzSjWnmCrHQ==" saltValue="bQLtcM4c2fyL/PsAc3Blqw==" spinCount="100000" sheet="1" objects="1" scenarios="1" autoFilter="0"/>
  <autoFilter ref="G13:G73"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72:K72"/>
    <mergeCell ref="I69:S69"/>
    <mergeCell ref="H67:J67"/>
    <mergeCell ref="S12:S13"/>
    <mergeCell ref="T12:T13"/>
    <mergeCell ref="L8:T8"/>
    <mergeCell ref="U8:Y8"/>
    <mergeCell ref="K10:T11"/>
    <mergeCell ref="I57:K58"/>
  </mergeCells>
  <phoneticPr fontId="38" type="noConversion"/>
  <conditionalFormatting sqref="U12:U13">
    <cfRule type="expression" dxfId="1329" priority="16861" stopIfTrue="1">
      <formula>NOT(ISNUMBER(T$12))</formula>
    </cfRule>
  </conditionalFormatting>
  <conditionalFormatting sqref="E2 U2:AF2">
    <cfRule type="expression" dxfId="1328" priority="16862" stopIfTrue="1">
      <formula>AND(ISNUMBER($H1),$H1&lt;&gt;0)</formula>
    </cfRule>
  </conditionalFormatting>
  <conditionalFormatting sqref="I2:S2">
    <cfRule type="expression" dxfId="1327" priority="16863" stopIfTrue="1">
      <formula>$M1=2</formula>
    </cfRule>
    <cfRule type="expression" dxfId="1326" priority="16864" stopIfTrue="1">
      <formula>AND($M1=1,$S1&lt;&gt;"")</formula>
    </cfRule>
  </conditionalFormatting>
  <conditionalFormatting sqref="I1:S1">
    <cfRule type="expression" dxfId="1325" priority="16865" stopIfTrue="1">
      <formula>$M1=2</formula>
    </cfRule>
    <cfRule type="expression" dxfId="1324" priority="16866" stopIfTrue="1">
      <formula>AND($M1=1,$S1&lt;&gt;"")</formula>
    </cfRule>
  </conditionalFormatting>
  <conditionalFormatting sqref="E57 E59 E61:E62 E64 E66 U66:AF66 U57:AF57 U59:AF59 U61:AF62 U64:AF64">
    <cfRule type="expression" dxfId="1323" priority="16867" stopIfTrue="1">
      <formula>D$62=1</formula>
    </cfRule>
  </conditionalFormatting>
  <conditionalFormatting sqref="E58 E60 E63 E65 E67 U58:AF58 U60:AF60 U63:AF63 U65:AF65 U67:AF67">
    <cfRule type="expression" dxfId="1322" priority="16868" stopIfTrue="1">
      <formula>D$62=1</formula>
    </cfRule>
  </conditionalFormatting>
  <conditionalFormatting sqref="AF7:AF8">
    <cfRule type="expression" dxfId="1321" priority="16872" stopIfTrue="1">
      <formula>OR(TIPOORCAMENTO&lt;&gt;"Licitado",QCI.ExisteManual)</formula>
    </cfRule>
  </conditionalFormatting>
  <conditionalFormatting sqref="Z7:AE8">
    <cfRule type="expression" dxfId="1320" priority="16860" stopIfTrue="1">
      <formula>QCI.ExisteManual</formula>
    </cfRule>
  </conditionalFormatting>
  <conditionalFormatting sqref="H2">
    <cfRule type="expression" dxfId="1319" priority="13006">
      <formula>AND(H1&lt;&gt;0,ISNUMBER(H1))</formula>
    </cfRule>
  </conditionalFormatting>
  <conditionalFormatting sqref="E67 U67:AF67">
    <cfRule type="expression" dxfId="1318" priority="12997">
      <formula>ROUND(E67,4)&gt;ROUND(E62,4)</formula>
    </cfRule>
  </conditionalFormatting>
  <conditionalFormatting sqref="H1">
    <cfRule type="expression" dxfId="1317" priority="12996">
      <formula>AND(H1&lt;&gt;0,ISNUMBER(H1))</formula>
    </cfRule>
  </conditionalFormatting>
  <conditionalFormatting sqref="H67:J67">
    <cfRule type="expression" dxfId="1316" priority="12995">
      <formula>$H$66=""</formula>
    </cfRule>
  </conditionalFormatting>
  <conditionalFormatting sqref="E67">
    <cfRule type="expression" dxfId="1315" priority="12988" stopIfTrue="1">
      <formula>D$62=1</formula>
    </cfRule>
  </conditionalFormatting>
  <conditionalFormatting sqref="E1">
    <cfRule type="expression" dxfId="1314" priority="12985" stopIfTrue="1">
      <formula>E1&lt;&gt;0</formula>
    </cfRule>
  </conditionalFormatting>
  <conditionalFormatting sqref="E2">
    <cfRule type="expression" dxfId="1313" priority="12984">
      <formula>AND(_xlfn.SINGLE(ACOMPANHAMENTO)="BM",E2&gt;ROUND(E2,4))</formula>
    </cfRule>
  </conditionalFormatting>
  <conditionalFormatting sqref="E67">
    <cfRule type="expression" dxfId="1312" priority="12983" stopIfTrue="1">
      <formula>D$62=1</formula>
    </cfRule>
  </conditionalFormatting>
  <conditionalFormatting sqref="U1:AF1">
    <cfRule type="expression" dxfId="1311" priority="2939" stopIfTrue="1">
      <formula>U1&lt;&gt;0</formula>
    </cfRule>
  </conditionalFormatting>
  <conditionalFormatting sqref="U2:AF2">
    <cfRule type="expression" dxfId="1310" priority="2938">
      <formula>AND(_xlfn.SINGLE(ACOMPANHAMENTO)="BM",U2&gt;ROUND(U2,4))</formula>
    </cfRule>
  </conditionalFormatting>
  <conditionalFormatting sqref="E15 E18 E21 U15:AF15 U18:AF18 U21:AF21">
    <cfRule type="expression" dxfId="1309" priority="469" stopIfTrue="1">
      <formula>AND(ISNUMBER($H14),$H14&lt;&gt;0)</formula>
    </cfRule>
  </conditionalFormatting>
  <conditionalFormatting sqref="I15:S15 I18:S18 I21:S21">
    <cfRule type="expression" dxfId="1308" priority="470" stopIfTrue="1">
      <formula>$M14=2</formula>
    </cfRule>
    <cfRule type="expression" dxfId="1307" priority="471" stopIfTrue="1">
      <formula>AND($M14=1,$S14&lt;&gt;"")</formula>
    </cfRule>
  </conditionalFormatting>
  <conditionalFormatting sqref="I14:S14 I17:S17 I20:S20">
    <cfRule type="expression" dxfId="1306" priority="472" stopIfTrue="1">
      <formula>$M14=2</formula>
    </cfRule>
    <cfRule type="expression" dxfId="1305" priority="473" stopIfTrue="1">
      <formula>AND($M14=1,$S14&lt;&gt;"")</formula>
    </cfRule>
  </conditionalFormatting>
  <conditionalFormatting sqref="H15 H18 H21">
    <cfRule type="expression" dxfId="1304" priority="468">
      <formula>AND(H14&lt;&gt;0,ISNUMBER(H14))</formula>
    </cfRule>
  </conditionalFormatting>
  <conditionalFormatting sqref="H14 H17 H20">
    <cfRule type="expression" dxfId="1303" priority="467">
      <formula>AND(H14&lt;&gt;0,ISNUMBER(H14))</formula>
    </cfRule>
  </conditionalFormatting>
  <conditionalFormatting sqref="E14 E17 E20">
    <cfRule type="expression" dxfId="1302" priority="466" stopIfTrue="1">
      <formula>E14&lt;&gt;0</formula>
    </cfRule>
  </conditionalFormatting>
  <conditionalFormatting sqref="E15 E18 E21">
    <cfRule type="expression" dxfId="1301" priority="465">
      <formula>AND(_xlfn.SINGLE(ACOMPANHAMENTO)="BM",E15&gt;ROUND(E15,4))</formula>
    </cfRule>
  </conditionalFormatting>
  <conditionalFormatting sqref="U14:AF14 U17:AF17 U20:AF20">
    <cfRule type="expression" dxfId="1300" priority="464" stopIfTrue="1">
      <formula>U14&lt;&gt;0</formula>
    </cfRule>
  </conditionalFormatting>
  <conditionalFormatting sqref="U15:AF15 U18:AF18 U21:AF21">
    <cfRule type="expression" dxfId="1299" priority="463">
      <formula>AND(_xlfn.SINGLE(ACOMPANHAMENTO)="BM",U15&gt;ROUND(U15,4))</formula>
    </cfRule>
  </conditionalFormatting>
  <conditionalFormatting sqref="E24 E27 E30 U24:AF24 U27:AF27 U30:AF30">
    <cfRule type="expression" dxfId="1298" priority="458" stopIfTrue="1">
      <formula>AND(ISNUMBER($H23),$H23&lt;&gt;0)</formula>
    </cfRule>
  </conditionalFormatting>
  <conditionalFormatting sqref="I24:S24 I27:S27 I30:S30">
    <cfRule type="expression" dxfId="1297" priority="459" stopIfTrue="1">
      <formula>$M23=2</formula>
    </cfRule>
    <cfRule type="expression" dxfId="1296" priority="460" stopIfTrue="1">
      <formula>AND($M23=1,$S23&lt;&gt;"")</formula>
    </cfRule>
  </conditionalFormatting>
  <conditionalFormatting sqref="I23:S23 I26:S26 I29:S29">
    <cfRule type="expression" dxfId="1295" priority="461" stopIfTrue="1">
      <formula>$M23=2</formula>
    </cfRule>
    <cfRule type="expression" dxfId="1294" priority="462" stopIfTrue="1">
      <formula>AND($M23=1,$S23&lt;&gt;"")</formula>
    </cfRule>
  </conditionalFormatting>
  <conditionalFormatting sqref="H24 H27 H30">
    <cfRule type="expression" dxfId="1293" priority="457">
      <formula>AND(H23&lt;&gt;0,ISNUMBER(H23))</formula>
    </cfRule>
  </conditionalFormatting>
  <conditionalFormatting sqref="H23 H26 H29">
    <cfRule type="expression" dxfId="1292" priority="456">
      <formula>AND(H23&lt;&gt;0,ISNUMBER(H23))</formula>
    </cfRule>
  </conditionalFormatting>
  <conditionalFormatting sqref="E23 E26 E29">
    <cfRule type="expression" dxfId="1291" priority="455" stopIfTrue="1">
      <formula>E23&lt;&gt;0</formula>
    </cfRule>
  </conditionalFormatting>
  <conditionalFormatting sqref="E24 E27 E30">
    <cfRule type="expression" dxfId="1290" priority="454">
      <formula>AND(_xlfn.SINGLE(ACOMPANHAMENTO)="BM",E24&gt;ROUND(E24,4))</formula>
    </cfRule>
  </conditionalFormatting>
  <conditionalFormatting sqref="U23:AF23 U26:AF26 U29:AF29">
    <cfRule type="expression" dxfId="1289" priority="453" stopIfTrue="1">
      <formula>U23&lt;&gt;0</formula>
    </cfRule>
  </conditionalFormatting>
  <conditionalFormatting sqref="U24:AF24 U27:AF27 U30:AF30">
    <cfRule type="expression" dxfId="1288" priority="452">
      <formula>AND(_xlfn.SINGLE(ACOMPANHAMENTO)="BM",U24&gt;ROUND(U24,4))</formula>
    </cfRule>
  </conditionalFormatting>
  <conditionalFormatting sqref="E33 E36 E39 U33:AF33 U36:AF36 U39:AF39">
    <cfRule type="expression" dxfId="1287" priority="447" stopIfTrue="1">
      <formula>AND(ISNUMBER($H32),$H32&lt;&gt;0)</formula>
    </cfRule>
  </conditionalFormatting>
  <conditionalFormatting sqref="I33:S33 I36:S36 I39:S39">
    <cfRule type="expression" dxfId="1286" priority="448" stopIfTrue="1">
      <formula>$M32=2</formula>
    </cfRule>
    <cfRule type="expression" dxfId="1285" priority="449" stopIfTrue="1">
      <formula>AND($M32=1,$S32&lt;&gt;"")</formula>
    </cfRule>
  </conditionalFormatting>
  <conditionalFormatting sqref="I32:S32 I35:S35 I38:S38">
    <cfRule type="expression" dxfId="1284" priority="450" stopIfTrue="1">
      <formula>$M32=2</formula>
    </cfRule>
    <cfRule type="expression" dxfId="1283" priority="451" stopIfTrue="1">
      <formula>AND($M32=1,$S32&lt;&gt;"")</formula>
    </cfRule>
  </conditionalFormatting>
  <conditionalFormatting sqref="H33 H36 H39">
    <cfRule type="expression" dxfId="1282" priority="446">
      <formula>AND(H32&lt;&gt;0,ISNUMBER(H32))</formula>
    </cfRule>
  </conditionalFormatting>
  <conditionalFormatting sqref="H32 H35 H38">
    <cfRule type="expression" dxfId="1281" priority="445">
      <formula>AND(H32&lt;&gt;0,ISNUMBER(H32))</formula>
    </cfRule>
  </conditionalFormatting>
  <conditionalFormatting sqref="E32 E35 E38">
    <cfRule type="expression" dxfId="1280" priority="444" stopIfTrue="1">
      <formula>E32&lt;&gt;0</formula>
    </cfRule>
  </conditionalFormatting>
  <conditionalFormatting sqref="E33 E36 E39">
    <cfRule type="expression" dxfId="1279" priority="443">
      <formula>AND(_xlfn.SINGLE(ACOMPANHAMENTO)="BM",E33&gt;ROUND(E33,4))</formula>
    </cfRule>
  </conditionalFormatting>
  <conditionalFormatting sqref="U32:AF32 U35:AF35 U38:AF38">
    <cfRule type="expression" dxfId="1278" priority="442" stopIfTrue="1">
      <formula>U32&lt;&gt;0</formula>
    </cfRule>
  </conditionalFormatting>
  <conditionalFormatting sqref="U33:AF33 U36:AF36 U39:AF39">
    <cfRule type="expression" dxfId="1277" priority="441">
      <formula>AND(_xlfn.SINGLE(ACOMPANHAMENTO)="BM",U33&gt;ROUND(U33,4))</formula>
    </cfRule>
  </conditionalFormatting>
  <conditionalFormatting sqref="E42 E45 E48 U42:AF42 U45:AF45 U48:AF48">
    <cfRule type="expression" dxfId="1276" priority="436" stopIfTrue="1">
      <formula>AND(ISNUMBER($H41),$H41&lt;&gt;0)</formula>
    </cfRule>
  </conditionalFormatting>
  <conditionalFormatting sqref="I42:S42 I45:S45 I48:S48">
    <cfRule type="expression" dxfId="1275" priority="437" stopIfTrue="1">
      <formula>$M41=2</formula>
    </cfRule>
    <cfRule type="expression" dxfId="1274" priority="438" stopIfTrue="1">
      <formula>AND($M41=1,$S41&lt;&gt;"")</formula>
    </cfRule>
  </conditionalFormatting>
  <conditionalFormatting sqref="I41:S41 I44:S44 I47:S47">
    <cfRule type="expression" dxfId="1273" priority="439" stopIfTrue="1">
      <formula>$M41=2</formula>
    </cfRule>
    <cfRule type="expression" dxfId="1272" priority="440" stopIfTrue="1">
      <formula>AND($M41=1,$S41&lt;&gt;"")</formula>
    </cfRule>
  </conditionalFormatting>
  <conditionalFormatting sqref="H42 H45 H48">
    <cfRule type="expression" dxfId="1271" priority="435">
      <formula>AND(H41&lt;&gt;0,ISNUMBER(H41))</formula>
    </cfRule>
  </conditionalFormatting>
  <conditionalFormatting sqref="H41 H44 H47">
    <cfRule type="expression" dxfId="1270" priority="434">
      <formula>AND(H41&lt;&gt;0,ISNUMBER(H41))</formula>
    </cfRule>
  </conditionalFormatting>
  <conditionalFormatting sqref="E41 E44 E47">
    <cfRule type="expression" dxfId="1269" priority="433" stopIfTrue="1">
      <formula>E41&lt;&gt;0</formula>
    </cfRule>
  </conditionalFormatting>
  <conditionalFormatting sqref="E42 E45 E48">
    <cfRule type="expression" dxfId="1268" priority="432">
      <formula>AND(_xlfn.SINGLE(ACOMPANHAMENTO)="BM",E42&gt;ROUND(E42,4))</formula>
    </cfRule>
  </conditionalFormatting>
  <conditionalFormatting sqref="U41:AF41 U44:AF44 U47:AF47">
    <cfRule type="expression" dxfId="1267" priority="431" stopIfTrue="1">
      <formula>U41&lt;&gt;0</formula>
    </cfRule>
  </conditionalFormatting>
  <conditionalFormatting sqref="U42:AF42 U45:AF45 U48:AF48">
    <cfRule type="expression" dxfId="1266" priority="430">
      <formula>AND(_xlfn.SINGLE(ACOMPANHAMENTO)="BM",U42&gt;ROUND(U42,4))</formula>
    </cfRule>
  </conditionalFormatting>
  <conditionalFormatting sqref="E51 E54 U51:AF51 U54:AF54">
    <cfRule type="expression" dxfId="1265" priority="425" stopIfTrue="1">
      <formula>AND(ISNUMBER($H50),$H50&lt;&gt;0)</formula>
    </cfRule>
  </conditionalFormatting>
  <conditionalFormatting sqref="I51:S51 I54:S54">
    <cfRule type="expression" dxfId="1264" priority="426" stopIfTrue="1">
      <formula>$M50=2</formula>
    </cfRule>
    <cfRule type="expression" dxfId="1263" priority="427" stopIfTrue="1">
      <formula>AND($M50=1,$S50&lt;&gt;"")</formula>
    </cfRule>
  </conditionalFormatting>
  <conditionalFormatting sqref="I50:S50 I53:S53">
    <cfRule type="expression" dxfId="1262" priority="428" stopIfTrue="1">
      <formula>$M50=2</formula>
    </cfRule>
    <cfRule type="expression" dxfId="1261" priority="429" stopIfTrue="1">
      <formula>AND($M50=1,$S50&lt;&gt;"")</formula>
    </cfRule>
  </conditionalFormatting>
  <conditionalFormatting sqref="H51 H54">
    <cfRule type="expression" dxfId="1260" priority="424">
      <formula>AND(H50&lt;&gt;0,ISNUMBER(H50))</formula>
    </cfRule>
  </conditionalFormatting>
  <conditionalFormatting sqref="H50 H53">
    <cfRule type="expression" dxfId="1259" priority="423">
      <formula>AND(H50&lt;&gt;0,ISNUMBER(H50))</formula>
    </cfRule>
  </conditionalFormatting>
  <conditionalFormatting sqref="E50 E53">
    <cfRule type="expression" dxfId="1258" priority="422" stopIfTrue="1">
      <formula>E50&lt;&gt;0</formula>
    </cfRule>
  </conditionalFormatting>
  <conditionalFormatting sqref="E51 E54">
    <cfRule type="expression" dxfId="1257" priority="421">
      <formula>AND(_xlfn.SINGLE(ACOMPANHAMENTO)="BM",E51&gt;ROUND(E51,4))</formula>
    </cfRule>
  </conditionalFormatting>
  <conditionalFormatting sqref="U50:AF50 U53:AF53">
    <cfRule type="expression" dxfId="1256" priority="420" stopIfTrue="1">
      <formula>U50&lt;&gt;0</formula>
    </cfRule>
  </conditionalFormatting>
  <conditionalFormatting sqref="U51:AF51 U54:AF54">
    <cfRule type="expression" dxfId="1255" priority="419">
      <formula>AND(_xlfn.SINGLE(ACOMPANHAMENTO)="BM",U51&gt;ROUND(U51,4))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U50:AF50 U53:AF53"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U51:AG51 U54:AG54"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67:J67"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18" t="s">
        <v>650</v>
      </c>
      <c r="E3" s="718"/>
      <c r="F3" s="87" t="s">
        <v>707</v>
      </c>
      <c r="G3" s="718" t="s">
        <v>652</v>
      </c>
      <c r="H3" s="718"/>
      <c r="I3" s="718"/>
      <c r="J3" s="781" t="s">
        <v>808</v>
      </c>
      <c r="K3" s="781"/>
      <c r="L3" s="781"/>
      <c r="M3" s="782" t="s">
        <v>809</v>
      </c>
      <c r="N3" s="782"/>
      <c r="O3" s="782"/>
      <c r="Z3" s="102">
        <f ca="1">MAX(Z7:AB7)</f>
        <v>0.46742776446497597</v>
      </c>
      <c r="AA3" s="273" cm="1">
        <f t="array" aca="1" ref="AA3" ca="1">IF(OR($O$24=ORÇAMENTO.SumINVMANUAL+QCI.SumINVMANUAL,$O$24=0),0,MIN(MAX(0,($Z$3*$O$24-ORÇAMENTO.SumCPMANUAL-QCI.SumCPMANUAL)/($O$24-ORÇAMENTO.SumINVMANUAL-QCI.SumINVMANUAL)),1))</f>
        <v>0.46742776446497597</v>
      </c>
      <c r="AB3" s="92"/>
    </row>
    <row r="4" spans="1:31" x14ac:dyDescent="0.2">
      <c r="A4" t="s">
        <v>977</v>
      </c>
      <c r="D4" s="721">
        <f>Import.CR</f>
        <v>0</v>
      </c>
      <c r="E4" s="721"/>
      <c r="F4" s="56">
        <f>Import.TransfereGOV</f>
        <v>0</v>
      </c>
      <c r="G4" s="721" t="str">
        <f>Import.Proponente</f>
        <v>MUNICIPIO DE SARANDI/RS</v>
      </c>
      <c r="H4" s="721"/>
      <c r="I4" s="721"/>
      <c r="J4" s="783" t="str">
        <f>Import.Município</f>
        <v>SARANDI/RS</v>
      </c>
      <c r="K4" s="783"/>
      <c r="L4" s="783"/>
      <c r="M4" s="782"/>
      <c r="N4" s="782"/>
      <c r="O4" s="782"/>
      <c r="R4" s="129"/>
      <c r="Z4" s="92"/>
      <c r="AA4" s="92"/>
      <c r="AB4" s="92"/>
    </row>
    <row r="5" spans="1:31" ht="5.0999999999999996" customHeight="1" x14ac:dyDescent="0.2">
      <c r="A5" t="s">
        <v>978</v>
      </c>
      <c r="M5" s="265"/>
      <c r="O5" s="4"/>
    </row>
    <row r="6" spans="1:31" x14ac:dyDescent="0.2">
      <c r="A6" t="s">
        <v>979</v>
      </c>
      <c r="D6" s="718" t="s">
        <v>708</v>
      </c>
      <c r="E6" s="718"/>
      <c r="F6" s="718"/>
      <c r="G6" s="718"/>
      <c r="H6" s="718"/>
      <c r="I6" s="718"/>
      <c r="J6" s="718"/>
      <c r="K6" s="718"/>
      <c r="L6" s="274" t="s">
        <v>715</v>
      </c>
      <c r="M6" s="87" t="str">
        <f>IF(import.recurso="FGTS","FINANCIAMENTO","REPASSE")</f>
        <v>REPASSE</v>
      </c>
      <c r="N6" s="87" t="s">
        <v>810</v>
      </c>
      <c r="O6" s="87" t="s">
        <v>811</v>
      </c>
      <c r="Z6" t="s">
        <v>812</v>
      </c>
      <c r="AA6" t="s">
        <v>813</v>
      </c>
      <c r="AB6" t="s">
        <v>814</v>
      </c>
    </row>
    <row r="7" spans="1:31" ht="12.75" customHeight="1" x14ac:dyDescent="0.2">
      <c r="A7" s="658" t="s">
        <v>982</v>
      </c>
      <c r="C7" s="690" t="s">
        <v>655</v>
      </c>
      <c r="D7" s="721" t="str">
        <f>Import.Apelido</f>
        <v>A CASA É SUA</v>
      </c>
      <c r="E7" s="721"/>
      <c r="F7" s="721"/>
      <c r="G7" s="721"/>
      <c r="H7" s="721"/>
      <c r="I7" s="721"/>
      <c r="J7" s="721"/>
      <c r="K7" s="721"/>
      <c r="L7" s="275" t="str">
        <f>import.recurso</f>
        <v>(SELECIONAR)</v>
      </c>
      <c r="M7" s="276">
        <f>Import.Repasse</f>
        <v>2400000</v>
      </c>
      <c r="N7" s="276">
        <f>Import.Contrapartida</f>
        <v>0</v>
      </c>
      <c r="O7" s="276">
        <f>M7+N7</f>
        <v>2400000</v>
      </c>
      <c r="Z7" s="102">
        <f>ROUND(Import.CPMinPerc,4)</f>
        <v>0</v>
      </c>
      <c r="AA7" s="102">
        <f ca="1">IF($O$24=0,0,Import.CPMinAbsoluta/$O$24)</f>
        <v>0</v>
      </c>
      <c r="AB7" s="102">
        <f ca="1">IF($O$24=0,0,($O$24-$AB$24-Import.Repasse)/($O$24))</f>
        <v>0.46742776446497597</v>
      </c>
    </row>
    <row r="8" spans="1:31" x14ac:dyDescent="0.2">
      <c r="A8" t="s">
        <v>819</v>
      </c>
      <c r="C8" s="690"/>
      <c r="D8" s="92"/>
      <c r="E8" s="92"/>
      <c r="F8" s="277"/>
      <c r="G8" s="92"/>
      <c r="H8" s="92"/>
      <c r="I8" s="92"/>
      <c r="J8" s="92"/>
      <c r="K8" s="92"/>
      <c r="L8" s="92"/>
      <c r="M8" s="92"/>
      <c r="N8" s="92"/>
      <c r="O8" s="92"/>
    </row>
    <row r="9" spans="1:31" ht="12.75" customHeight="1" x14ac:dyDescent="0.2">
      <c r="A9" t="s">
        <v>981</v>
      </c>
      <c r="C9" s="690"/>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IF(OFFSET($A$24,-1,0)&lt;OFFSET(ORÇAMENTO!$E$240,-1,0),"ERRO: NÚMERO DE LINHAS DO QCI INSUFICIENTE. CLIQUE NO BOTÃO ADICIONAR LINHAS",
  "")))))))</f>
        <v>PREENCHIMENTO INCOMPLETO DA TABELA PRINCIPAL DO QCI</v>
      </c>
      <c r="H9" s="780"/>
      <c r="I9" s="512"/>
      <c r="J9" s="511"/>
      <c r="K9" s="779" t="s">
        <v>815</v>
      </c>
      <c r="L9" s="278" t="str">
        <f>$L$13</f>
        <v>Repasse (R$)</v>
      </c>
      <c r="M9" s="278" t="s">
        <v>741</v>
      </c>
      <c r="AD9" s="777"/>
      <c r="AE9" s="777"/>
    </row>
    <row r="10" spans="1:31" ht="12.75" customHeight="1" x14ac:dyDescent="0.2">
      <c r="A10" s="776" t="s">
        <v>816</v>
      </c>
      <c r="C10" s="690"/>
      <c r="G10" s="780"/>
      <c r="H10" s="780"/>
      <c r="I10" s="512"/>
      <c r="J10" s="511"/>
      <c r="K10" s="779"/>
      <c r="L10" s="279">
        <f ca="1">Import.Repasse-L24</f>
        <v>0</v>
      </c>
      <c r="M10" s="280">
        <f ca="1">Import.Contrapartida-M24</f>
        <v>-2106430.94</v>
      </c>
      <c r="Z10" s="729" t="s">
        <v>721</v>
      </c>
      <c r="AA10" s="729"/>
      <c r="AB10" s="729"/>
      <c r="AD10" s="777" t="s">
        <v>817</v>
      </c>
      <c r="AE10" s="777"/>
    </row>
    <row r="11" spans="1:31" ht="20.100000000000001" customHeight="1" x14ac:dyDescent="0.25">
      <c r="A11" s="776"/>
      <c r="C11" s="690"/>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IF(NOT(ISBLANK(QCI.DescManual)),IF(QCI.Divisao="Calculado","Manual","SemiAuto"),IF(ISERROR(MATCH($A12,ORÇAMENTO!$E$15:$E$240,0)),"Branco","Automático"))</f>
        <v>Branco</v>
      </c>
      <c r="C12" t="str">
        <f ca="1">IF(O12&gt;0,"F","")</f>
        <v/>
      </c>
      <c r="D12" s="281">
        <f>ROW()-ROW($D$13)</f>
        <v>-1</v>
      </c>
      <c r="E12" s="118"/>
      <c r="F12" s="118"/>
      <c r="G12" s="163" t="str">
        <f ca="1">IF(OR($B12="Manual",$B12="SemiAuto"),QCI.DescManual,IF($B12="Automático",INDEX(ORÇAMENTO!$R$15:$R$240,MATCH($A12,ORÇAMENTO!$E$15:$E$240,0)),""))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IF($B12="Branco",0,IF(OR($B12="Manual",$B12="SemiAuto"),QCI.InvManual,INDEX(ORÇAMENTO!X$15:X$240,MATCH($A12,ORÇAMENTO!$E$15:$E$240,0))))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IF($B12="Branco",0,IF($B12="Manual",QCI.CPManual,IF($B12="SemiAuto",ROUND(QCI!$AA$3*QCI.InvManual,2),INDEX(ORÇAMENTO!$AA$15:$AA$240,MATCH($A12,ORÇAMENTO!$E$15:$E$240,0)))))</f>
        <v>0</v>
      </c>
      <c r="AB12" cm="1">
        <f t="array" aca="1" ref="AB12" ca="1">IF($B12="Branco",0,IF($B12="Manual",QCI.OutrosManual,IF($B12="SemiAuto",0,INDEX(ORÇAMENTO!$AB$15:$AB$240,MATCH($A12,ORÇAMENTO!$E$15:$E$240,0)))))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IF(NOT(ISBLANK(QCI.DescManual)),IF(QCI.Divisao="Calculado","Manual","SemiAuto"),IF(ISERROR(MATCH($A14,ORÇAMENTO!$E$15:$E$240,0)),"Branco","Automático"))</f>
        <v>Automático</v>
      </c>
      <c r="C14" t="str">
        <f t="shared" ref="C14:C22" ca="1" si="1">IF(O14&gt;0,"F","")</f>
        <v>F</v>
      </c>
      <c r="D14" s="281">
        <f t="shared" ref="D14:D22" si="2">ROW()-ROW($D$13)</f>
        <v>1</v>
      </c>
      <c r="E14" s="118"/>
      <c r="F14" s="118"/>
      <c r="G14" s="163" t="str">
        <f ca="1">IF(OR($B14="Manual",$B14="SemiAuto"),QCI.DescManual,IF($B14="Automático",INDEX(ORÇAMENTO!$R$15:$R$240,MATCH($A14,ORÇAMENTO!$E$15:$E$240,0)),""))</f>
        <v>CASA PADRÃO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2400000.0000000005</v>
      </c>
      <c r="M14" s="284">
        <f t="shared" ref="M14:M22" ca="1" si="4">ROUND($AA14,2)-ROUND($AE14,2)</f>
        <v>2106430.94</v>
      </c>
      <c r="N14" s="285">
        <f t="shared" ref="N14:N22" ca="1" si="5">ROUND($AB14,2)</f>
        <v>0</v>
      </c>
      <c r="O14" s="286" cm="1">
        <f t="array" aca="1" ref="O14" ca="1">IF($B14="Branco",0,IF(OR($B14="Manual",$B14="SemiAuto"),QCI.InvManual,INDEX(ORÇAMENTO!X$15:X$240,MATCH($A14,ORÇAMENTO!$E$15:$E$240,0))))</f>
        <v>4506430.9400000004</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2399999.9999999995</v>
      </c>
      <c r="AA14" cm="1">
        <f t="array" aca="1" ref="AA14" ca="1">IF($B14="Branco",0,IF($B14="Manual",QCI.CPManual,IF($B14="SemiAuto",ROUND(QCI!$AA$3*QCI.InvManual,2),INDEX(ORÇAMENTO!$AA$15:$AA$240,MATCH($A14,ORÇAMENTO!$E$15:$E$240,0)))))</f>
        <v>2106430.9400000009</v>
      </c>
      <c r="AB14" cm="1">
        <f t="array" aca="1" ref="AB14" ca="1">IF($B14="Branco",0,IF($B14="Manual",QCI.OutrosManual,IF($B14="SemiAuto",0,INDEX(ORÇAMENTO!$AB$15:$AB$240,MATCH($A14,ORÇAMENTO!$E$15:$E$240,0)))))</f>
        <v>0</v>
      </c>
      <c r="AD14" s="289" t="b">
        <f ca="1">AND($AA$3&gt;0,$AA$3&lt;1,$O14&gt;0,OR($B14="Automático",$B14="SemiAuto"),OR(QCI!$Z$3=QCI!$Z$7,QCI!$Z$3=QCI!$AA$7,QCI!$Z$3=QCI!$AB$7))</f>
        <v>1</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IF(NOT(ISBLANK(QCI.DescManual)),IF(QCI.Divisao="Calculado","Manual","SemiAuto"),IF(ISERROR(MATCH($A15,ORÇAMENTO!$E$15:$E$240,0)),"Branco","Automático"))</f>
        <v>Branco</v>
      </c>
      <c r="C15" t="str">
        <f t="shared" ca="1" si="1"/>
        <v/>
      </c>
      <c r="D15" s="281">
        <f t="shared" si="2"/>
        <v>2</v>
      </c>
      <c r="E15" s="118"/>
      <c r="F15" s="118"/>
      <c r="G15" s="163" t="str">
        <f ca="1">IF(OR($B15="Manual",$B15="SemiAuto"),QCI.DescManual,IF($B15="Automático",INDEX(ORÇAMENTO!$R$15:$R$240,MATCH($A15,ORÇAMENTO!$E$15:$E$240,0)),""))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IF($B15="Branco",0,IF(OR($B15="Manual",$B15="SemiAuto"),QCI.InvManual,INDEX(ORÇAMENTO!X$15:X$240,MATCH($A15,ORÇAMENTO!$E$15:$E$240,0))))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IF($B15="Branco",0,IF($B15="Manual",QCI.CPManual,IF($B15="SemiAuto",ROUND(QCI!$AA$3*QCI.InvManual,2),INDEX(ORÇAMENTO!$AA$15:$AA$240,MATCH($A15,ORÇAMENTO!$E$15:$E$240,0)))))</f>
        <v>0</v>
      </c>
      <c r="AB15" cm="1">
        <f t="array" aca="1" ref="AB15" ca="1">IF($B15="Branco",0,IF($B15="Manual",QCI.OutrosManual,IF($B15="SemiAuto",0,INDEX(ORÇAMENTO!$AB$15:$AB$240,MATCH($A15,ORÇAMENTO!$E$15:$E$240,0)))))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IF(NOT(ISBLANK(QCI.DescManual)),IF(QCI.Divisao="Calculado","Manual","SemiAuto"),IF(ISERROR(MATCH($A16,ORÇAMENTO!$E$15:$E$240,0)),"Branco","Automático"))</f>
        <v>Branco</v>
      </c>
      <c r="C16" t="str">
        <f t="shared" ca="1" si="1"/>
        <v/>
      </c>
      <c r="D16" s="281">
        <f t="shared" si="2"/>
        <v>3</v>
      </c>
      <c r="E16" s="118"/>
      <c r="F16" s="118"/>
      <c r="G16" s="163" t="str">
        <f ca="1">IF(OR($B16="Manual",$B16="SemiAuto"),QCI.DescManual,IF($B16="Automático",INDEX(ORÇAMENTO!$R$15:$R$240,MATCH($A16,ORÇAMENTO!$E$15:$E$240,0)),""))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IF($B16="Branco",0,IF(OR($B16="Manual",$B16="SemiAuto"),QCI.InvManual,INDEX(ORÇAMENTO!X$15:X$240,MATCH($A16,ORÇAMENTO!$E$15:$E$240,0))))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IF($B16="Branco",0,IF($B16="Manual",QCI.CPManual,IF($B16="SemiAuto",ROUND(QCI!$AA$3*QCI.InvManual,2),INDEX(ORÇAMENTO!$AA$15:$AA$240,MATCH($A16,ORÇAMENTO!$E$15:$E$240,0)))))</f>
        <v>0</v>
      </c>
      <c r="AB16" cm="1">
        <f t="array" aca="1" ref="AB16" ca="1">IF($B16="Branco",0,IF($B16="Manual",QCI.OutrosManual,IF($B16="SemiAuto",0,INDEX(ORÇAMENTO!$AB$15:$AB$240,MATCH($A16,ORÇAMENTO!$E$15:$E$240,0)))))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IF(NOT(ISBLANK(QCI.DescManual)),IF(QCI.Divisao="Calculado","Manual","SemiAuto"),IF(ISERROR(MATCH($A17,ORÇAMENTO!$E$15:$E$240,0)),"Branco","Automático"))</f>
        <v>Branco</v>
      </c>
      <c r="C17" t="str">
        <f t="shared" ca="1" si="1"/>
        <v/>
      </c>
      <c r="D17" s="281">
        <f t="shared" si="2"/>
        <v>4</v>
      </c>
      <c r="E17" s="118"/>
      <c r="F17" s="118"/>
      <c r="G17" s="163" t="str">
        <f ca="1">IF(OR($B17="Manual",$B17="SemiAuto"),QCI.DescManual,IF($B17="Automático",INDEX(ORÇAMENTO!$R$15:$R$240,MATCH($A17,ORÇAMENTO!$E$15:$E$240,0)),""))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IF($B17="Branco",0,IF(OR($B17="Manual",$B17="SemiAuto"),QCI.InvManual,INDEX(ORÇAMENTO!X$15:X$240,MATCH($A17,ORÇAMENTO!$E$15:$E$240,0))))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IF($B17="Branco",0,IF($B17="Manual",QCI.CPManual,IF($B17="SemiAuto",ROUND(QCI!$AA$3*QCI.InvManual,2),INDEX(ORÇAMENTO!$AA$15:$AA$240,MATCH($A17,ORÇAMENTO!$E$15:$E$240,0)))))</f>
        <v>0</v>
      </c>
      <c r="AB17" cm="1">
        <f t="array" aca="1" ref="AB17" ca="1">IF($B17="Branco",0,IF($B17="Manual",QCI.OutrosManual,IF($B17="SemiAuto",0,INDEX(ORÇAMENTO!$AB$15:$AB$240,MATCH($A17,ORÇAMENTO!$E$15:$E$240,0)))))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IF(NOT(ISBLANK(QCI.DescManual)),IF(QCI.Divisao="Calculado","Manual","SemiAuto"),IF(ISERROR(MATCH($A18,ORÇAMENTO!$E$15:$E$240,0)),"Branco","Automático"))</f>
        <v>Branco</v>
      </c>
      <c r="C18" t="str">
        <f t="shared" ca="1" si="1"/>
        <v/>
      </c>
      <c r="D18" s="281">
        <f t="shared" si="2"/>
        <v>5</v>
      </c>
      <c r="E18" s="118"/>
      <c r="F18" s="118"/>
      <c r="G18" s="163" t="str">
        <f ca="1">IF(OR($B18="Manual",$B18="SemiAuto"),QCI.DescManual,IF($B18="Automático",INDEX(ORÇAMENTO!$R$15:$R$240,MATCH($A18,ORÇAMENTO!$E$15:$E$240,0)),""))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IF($B18="Branco",0,IF(OR($B18="Manual",$B18="SemiAuto"),QCI.InvManual,INDEX(ORÇAMENTO!X$15:X$240,MATCH($A18,ORÇAMENTO!$E$15:$E$240,0))))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IF($B18="Branco",0,IF($B18="Manual",QCI.CPManual,IF($B18="SemiAuto",ROUND(QCI!$AA$3*QCI.InvManual,2),INDEX(ORÇAMENTO!$AA$15:$AA$240,MATCH($A18,ORÇAMENTO!$E$15:$E$240,0)))))</f>
        <v>0</v>
      </c>
      <c r="AB18" cm="1">
        <f t="array" aca="1" ref="AB18" ca="1">IF($B18="Branco",0,IF($B18="Manual",QCI.OutrosManual,IF($B18="SemiAuto",0,INDEX(ORÇAMENTO!$AB$15:$AB$240,MATCH($A18,ORÇAMENTO!$E$15:$E$240,0)))))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IF(NOT(ISBLANK(QCI.DescManual)),IF(QCI.Divisao="Calculado","Manual","SemiAuto"),IF(ISERROR(MATCH($A19,ORÇAMENTO!$E$15:$E$240,0)),"Branco","Automático"))</f>
        <v>Branco</v>
      </c>
      <c r="C19" t="str">
        <f t="shared" ca="1" si="1"/>
        <v/>
      </c>
      <c r="D19" s="281">
        <f t="shared" si="2"/>
        <v>6</v>
      </c>
      <c r="E19" s="118"/>
      <c r="F19" s="118"/>
      <c r="G19" s="163" t="str">
        <f ca="1">IF(OR($B19="Manual",$B19="SemiAuto"),QCI.DescManual,IF($B19="Automático",INDEX(ORÇAMENTO!$R$15:$R$240,MATCH($A19,ORÇAMENTO!$E$15:$E$240,0)),""))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IF($B19="Branco",0,IF(OR($B19="Manual",$B19="SemiAuto"),QCI.InvManual,INDEX(ORÇAMENTO!X$15:X$240,MATCH($A19,ORÇAMENTO!$E$15:$E$240,0))))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IF($B19="Branco",0,IF($B19="Manual",QCI.CPManual,IF($B19="SemiAuto",ROUND(QCI!$AA$3*QCI.InvManual,2),INDEX(ORÇAMENTO!$AA$15:$AA$240,MATCH($A19,ORÇAMENTO!$E$15:$E$240,0)))))</f>
        <v>0</v>
      </c>
      <c r="AB19" cm="1">
        <f t="array" aca="1" ref="AB19" ca="1">IF($B19="Branco",0,IF($B19="Manual",QCI.OutrosManual,IF($B19="SemiAuto",0,INDEX(ORÇAMENTO!$AB$15:$AB$240,MATCH($A19,ORÇAMENTO!$E$15:$E$240,0)))))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IF(NOT(ISBLANK(QCI.DescManual)),IF(QCI.Divisao="Calculado","Manual","SemiAuto"),IF(ISERROR(MATCH($A20,ORÇAMENTO!$E$15:$E$240,0)),"Branco","Automático"))</f>
        <v>Branco</v>
      </c>
      <c r="C20" t="str">
        <f t="shared" ca="1" si="1"/>
        <v/>
      </c>
      <c r="D20" s="281">
        <f t="shared" si="2"/>
        <v>7</v>
      </c>
      <c r="E20" s="118"/>
      <c r="F20" s="118"/>
      <c r="G20" s="163" t="str">
        <f ca="1">IF(OR($B20="Manual",$B20="SemiAuto"),QCI.DescManual,IF($B20="Automático",INDEX(ORÇAMENTO!$R$15:$R$240,MATCH($A20,ORÇAMENTO!$E$15:$E$240,0)),""))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IF($B20="Branco",0,IF(OR($B20="Manual",$B20="SemiAuto"),QCI.InvManual,INDEX(ORÇAMENTO!X$15:X$240,MATCH($A20,ORÇAMENTO!$E$15:$E$240,0))))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IF($B20="Branco",0,IF($B20="Manual",QCI.CPManual,IF($B20="SemiAuto",ROUND(QCI!$AA$3*QCI.InvManual,2),INDEX(ORÇAMENTO!$AA$15:$AA$240,MATCH($A20,ORÇAMENTO!$E$15:$E$240,0)))))</f>
        <v>0</v>
      </c>
      <c r="AB20" cm="1">
        <f t="array" aca="1" ref="AB20" ca="1">IF($B20="Branco",0,IF($B20="Manual",QCI.OutrosManual,IF($B20="SemiAuto",0,INDEX(ORÇAMENTO!$AB$15:$AB$240,MATCH($A20,ORÇAMENTO!$E$15:$E$240,0)))))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IF(NOT(ISBLANK(QCI.DescManual)),IF(QCI.Divisao="Calculado","Manual","SemiAuto"),IF(ISERROR(MATCH($A21,ORÇAMENTO!$E$15:$E$240,0)),"Branco","Automático"))</f>
        <v>Branco</v>
      </c>
      <c r="C21" t="str">
        <f t="shared" ca="1" si="1"/>
        <v/>
      </c>
      <c r="D21" s="281">
        <f t="shared" si="2"/>
        <v>8</v>
      </c>
      <c r="E21" s="118"/>
      <c r="F21" s="118"/>
      <c r="G21" s="163" t="str">
        <f ca="1">IF(OR($B21="Manual",$B21="SemiAuto"),QCI.DescManual,IF($B21="Automático",INDEX(ORÇAMENTO!$R$15:$R$240,MATCH($A21,ORÇAMENTO!$E$15:$E$240,0)),""))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IF($B21="Branco",0,IF(OR($B21="Manual",$B21="SemiAuto"),QCI.InvManual,INDEX(ORÇAMENTO!X$15:X$240,MATCH($A21,ORÇAMENTO!$E$15:$E$240,0))))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IF($B21="Branco",0,IF($B21="Manual",QCI.CPManual,IF($B21="SemiAuto",ROUND(QCI!$AA$3*QCI.InvManual,2),INDEX(ORÇAMENTO!$AA$15:$AA$240,MATCH($A21,ORÇAMENTO!$E$15:$E$240,0)))))</f>
        <v>0</v>
      </c>
      <c r="AB21" cm="1">
        <f t="array" aca="1" ref="AB21" ca="1">IF($B21="Branco",0,IF($B21="Manual",QCI.OutrosManual,IF($B21="SemiAuto",0,INDEX(ORÇAMENTO!$AB$15:$AB$240,MATCH($A21,ORÇAMENTO!$E$15:$E$240,0)))))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IF(NOT(ISBLANK(QCI.DescManual)),IF(QCI.Divisao="Calculado","Manual","SemiAuto"),IF(ISERROR(MATCH($A22,ORÇAMENTO!$E$15:$E$240,0)),"Branco","Automático"))</f>
        <v>Branco</v>
      </c>
      <c r="C22" t="str">
        <f t="shared" ca="1" si="1"/>
        <v/>
      </c>
      <c r="D22" s="281">
        <f t="shared" si="2"/>
        <v>9</v>
      </c>
      <c r="E22" s="118"/>
      <c r="F22" s="118"/>
      <c r="G22" s="163" t="str">
        <f ca="1">IF(OR($B22="Manual",$B22="SemiAuto"),QCI.DescManual,IF($B22="Automático",INDEX(ORÇAMENTO!$R$15:$R$240,MATCH($A22,ORÇAMENTO!$E$15:$E$240,0)),""))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IF($B22="Branco",0,IF(OR($B22="Manual",$B22="SemiAuto"),QCI.InvManual,INDEX(ORÇAMENTO!X$15:X$240,MATCH($A22,ORÇAMENTO!$E$15:$E$240,0))))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IF($B22="Branco",0,IF($B22="Manual",QCI.CPManual,IF($B22="SemiAuto",ROUND(QCI!$AA$3*QCI.InvManual,2),INDEX(ORÇAMENTO!$AA$15:$AA$240,MATCH($A22,ORÇAMENTO!$E$15:$E$240,0)))))</f>
        <v>0</v>
      </c>
      <c r="AB22" cm="1">
        <f t="array" aca="1" ref="AB22" ca="1">IF($B22="Branco",0,IF($B22="Manual",QCI.OutrosManual,IF($B22="SemiAuto",0,INDEX(ORÇAMENTO!$AB$15:$AB$240,MATCH($A22,ORÇAMENTO!$E$15:$E$240,0)))))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IF(NOT(ISBLANK(QCI.DescManual)),IF(QCI.Divisao="Calculado","Manual","SemiAuto"),IF(ISERROR(MATCH($A23,ORÇAMENTO!$E$15:$E$240,0)),"Branco","Automático"))</f>
        <v>Branco</v>
      </c>
      <c r="C23" t="str">
        <f ca="1">IF(O23&gt;0,"F","")</f>
        <v/>
      </c>
      <c r="D23" s="281">
        <f>ROW()-ROW($D$13)</f>
        <v>10</v>
      </c>
      <c r="E23" s="118"/>
      <c r="F23" s="118"/>
      <c r="G23" s="163" t="str">
        <f ca="1">IF(OR($B23="Manual",$B23="SemiAuto"),QCI.DescManual,IF($B23="Automático",INDEX(ORÇAMENTO!$R$15:$R$240,MATCH($A23,ORÇAMENTO!$E$15:$E$240,0)),""))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IF($B23="Branco",0,IF(OR($B23="Manual",$B23="SemiAuto"),QCI.InvManual,INDEX(ORÇAMENTO!X$15:X$240,MATCH($A23,ORÇAMENTO!$E$15:$E$240,0))))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IF($B23="Branco",0,IF($B23="Manual",QCI.CPManual,IF($B23="SemiAuto",ROUND(QCI!$AA$3*QCI.InvManual,2),INDEX(ORÇAMENTO!$AA$15:$AA$240,MATCH($A23,ORÇAMENTO!$E$15:$E$240,0)))))</f>
        <v>0</v>
      </c>
      <c r="AB23" cm="1">
        <f t="array" aca="1" ref="AB23" ca="1">IF($B23="Branco",0,IF($B23="Manual",QCI.OutrosManual,IF($B23="SemiAuto",0,INDEX(ORÇAMENTO!$AB$15:$AB$240,MATCH($A23,ORÇAMENTO!$E$15:$E$240,0)))))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2400000.0000000005</v>
      </c>
      <c r="M24" s="297">
        <f ca="1">SUM(M13:OFFSET(M24,-1,0))</f>
        <v>2106430.94</v>
      </c>
      <c r="N24" s="298">
        <f ca="1">SUM(N13:OFFSET(N24,-1,0))</f>
        <v>0</v>
      </c>
      <c r="O24" s="299">
        <f ca="1">SUM(O13:OFFSET(O24,-1,0))</f>
        <v>4506430.9400000004</v>
      </c>
      <c r="R24" s="300"/>
      <c r="T24" s="301"/>
      <c r="U24" s="302"/>
      <c r="V24" s="303"/>
      <c r="W24" s="304"/>
      <c r="X24" s="305"/>
      <c r="Z24" s="88">
        <f ca="1">SUMPRODUCT(ROUND(Z13:OFFSET(Z24,-1,0),2))</f>
        <v>2400000</v>
      </c>
      <c r="AA24" s="88">
        <f ca="1">SUMPRODUCT(ROUND(AA13:OFFSET(AA24,-1,0),2))</f>
        <v>2106430.94</v>
      </c>
      <c r="AB24" s="88">
        <f ca="1">SUM(AB13:OFFSET(AB24,-1,0))</f>
        <v>0</v>
      </c>
    </row>
    <row r="25" spans="1:31" x14ac:dyDescent="0.2">
      <c r="B25" t="s">
        <v>831</v>
      </c>
      <c r="C25" t="s">
        <v>536</v>
      </c>
      <c r="D25" s="306"/>
      <c r="E25" s="307"/>
      <c r="F25" s="307"/>
      <c r="G25" s="307"/>
      <c r="H25" s="307"/>
      <c r="I25" s="307"/>
      <c r="J25" s="307"/>
      <c r="K25" s="778"/>
      <c r="L25" s="308">
        <f ca="1">IF(ISERROR(L24/$O24),0,ROUND(L24/$O24,4))</f>
        <v>0.53259999999999996</v>
      </c>
      <c r="M25" s="309">
        <f ca="1">IF(ISERROR(M24/$O24),0,ROUND(M24/$O24,4))</f>
        <v>0.46739999999999998</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37"/>
      <c r="E28" s="737"/>
      <c r="F28" s="737"/>
      <c r="G28" s="737"/>
      <c r="H28" s="737"/>
      <c r="I28" s="737"/>
      <c r="J28" s="737"/>
      <c r="K28" s="737"/>
      <c r="L28" s="737"/>
      <c r="M28" s="737"/>
      <c r="N28" s="737"/>
      <c r="O28" s="737"/>
    </row>
    <row r="29" spans="1:31" ht="12.75" customHeight="1" x14ac:dyDescent="0.2">
      <c r="D29" s="737"/>
      <c r="E29" s="737"/>
      <c r="F29" s="737"/>
      <c r="G29" s="737"/>
      <c r="H29" s="737"/>
      <c r="I29" s="737"/>
      <c r="J29" s="737"/>
      <c r="K29" s="737"/>
      <c r="L29" s="737"/>
      <c r="M29" s="737"/>
      <c r="N29" s="737"/>
      <c r="O29" s="737"/>
    </row>
    <row r="30" spans="1:31" ht="12.75" customHeight="1" x14ac:dyDescent="0.2">
      <c r="D30" s="737"/>
      <c r="E30" s="737"/>
      <c r="F30" s="737"/>
      <c r="G30" s="737"/>
      <c r="H30" s="737"/>
      <c r="I30" s="737"/>
      <c r="J30" s="737"/>
      <c r="K30" s="737"/>
      <c r="L30" s="737"/>
      <c r="M30" s="737"/>
      <c r="N30" s="737"/>
      <c r="O30" s="737"/>
    </row>
    <row r="33" spans="4:12" ht="15" x14ac:dyDescent="0.2">
      <c r="D33" s="685" t="str">
        <f>Import.Município</f>
        <v>SARANDI/RS</v>
      </c>
      <c r="E33" s="685"/>
      <c r="F33" s="685"/>
      <c r="I33" s="139"/>
      <c r="J33" s="139"/>
      <c r="K33" s="180"/>
      <c r="L33" s="180"/>
    </row>
    <row r="34" spans="4:12" x14ac:dyDescent="0.2">
      <c r="D34" s="9" t="s">
        <v>693</v>
      </c>
      <c r="I34" s="181" t="s">
        <v>832</v>
      </c>
      <c r="J34" s="181"/>
    </row>
    <row r="35" spans="4:12" x14ac:dyDescent="0.2">
      <c r="I35" s="77" t="str">
        <f>"Nome:" &amp;  " " &amp; DADOS!C28</f>
        <v>Nome: PABLO LUIZ ALIEVI MARI</v>
      </c>
    </row>
    <row r="36" spans="4:12" x14ac:dyDescent="0.2">
      <c r="D36" s="733">
        <f ca="1">DADOS!$C$25</f>
        <v>46190</v>
      </c>
      <c r="E36" s="733"/>
      <c r="F36" s="733"/>
      <c r="I36" s="77" t="str">
        <f>"Cargo:"  &amp; " " &amp; DADOS!C29</f>
        <v>Cargo: PREFEITO MUNICIPAL</v>
      </c>
    </row>
    <row r="37" spans="4:12" x14ac:dyDescent="0.2">
      <c r="D37" s="140" t="s">
        <v>694</v>
      </c>
      <c r="E37" s="1"/>
      <c r="F37" s="1"/>
      <c r="K37" s="77"/>
      <c r="L37" s="78"/>
    </row>
  </sheetData>
  <sheetProtection algorithmName="SHA-512" hashValue="Rzl1P1z0duxEL503jCwUP4/cGHniuXW3QaHxXqrB35ua2yBofLDrFjVXIQwkXKnigw9u68JqKFS4/Ul7YImuRg==" saltValue="Ka/FOHmE3Kk7T7asPeG47w=="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313" priority="961" stopIfTrue="1">
      <formula>OR($B12="Automático",$B12="Branco")</formula>
    </cfRule>
  </conditionalFormatting>
  <conditionalFormatting sqref="L12">
    <cfRule type="expression" dxfId="31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311" priority="963" stopIfTrue="1">
      <formula>OR($B12="Automático",$B12="Branco",$V12&lt;&gt;"Calculado")</formula>
    </cfRule>
  </conditionalFormatting>
  <conditionalFormatting sqref="M25">
    <cfRule type="expression" dxfId="310" priority="965" stopIfTrue="1">
      <formula>AND($G$9&lt;&gt;"",OR($M$25&lt;Import.CPMinPerc,$M$25&gt;Import.CPMaxPerc))</formula>
    </cfRule>
  </conditionalFormatting>
  <conditionalFormatting sqref="M24">
    <cfRule type="expression" dxfId="309" priority="966" stopIfTrue="1">
      <formula>AND($G$9&lt;&gt;"",$M$24&lt;Import.CPMinAbsoluta)</formula>
    </cfRule>
  </conditionalFormatting>
  <conditionalFormatting sqref="L10:M10">
    <cfRule type="cellIs" dxfId="308" priority="967" stopIfTrue="1" operator="lessThan">
      <formula>0</formula>
    </cfRule>
  </conditionalFormatting>
  <conditionalFormatting sqref="G12">
    <cfRule type="cellIs" dxfId="307" priority="968" stopIfTrue="1" operator="equal">
      <formula>"(digite a descrição aqui)"</formula>
    </cfRule>
  </conditionalFormatting>
  <conditionalFormatting sqref="T14:V22">
    <cfRule type="expression" dxfId="306" priority="5" stopIfTrue="1">
      <formula>OR($B14="Automático",$B14="Branco")</formula>
    </cfRule>
  </conditionalFormatting>
  <conditionalFormatting sqref="L14:L22">
    <cfRule type="expression" dxfId="30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304" priority="7" stopIfTrue="1">
      <formula>OR($B14="Automático",$B14="Branco",$V14&lt;&gt;"Calculado")</formula>
    </cfRule>
  </conditionalFormatting>
  <conditionalFormatting sqref="G14:G22">
    <cfRule type="cellIs" dxfId="303" priority="8" stopIfTrue="1" operator="equal">
      <formula>"(digite a descrição aqui)"</formula>
    </cfRule>
  </conditionalFormatting>
  <conditionalFormatting sqref="T23:V23">
    <cfRule type="expression" dxfId="302" priority="1" stopIfTrue="1">
      <formula>OR($B23="Automático",$B23="Branco")</formula>
    </cfRule>
  </conditionalFormatting>
  <conditionalFormatting sqref="L23">
    <cfRule type="expression" dxfId="30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300" priority="3" stopIfTrue="1">
      <formula>OR($B23="Automático",$B23="Branco",$V23&lt;&gt;"Calculado")</formula>
    </cfRule>
  </conditionalFormatting>
  <conditionalFormatting sqref="G23">
    <cfRule type="cellIs" dxfId="29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IF(AUTOEVENTO="Manual",OFFSET(EVENTOS!$D$15,$B1-$B$15,0),IF(B1&lt;=MAX(CÁLCULO!$M$15:$M$240),VLOOKUP($B1,CÁLCULO!$M$15:$N$240,2,FALSE),0))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92" t="s">
        <v>644</v>
      </c>
      <c r="AE3" s="692"/>
      <c r="AF3" s="692"/>
    </row>
    <row r="4" spans="1:33" ht="15.75" x14ac:dyDescent="0.2">
      <c r="B4" s="82"/>
      <c r="C4" s="82"/>
      <c r="H4" s="83" t="str">
        <f>import.recurso</f>
        <v>(SELECIONAR)</v>
      </c>
      <c r="AD4" s="693" t="s">
        <v>647</v>
      </c>
      <c r="AE4" s="693"/>
      <c r="AF4" s="693"/>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678">
        <f>Import.CR</f>
        <v>0</v>
      </c>
      <c r="C7" s="678"/>
      <c r="D7" s="214">
        <f>Import.TransfereGOV</f>
        <v>0</v>
      </c>
      <c r="E7" s="42"/>
      <c r="H7" s="677" t="str">
        <f>Import.Proponente</f>
        <v>MUNICIPIO DE SARANDI/RS</v>
      </c>
      <c r="I7" s="677"/>
      <c r="J7" s="677"/>
      <c r="K7" s="677"/>
      <c r="L7" s="677"/>
      <c r="M7" s="677"/>
      <c r="N7" s="677"/>
      <c r="O7" s="678" t="str">
        <f>Import.Apelido</f>
        <v>A CASA É SUA</v>
      </c>
      <c r="P7" s="678"/>
      <c r="Q7" s="678"/>
      <c r="R7" s="678"/>
      <c r="S7" s="678"/>
      <c r="T7" s="678"/>
      <c r="U7" s="678"/>
      <c r="V7" s="678" t="str" cm="1">
        <f t="array" ref="V7">IF(TIPOORCAMENTO="Licitado",Import.empresa,Import.DescLote)</f>
        <v>PROGRAMA "A CASA É SUA" (30 UH)</v>
      </c>
      <c r="W7" s="678"/>
      <c r="X7" s="678"/>
      <c r="Y7" s="678"/>
      <c r="Z7" s="678"/>
      <c r="AA7" s="678"/>
      <c r="AB7" s="678"/>
      <c r="AC7" s="678"/>
      <c r="AD7" s="678"/>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TEXT(IF(PLE.Medicao=1,Import.DataInicioObra,OFFSET($H$68,0,1+(PLE.Medicao-$I$69)*2-2)+1),"dd/mm/aaaa")&amp;" a "&amp;TEXT(OFFSET($H$68,0,1+(PLE.Medicao-$I$69)*2),"dd/mm/aaaa")</f>
        <v>00/01/1900 a 00/01/1900</v>
      </c>
      <c r="O9" s="800"/>
      <c r="P9" s="800"/>
      <c r="Q9" s="800"/>
      <c r="R9" s="800"/>
      <c r="S9" s="800"/>
      <c r="T9" s="800"/>
      <c r="U9" s="268"/>
      <c r="X9" s="267" t="s">
        <v>835</v>
      </c>
      <c r="Y9" s="798">
        <f ca="1">OFFSET($I$69,1+8*(ROUNDUP(($J$9-0)/((COLUMN($AG$14)-COLUMN($G$14)-1)/25*12),0)-1),ROUNDDOWN((($J$9-0)-OFFSET($I$69,8*(ROUNDUP(($J$9-0)/((COLUMN($AG$14)-COLUMN($G$14)-1)/25*12),0)-1),0))*(2+1/12),0))</f>
        <v>0</v>
      </c>
      <c r="Z9" s="798"/>
      <c r="AD9" s="267" t="s">
        <v>836</v>
      </c>
      <c r="AE9" s="798">
        <f ca="1">OFFSET($I$69,3+8*(ROUNDUP(($J$9-0)/((COLUMN($AG$14)-COLUMN($G$14)-1)/25*12),0)-1),ROUNDDOWN((($J$9-0)-OFFSET($I$69,8*(ROUNDUP(($J$9-0)/((COLUMN($AG$14)-COLUMN($G$14)-1)/25*12),0)-1),0))*(2+1/12),0))</f>
        <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2"/>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69" t="s">
        <v>760</v>
      </c>
      <c r="C12" s="769" t="s">
        <v>778</v>
      </c>
      <c r="D12" s="76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69"/>
      <c r="C13" s="769"/>
      <c r="D13" s="76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91" t="str">
        <f ca="1">IF(AUTOEVENTO="Manual",OFFSET(EVENTOS!$D$15,$B16-$B$15,0),IF(B16&lt;=MAX(CÁLCULO!$M$15:$M$240),VLOOKUP($B16,CÁLCULO!$M$15:$N$240,2,FALSE),0))</f>
        <v>ADMINISTRAÇÃO DE OBRA</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IF(AUTOEVENTO="Manual",OFFSET(EVENTOS!$D$15,$B17-$B$15,0),IF(B17&lt;=MAX(CÁLCULO!$M$15:$M$240),VLOOKUP($B17,CÁLCULO!$M$15:$N$240,2,FALSE),0))</f>
        <v>PLACA DE OBRA</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IF(AUTOEVENTO="Manual",OFFSET(EVENTOS!$D$15,$B18-$B$15,0),IF(B18&lt;=MAX(CÁLCULO!$M$15:$M$240),VLOOKUP($B18,CÁLCULO!$M$15:$N$240,2,FALSE),0))</f>
        <v>SERVIÇOS PRELIMINARES</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IF(AUTOEVENTO="Manual",OFFSET(EVENTOS!$D$15,$B19-$B$15,0),IF(B19&lt;=MAX(CÁLCULO!$M$15:$M$240),VLOOKUP($B19,CÁLCULO!$M$15:$N$240,2,FALSE),0))</f>
        <v>INFRAESTRUTURA</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1" t="str">
        <f ca="1">IF(AUTOEVENTO="Manual",OFFSET(EVENTOS!$D$15,$B20-$B$15,0),IF(B20&lt;=MAX(CÁLCULO!$M$15:$M$240),VLOOKUP($B20,CÁLCULO!$M$15:$N$240,2,FALSE),0))</f>
        <v>ALVENARIAS E VEDAÇÕES</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1" t="str">
        <f ca="1">IF(AUTOEVENTO="Manual",OFFSET(EVENTOS!$D$15,$B21-$B$15,0),IF(B21&lt;=MAX(CÁLCULO!$M$15:$M$240),VLOOKUP($B21,CÁLCULO!$M$15:$N$240,2,FALSE),0))</f>
        <v>COBERTURA</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1" t="str">
        <f ca="1">IF(AUTOEVENTO="Manual",OFFSET(EVENTOS!$D$15,$B22-$B$15,0),IF(B22&lt;=MAX(CÁLCULO!$M$15:$M$240),VLOOKUP($B22,CÁLCULO!$M$15:$N$240,2,FALSE),0))</f>
        <v>ESQUADRIAS</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91" t="str">
        <f ca="1">IF(AUTOEVENTO="Manual",OFFSET(EVENTOS!$D$15,$B23-$B$15,0),IF(B23&lt;=MAX(CÁLCULO!$M$15:$M$240),VLOOKUP($B23,CÁLCULO!$M$15:$N$240,2,FALSE),0))</f>
        <v>INSTALAÇÕES HIDROSSANITARIAS</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91" t="str">
        <f ca="1">IF(AUTOEVENTO="Manual",OFFSET(EVENTOS!$D$15,$B24-$B$15,0),IF(B24&lt;=MAX(CÁLCULO!$M$15:$M$240),VLOOKUP($B24,CÁLCULO!$M$15:$N$240,2,FALSE),0))</f>
        <v>INSTALAÇÕES ELÉTRICAS</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91" t="str">
        <f ca="1">IF(AUTOEVENTO="Manual",OFFSET(EVENTOS!$D$15,$B25-$B$15,0),IF(B25&lt;=MAX(CÁLCULO!$M$15:$M$240),VLOOKUP($B25,CÁLCULO!$M$15:$N$240,2,FALSE),0))</f>
        <v>REVESTIMENTOS</v>
      </c>
      <c r="D25" s="791"/>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91" t="str">
        <f ca="1">IF(AUTOEVENTO="Manual",OFFSET(EVENTOS!$D$15,$B26-$B$15,0),IF(B26&lt;=MAX(CÁLCULO!$M$15:$M$240),VLOOKUP($B26,CÁLCULO!$M$15:$N$240,2,FALSE),0))</f>
        <v>FORROS</v>
      </c>
      <c r="D26" s="791"/>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F</v>
      </c>
      <c r="B27" s="247">
        <f t="shared" ca="1" si="2"/>
        <v>12</v>
      </c>
      <c r="C27" s="791" t="str">
        <f ca="1">IF(AUTOEVENTO="Manual",OFFSET(EVENTOS!$D$15,$B27-$B$15,0),IF(B27&lt;=MAX(CÁLCULO!$M$15:$M$240),VLOOKUP($B27,CÁLCULO!$M$15:$N$240,2,FALSE),0))</f>
        <v>PINTURAS</v>
      </c>
      <c r="D27" s="791"/>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F</v>
      </c>
      <c r="B28" s="247">
        <f t="shared" ca="1" si="2"/>
        <v>13</v>
      </c>
      <c r="C28" s="791" t="str">
        <f ca="1">IF(AUTOEVENTO="Manual",OFFSET(EVENTOS!$D$15,$B28-$B$15,0),IF(B28&lt;=MAX(CÁLCULO!$M$15:$M$240),VLOOKUP($B28,CÁLCULO!$M$15:$N$240,2,FALSE),0))</f>
        <v>LIMPEZA FINAL DE OBRA</v>
      </c>
      <c r="D28" s="791"/>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91">
        <f ca="1">IF(AUTOEVENTO="Manual",OFFSET(EVENTOS!$D$15,$B29-$B$15,0),IF(B29&lt;=MAX(CÁLCULO!$M$15:$M$240),VLOOKUP($B29,CÁLCULO!$M$15:$N$240,2,FALSE),0))</f>
        <v>0</v>
      </c>
      <c r="D29" s="791"/>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91">
        <f ca="1">IF(AUTOEVENTO="Manual",OFFSET(EVENTOS!$D$15,$B30-$B$15,0),IF(B30&lt;=MAX(CÁLCULO!$M$15:$M$240),VLOOKUP($B30,CÁLCULO!$M$15:$N$240,2,FALSE),0))</f>
        <v>0</v>
      </c>
      <c r="D30" s="791"/>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91">
        <f ca="1">IF(AUTOEVENTO="Manual",OFFSET(EVENTOS!$D$15,$B31-$B$15,0),IF(B31&lt;=MAX(CÁLCULO!$M$15:$M$240),VLOOKUP($B31,CÁLCULO!$M$15:$N$240,2,FALSE),0))</f>
        <v>0</v>
      </c>
      <c r="D31" s="791"/>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91">
        <f ca="1">IF(AUTOEVENTO="Manual",OFFSET(EVENTOS!$D$15,$B32-$B$15,0),IF(B32&lt;=MAX(CÁLCULO!$M$15:$M$240),VLOOKUP($B32,CÁLCULO!$M$15:$N$240,2,FALSE),0))</f>
        <v>0</v>
      </c>
      <c r="D32" s="791"/>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91">
        <f ca="1">IF(AUTOEVENTO="Manual",OFFSET(EVENTOS!$D$15,$B33-$B$15,0),IF(B33&lt;=MAX(CÁLCULO!$M$15:$M$240),VLOOKUP($B33,CÁLCULO!$M$15:$N$240,2,FALSE),0))</f>
        <v>0</v>
      </c>
      <c r="D33" s="791"/>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91">
        <f ca="1">IF(AUTOEVENTO="Manual",OFFSET(EVENTOS!$D$15,$B34-$B$15,0),IF(B34&lt;=MAX(CÁLCULO!$M$15:$M$240),VLOOKUP($B34,CÁLCULO!$M$15:$N$240,2,FALSE),0))</f>
        <v>0</v>
      </c>
      <c r="D34" s="791"/>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91">
        <f ca="1">IF(AUTOEVENTO="Manual",OFFSET(EVENTOS!$D$15,$B35-$B$15,0),IF(B35&lt;=MAX(CÁLCULO!$M$15:$M$240),VLOOKUP($B35,CÁLCULO!$M$15:$N$240,2,FALSE),0))</f>
        <v>0</v>
      </c>
      <c r="D35" s="791"/>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91">
        <f ca="1">IF(AUTOEVENTO="Manual",OFFSET(EVENTOS!$D$15,$B36-$B$15,0),IF(B36&lt;=MAX(CÁLCULO!$M$15:$M$240),VLOOKUP($B36,CÁLCULO!$M$15:$N$240,2,FALSE),0))</f>
        <v>0</v>
      </c>
      <c r="D36" s="791"/>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91">
        <f ca="1">IF(AUTOEVENTO="Manual",OFFSET(EVENTOS!$D$15,$B37-$B$15,0),IF(B37&lt;=MAX(CÁLCULO!$M$15:$M$240),VLOOKUP($B37,CÁLCULO!$M$15:$N$240,2,FALSE),0))</f>
        <v>0</v>
      </c>
      <c r="D37" s="791"/>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91">
        <f ca="1">IF(AUTOEVENTO="Manual",OFFSET(EVENTOS!$D$15,$B38-$B$15,0),IF(B38&lt;=MAX(CÁLCULO!$M$15:$M$240),VLOOKUP($B38,CÁLCULO!$M$15:$N$240,2,FALSE),0))</f>
        <v>0</v>
      </c>
      <c r="D38" s="791"/>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91">
        <f ca="1">IF(AUTOEVENTO="Manual",OFFSET(EVENTOS!$D$15,$B39-$B$15,0),IF(B39&lt;=MAX(CÁLCULO!$M$15:$M$240),VLOOKUP($B39,CÁLCULO!$M$15:$N$240,2,FALSE),0))</f>
        <v>0</v>
      </c>
      <c r="D39" s="791"/>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91">
        <f ca="1">IF(AUTOEVENTO="Manual",OFFSET(EVENTOS!$D$15,$B40-$B$15,0),IF(B40&lt;=MAX(CÁLCULO!$M$15:$M$240),VLOOKUP($B40,CÁLCULO!$M$15:$N$240,2,FALSE),0))</f>
        <v>0</v>
      </c>
      <c r="D40" s="791"/>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91">
        <f ca="1">IF(AUTOEVENTO="Manual",OFFSET(EVENTOS!$D$15,$B41-$B$15,0),IF(B41&lt;=MAX(CÁLCULO!$M$15:$M$240),VLOOKUP($B41,CÁLCULO!$M$15:$N$240,2,FALSE),0))</f>
        <v>0</v>
      </c>
      <c r="D41" s="791"/>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91">
        <f ca="1">IF(AUTOEVENTO="Manual",OFFSET(EVENTOS!$D$15,$B42-$B$15,0),IF(B42&lt;=MAX(CÁLCULO!$M$15:$M$240),VLOOKUP($B42,CÁLCULO!$M$15:$N$240,2,FALSE),0))</f>
        <v>0</v>
      </c>
      <c r="D42" s="791"/>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91">
        <f ca="1">IF(AUTOEVENTO="Manual",OFFSET(EVENTOS!$D$15,$B43-$B$15,0),IF(B43&lt;=MAX(CÁLCULO!$M$15:$M$240),VLOOKUP($B43,CÁLCULO!$M$15:$N$240,2,FALSE),0))</f>
        <v>0</v>
      </c>
      <c r="D43" s="791"/>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91">
        <f ca="1">IF(AUTOEVENTO="Manual",OFFSET(EVENTOS!$D$15,$B44-$B$15,0),IF(B44&lt;=MAX(CÁLCULO!$M$15:$M$240),VLOOKUP($B44,CÁLCULO!$M$15:$N$240,2,FALSE),0))</f>
        <v>0</v>
      </c>
      <c r="D44" s="791"/>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91">
        <f ca="1">IF(AUTOEVENTO="Manual",OFFSET(EVENTOS!$D$15,$B45-$B$15,0),IF(B45&lt;=MAX(CÁLCULO!$M$15:$M$240),VLOOKUP($B45,CÁLCULO!$M$15:$N$240,2,FALSE),0))</f>
        <v>0</v>
      </c>
      <c r="D45" s="791"/>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91">
        <f ca="1">IF(AUTOEVENTO="Manual",OFFSET(EVENTOS!$D$15,$B46-$B$15,0),IF(B46&lt;=MAX(CÁLCULO!$M$15:$M$240),VLOOKUP($B46,CÁLCULO!$M$15:$N$240,2,FALSE),0))</f>
        <v>0</v>
      </c>
      <c r="D46" s="791"/>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91">
        <f ca="1">IF(AUTOEVENTO="Manual",OFFSET(EVENTOS!$D$15,$B47-$B$15,0),IF(B47&lt;=MAX(CÁLCULO!$M$15:$M$240),VLOOKUP($B47,CÁLCULO!$M$15:$N$240,2,FALSE),0))</f>
        <v>0</v>
      </c>
      <c r="D47" s="791"/>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91">
        <f ca="1">IF(AUTOEVENTO="Manual",OFFSET(EVENTOS!$D$15,$B48-$B$15,0),IF(B48&lt;=MAX(CÁLCULO!$M$15:$M$240),VLOOKUP($B48,CÁLCULO!$M$15:$N$240,2,FALSE),0))</f>
        <v>0</v>
      </c>
      <c r="D48" s="791"/>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91">
        <f ca="1">IF(AUTOEVENTO="Manual",OFFSET(EVENTOS!$D$15,$B49-$B$15,0),IF(B49&lt;=MAX(CÁLCULO!$M$15:$M$240),VLOOKUP($B49,CÁLCULO!$M$15:$N$240,2,FALSE),0))</f>
        <v>0</v>
      </c>
      <c r="D49" s="791"/>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91">
        <f ca="1">IF(AUTOEVENTO="Manual",OFFSET(EVENTOS!$D$15,$B50-$B$15,0),IF(B50&lt;=MAX(CÁLCULO!$M$15:$M$240),VLOOKUP($B50,CÁLCULO!$M$15:$N$240,2,FALSE),0))</f>
        <v>0</v>
      </c>
      <c r="D50" s="791"/>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91">
        <f ca="1">IF(AUTOEVENTO="Manual",OFFSET(EVENTOS!$D$15,$B51-$B$15,0),IF(B51&lt;=MAX(CÁLCULO!$M$15:$M$240),VLOOKUP($B51,CÁLCULO!$M$15:$N$240,2,FALSE),0))</f>
        <v>0</v>
      </c>
      <c r="D51" s="791"/>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91">
        <f ca="1">IF(AUTOEVENTO="Manual",OFFSET(EVENTOS!$D$15,$B52-$B$15,0),IF(B52&lt;=MAX(CÁLCULO!$M$15:$M$240),VLOOKUP($B52,CÁLCULO!$M$15:$N$240,2,FALSE),0))</f>
        <v>0</v>
      </c>
      <c r="D52" s="791"/>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91">
        <f ca="1">IF(AUTOEVENTO="Manual",OFFSET(EVENTOS!$D$15,$B53-$B$15,0),IF(B53&lt;=MAX(CÁLCULO!$M$15:$M$240),VLOOKUP($B53,CÁLCULO!$M$15:$N$240,2,FALSE),0))</f>
        <v>0</v>
      </c>
      <c r="D53" s="791"/>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91">
        <f ca="1">IF(AUTOEVENTO="Manual",OFFSET(EVENTOS!$D$15,$B54-$B$15,0),IF(B54&lt;=MAX(CÁLCULO!$M$15:$M$240),VLOOKUP($B54,CÁLCULO!$M$15:$N$240,2,FALSE),0))</f>
        <v>0</v>
      </c>
      <c r="D54" s="791"/>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91">
        <f ca="1">IF(AUTOEVENTO="Manual",OFFSET(EVENTOS!$D$15,$B55-$B$15,0),IF(B55&lt;=MAX(CÁLCULO!$M$15:$M$240),VLOOKUP($B55,CÁLCULO!$M$15:$N$240,2,FALSE),0))</f>
        <v>0</v>
      </c>
      <c r="D55" s="791"/>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91">
        <f ca="1">IF(AUTOEVENTO="Manual",OFFSET(EVENTOS!$D$15,$B56-$B$15,0),IF(B56&lt;=MAX(CÁLCULO!$M$15:$M$240),VLOOKUP($B56,CÁLCULO!$M$15:$N$240,2,FALSE),0))</f>
        <v>0</v>
      </c>
      <c r="D56" s="791"/>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91">
        <f ca="1">IF(AUTOEVENTO="Manual",OFFSET(EVENTOS!$D$15,$B57-$B$15,0),IF(B57&lt;=MAX(CÁLCULO!$M$15:$M$240),VLOOKUP($B57,CÁLCULO!$M$15:$N$240,2,FALSE),0))</f>
        <v>0</v>
      </c>
      <c r="D57" s="791"/>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91">
        <f ca="1">IF(AUTOEVENTO="Manual",OFFSET(EVENTOS!$D$15,$B58-$B$15,0),IF(B58&lt;=MAX(CÁLCULO!$M$15:$M$240),VLOOKUP($B58,CÁLCULO!$M$15:$N$240,2,FALSE),0))</f>
        <v>0</v>
      </c>
      <c r="D58" s="791"/>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91">
        <f ca="1">IF(AUTOEVENTO="Manual",OFFSET(EVENTOS!$D$15,$B59-$B$15,0),IF(B59&lt;=MAX(CÁLCULO!$M$15:$M$240),VLOOKUP($B59,CÁLCULO!$M$15:$N$240,2,FALSE),0))</f>
        <v>0</v>
      </c>
      <c r="D59" s="791"/>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91">
        <f ca="1">IF(AUTOEVENTO="Manual",OFFSET(EVENTOS!$D$15,$B60-$B$15,0),IF(B60&lt;=MAX(CÁLCULO!$M$15:$M$240),VLOOKUP($B60,CÁLCULO!$M$15:$N$240,2,FALSE),0))</f>
        <v>0</v>
      </c>
      <c r="D60" s="791"/>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91">
        <f ca="1">IF(AUTOEVENTO="Manual",OFFSET(EVENTOS!$D$15,$B61-$B$15,0),IF(B61&lt;=MAX(CÁLCULO!$M$15:$M$240),VLOOKUP($B61,CÁLCULO!$M$15:$N$240,2,FALSE),0))</f>
        <v>0</v>
      </c>
      <c r="D61" s="791"/>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91">
        <f ca="1">IF(AUTOEVENTO="Manual",OFFSET(EVENTOS!$D$15,$B62-$B$15,0),IF(B62&lt;=MAX(CÁLCULO!$M$15:$M$240),VLOOKUP($B62,CÁLCULO!$M$15:$N$240,2,FALSE),0))</f>
        <v>0</v>
      </c>
      <c r="D62" s="791"/>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91">
        <f ca="1">IF(AUTOEVENTO="Manual",OFFSET(EVENTOS!$D$15,$B63-$B$15,0),IF(B63&lt;=MAX(CÁLCULO!$M$15:$M$240),VLOOKUP($B63,CÁLCULO!$M$15:$N$240,2,FALSE),0))</f>
        <v>0</v>
      </c>
      <c r="D63" s="791"/>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91">
        <f ca="1">IF(AUTOEVENTO="Manual",OFFSET(EVENTOS!$D$15,$B64-$B$15,0),IF(B64&lt;=MAX(CÁLCULO!$M$15:$M$240),VLOOKUP($B64,CÁLCULO!$M$15:$N$240,2,FALSE),0))</f>
        <v>0</v>
      </c>
      <c r="D64" s="791"/>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
      <c r="A68" s="7" t="s">
        <v>536</v>
      </c>
      <c r="H68" s="583" t="str">
        <f>IF(INDEX($I$68:$AG$68,MATCH(PLE.Medicao,$I$69:$AG$69,0))="","Preencher a data da medição "&amp;PLE.Medicao,"")</f>
        <v>Preencher a data da medição 1</v>
      </c>
      <c r="I68" s="794"/>
      <c r="J68" s="790"/>
      <c r="K68" s="790"/>
      <c r="L68" s="790"/>
      <c r="M68" s="790"/>
      <c r="N68" s="790"/>
      <c r="O68" s="790"/>
      <c r="P68" s="790"/>
      <c r="Q68" s="790"/>
      <c r="R68" s="790"/>
      <c r="S68" s="790"/>
      <c r="T68" s="790"/>
      <c r="U68" s="790"/>
      <c r="V68" s="790"/>
      <c r="W68" s="790"/>
      <c r="X68" s="790"/>
      <c r="Y68" s="790"/>
      <c r="Z68" s="790"/>
      <c r="AA68" s="790"/>
      <c r="AB68" s="790"/>
      <c r="AC68" s="790"/>
      <c r="AD68" s="790"/>
      <c r="AE68" s="790"/>
      <c r="AF68" s="804"/>
    </row>
    <row r="69" spans="1:32" x14ac:dyDescent="0.2">
      <c r="A69" s="7" t="s">
        <v>536</v>
      </c>
      <c r="D69" s="269" t="s">
        <v>840</v>
      </c>
      <c r="I69" s="793">
        <f>IF(PLE.Medicao&lt;=12,1,TRUNC((PLE.Medicao - 2)/11,0) * 11 + 1)</f>
        <v>1</v>
      </c>
      <c r="J69" s="793"/>
      <c r="K69" s="793">
        <f>I69+1</f>
        <v>2</v>
      </c>
      <c r="L69" s="793"/>
      <c r="M69" s="793">
        <f>K69+1</f>
        <v>3</v>
      </c>
      <c r="N69" s="793"/>
      <c r="O69" s="793">
        <f>M69+1</f>
        <v>4</v>
      </c>
      <c r="P69" s="793"/>
      <c r="Q69" s="793">
        <f>O69+1</f>
        <v>5</v>
      </c>
      <c r="R69" s="793"/>
      <c r="S69" s="793">
        <f>Q69+1</f>
        <v>6</v>
      </c>
      <c r="T69" s="793"/>
      <c r="U69" s="793">
        <f>S69+1</f>
        <v>7</v>
      </c>
      <c r="V69" s="793"/>
      <c r="W69" s="793">
        <f>U69+1</f>
        <v>8</v>
      </c>
      <c r="X69" s="793"/>
      <c r="Y69" s="793">
        <f>W69+1</f>
        <v>9</v>
      </c>
      <c r="Z69" s="793"/>
      <c r="AA69" s="793">
        <f>Y69+1</f>
        <v>10</v>
      </c>
      <c r="AB69" s="793"/>
      <c r="AC69" s="793">
        <f>AA69+1</f>
        <v>11</v>
      </c>
      <c r="AD69" s="793"/>
      <c r="AE69" s="793">
        <f>AC69+1</f>
        <v>12</v>
      </c>
      <c r="AF69" s="793"/>
    </row>
    <row r="70" spans="1:32" x14ac:dyDescent="0.2">
      <c r="A70" s="7" t="s">
        <v>536</v>
      </c>
      <c r="D70" s="784" t="s">
        <v>799</v>
      </c>
      <c r="H70" s="270" t="s">
        <v>781</v>
      </c>
      <c r="I70" s="795">
        <f ca="1">ROUND(I71,2)/ORÇAMENTO!$X$15</f>
        <v>0</v>
      </c>
      <c r="J70" s="795"/>
      <c r="K70" s="801">
        <f ca="1">ROUND(K71,2)/ORÇAMENTO!$X$15</f>
        <v>0</v>
      </c>
      <c r="L70" s="801"/>
      <c r="M70" s="801">
        <f ca="1">ROUND(M71,2)/ORÇAMENTO!$X$15</f>
        <v>0</v>
      </c>
      <c r="N70" s="801"/>
      <c r="O70" s="801">
        <f ca="1">ROUND(O71,2)/ORÇAMENTO!$X$15</f>
        <v>0</v>
      </c>
      <c r="P70" s="801"/>
      <c r="Q70" s="801">
        <f ca="1">ROUND(Q71,2)/ORÇAMENTO!$X$15</f>
        <v>0</v>
      </c>
      <c r="R70" s="801"/>
      <c r="S70" s="801">
        <f ca="1">ROUND(S71,2)/ORÇAMENTO!$X$15</f>
        <v>0</v>
      </c>
      <c r="T70" s="801"/>
      <c r="U70" s="801">
        <f ca="1">ROUND(U71,2)/ORÇAMENTO!$X$15</f>
        <v>0</v>
      </c>
      <c r="V70" s="801"/>
      <c r="W70" s="801">
        <f ca="1">ROUND(W71,2)/ORÇAMENTO!$X$15</f>
        <v>0</v>
      </c>
      <c r="X70" s="801"/>
      <c r="Y70" s="801">
        <f ca="1">ROUND(Y71,2)/ORÇAMENTO!$X$15</f>
        <v>0</v>
      </c>
      <c r="Z70" s="801"/>
      <c r="AA70" s="801">
        <f ca="1">ROUND(AA71,2)/ORÇAMENTO!$X$15</f>
        <v>0</v>
      </c>
      <c r="AB70" s="801"/>
      <c r="AC70" s="801">
        <f ca="1">ROUND(AC71,2)/ORÇAMENTO!$X$15</f>
        <v>0</v>
      </c>
      <c r="AD70" s="801"/>
      <c r="AE70" s="801">
        <f ca="1">ROUND(AE71,2)/ORÇAMENTO!$X$15</f>
        <v>0</v>
      </c>
      <c r="AF70" s="801"/>
    </row>
    <row r="71" spans="1:32" x14ac:dyDescent="0.2">
      <c r="A71" s="7" t="s">
        <v>536</v>
      </c>
      <c r="D71" s="784"/>
      <c r="H71" s="11" t="s">
        <v>782</v>
      </c>
      <c r="I71" s="786" cm="1">
        <f t="array" aca="1" ref="I71" ca="1">IF(I69=1,I73,ROUND(I73,2)-ROUND(SUMIF(CÁLCULO!$AX$15:$BH$240,"&lt;="&amp;PLE!I69-1,CÁLCULO!$AB$15:$AL$240)*IF(AdmLocal="Automática",(1+CÁLCULO.TotalAdmLocal/(ORÇAMENTO!$X$15-CÁLCULO.TotalAdmLocal)),1),2))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84" t="s">
        <v>803</v>
      </c>
      <c r="H72" s="270" t="s">
        <v>781</v>
      </c>
      <c r="I72" s="788">
        <f ca="1">ROUND(I73,2)/ORÇAMENTO!$X$15</f>
        <v>0</v>
      </c>
      <c r="J72" s="788"/>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84"/>
      <c r="H73" s="11" t="s">
        <v>782</v>
      </c>
      <c r="I73" s="787" cm="1">
        <f t="array" aca="1" ref="I73" ca="1">SUMIF(CÁLCULO!$AX$15:$BH$240,"&lt;="&amp;PLE!I69,CÁLCULO!$AB$15:$AL$240)*IF(AdmLocal="Automática",(1+CÁLCULO.TotalAdmLocal/(ORÇAMENTO!$X$15-CÁLCULO.TotalAdmLocal)),1)</f>
        <v>0</v>
      </c>
      <c r="J73" s="787"/>
      <c r="K73" s="786" cm="1">
        <f t="array" aca="1" ref="K73" ca="1">SUMIF(CÁLCULO!$AX$15:$BH$240,"&lt;="&amp;PLE!K69,CÁLCULO!$AB$15:$AL$240)*IF(AdmLocal="Automática",(1+CÁLCULO.TotalAdmLocal/(ORÇAMENTO!$X$15-CÁLCULO.TotalAdmLocal)),1)</f>
        <v>0</v>
      </c>
      <c r="L73" s="786"/>
      <c r="M73" s="786" cm="1">
        <f t="array" aca="1" ref="M73" ca="1">SUMIF(CÁLCULO!$AX$15:$BH$240,"&lt;="&amp;PLE!M69,CÁLCULO!$AB$15:$AL$240)*IF(AdmLocal="Automática",(1+CÁLCULO.TotalAdmLocal/(ORÇAMENTO!$X$15-CÁLCULO.TotalAdmLocal)),1)</f>
        <v>0</v>
      </c>
      <c r="N73" s="786"/>
      <c r="O73" s="786" cm="1">
        <f t="array" aca="1" ref="O73" ca="1">SUMIF(CÁLCULO!$AX$15:$BH$240,"&lt;="&amp;PLE!O69,CÁLCULO!$AB$15:$AL$240)*IF(AdmLocal="Automática",(1+CÁLCULO.TotalAdmLocal/(ORÇAMENTO!$X$15-CÁLCULO.TotalAdmLocal)),1)</f>
        <v>0</v>
      </c>
      <c r="P73" s="786"/>
      <c r="Q73" s="786" cm="1">
        <f t="array" aca="1" ref="Q73" ca="1">SUMIF(CÁLCULO!$AX$15:$BH$240,"&lt;="&amp;PLE!Q69,CÁLCULO!$AB$15:$AL$240)*IF(AdmLocal="Automática",(1+CÁLCULO.TotalAdmLocal/(ORÇAMENTO!$X$15-CÁLCULO.TotalAdmLocal)),1)</f>
        <v>0</v>
      </c>
      <c r="R73" s="786"/>
      <c r="S73" s="786" cm="1">
        <f t="array" aca="1" ref="S73" ca="1">SUMIF(CÁLCULO!$AX$15:$BH$240,"&lt;="&amp;PLE!S69,CÁLCULO!$AB$15:$AL$240)*IF(AdmLocal="Automática",(1+CÁLCULO.TotalAdmLocal/(ORÇAMENTO!$X$15-CÁLCULO.TotalAdmLocal)),1)</f>
        <v>0</v>
      </c>
      <c r="T73" s="786"/>
      <c r="U73" s="786" cm="1">
        <f t="array" aca="1" ref="U73" ca="1">SUMIF(CÁLCULO!$AX$15:$BH$240,"&lt;="&amp;PLE!U69,CÁLCULO!$AB$15:$AL$240)*IF(AdmLocal="Automática",(1+CÁLCULO.TotalAdmLocal/(ORÇAMENTO!$X$15-CÁLCULO.TotalAdmLocal)),1)</f>
        <v>0</v>
      </c>
      <c r="V73" s="786"/>
      <c r="W73" s="786" cm="1">
        <f t="array" aca="1" ref="W73" ca="1">SUMIF(CÁLCULO!$AX$15:$BH$240,"&lt;="&amp;PLE!W69,CÁLCULO!$AB$15:$AL$240)*IF(AdmLocal="Automática",(1+CÁLCULO.TotalAdmLocal/(ORÇAMENTO!$X$15-CÁLCULO.TotalAdmLocal)),1)</f>
        <v>0</v>
      </c>
      <c r="X73" s="786"/>
      <c r="Y73" s="786" cm="1">
        <f t="array" aca="1" ref="Y73" ca="1">SUMIF(CÁLCULO!$AX$15:$BH$240,"&lt;="&amp;PLE!Y69,CÁLCULO!$AB$15:$AL$240)*IF(AdmLocal="Automática",(1+CÁLCULO.TotalAdmLocal/(ORÇAMENTO!$X$15-CÁLCULO.TotalAdmLocal)),1)</f>
        <v>0</v>
      </c>
      <c r="Z73" s="786"/>
      <c r="AA73" s="786" cm="1">
        <f t="array" aca="1" ref="AA73" ca="1">SUMIF(CÁLCULO!$AX$15:$BH$240,"&lt;="&amp;PLE!AA69,CÁLCULO!$AB$15:$AL$240)*IF(AdmLocal="Automática",(1+CÁLCULO.TotalAdmLocal/(ORÇAMENTO!$X$15-CÁLCULO.TotalAdmLocal)),1)</f>
        <v>0</v>
      </c>
      <c r="AB73" s="786"/>
      <c r="AC73" s="786" cm="1">
        <f t="array" aca="1" ref="AC73" ca="1">SUMIF(CÁLCULO!$AX$15:$BH$240,"&lt;="&amp;PLE!AC69,CÁLCULO!$AB$15:$AL$240)*IF(AdmLocal="Automática",(1+CÁLCULO.TotalAdmLocal/(ORÇAMENTO!$X$15-CÁLCULO.TotalAdmLocal)),1)</f>
        <v>0</v>
      </c>
      <c r="AD73" s="786"/>
      <c r="AE73" s="786" cm="1">
        <f t="array" aca="1" ref="AE73" ca="1">SUMIF(CÁLCULO!$AX$15:$BH$240,"&lt;="&amp;PLE!AE69,CÁLCULO!$AB$15:$AL$240)*IF(AdmLocal="Automática",(1+CÁLCULO.TotalAdmLocal/(ORÇAMENTO!$X$15-CÁLCULO.TotalAdmLocal)),1)</f>
        <v>0</v>
      </c>
      <c r="AF73" s="786"/>
    </row>
    <row r="74" spans="1:32" ht="12.75" customHeight="1" x14ac:dyDescent="0.2">
      <c r="A74" s="7"/>
      <c r="D74" s="552" t="s">
        <v>784</v>
      </c>
      <c r="H74" s="551" t="s">
        <v>781</v>
      </c>
      <c r="I74" s="757">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57"/>
      <c r="K74" s="757">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57"/>
      <c r="M74" s="757">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57"/>
      <c r="O74" s="757">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57"/>
      <c r="Q74" s="757">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57"/>
      <c r="S74" s="757">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57"/>
      <c r="U74" s="757">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57"/>
      <c r="W74" s="757">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57"/>
      <c r="Y74" s="757">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57"/>
      <c r="AA74" s="757">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57"/>
      <c r="AC74" s="757">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57"/>
      <c r="AE74" s="757">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57"/>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789"/>
      <c r="J76" s="789"/>
    </row>
    <row r="77" spans="1:32" ht="15" x14ac:dyDescent="0.25">
      <c r="A77" s="7" t="s">
        <v>536</v>
      </c>
      <c r="B77" s="685" t="str">
        <f>Import.Município</f>
        <v>SARANDI/RS</v>
      </c>
      <c r="C77" s="685"/>
      <c r="D77" s="685"/>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33">
        <f>DADOS!$C$48</f>
        <v>0</v>
      </c>
      <c r="C80" s="733"/>
      <c r="D80" s="733"/>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BK0u3H8SFqa4fRsmv2GA75tQp6NBcvPrM1tfgCP0gXrN0kEJza+RRsAW++AReoEWmSS7UluPrQAqH6+A/xN9fg==" saltValue="PnTNxsm4u8SI4pg0hwoL7A=="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298" priority="2721" stopIfTrue="1">
      <formula>IF(OR(ACOMPANHAMENTO="BM",F$12&gt;CÁLCULO.NúmeroDeFrentes),TRUE,PLE.ValorDoEvento=0)</formula>
    </cfRule>
    <cfRule type="cellIs" dxfId="297" priority="2722" stopIfTrue="1" operator="equal">
      <formula>$J$9</formula>
    </cfRule>
  </conditionalFormatting>
  <conditionalFormatting sqref="I70:AF70">
    <cfRule type="expression" dxfId="296" priority="2723" stopIfTrue="1">
      <formula>I69=$J$9</formula>
    </cfRule>
  </conditionalFormatting>
  <conditionalFormatting sqref="I71:AF71">
    <cfRule type="expression" dxfId="295" priority="2724" stopIfTrue="1">
      <formula>I69=$J$9</formula>
    </cfRule>
  </conditionalFormatting>
  <conditionalFormatting sqref="I72:AF72">
    <cfRule type="expression" dxfId="294" priority="2725" stopIfTrue="1">
      <formula>I69=$J$9</formula>
    </cfRule>
  </conditionalFormatting>
  <conditionalFormatting sqref="I73:AF73">
    <cfRule type="expression" dxfId="293" priority="2726" stopIfTrue="1">
      <formula>I69=$J$9</formula>
    </cfRule>
  </conditionalFormatting>
  <conditionalFormatting sqref="I69:J69">
    <cfRule type="cellIs" dxfId="292" priority="2720" stopIfTrue="1" operator="notEqual">
      <formula>1</formula>
    </cfRule>
  </conditionalFormatting>
  <conditionalFormatting sqref="H1:AF1">
    <cfRule type="expression" dxfId="291" priority="2738" stopIfTrue="1">
      <formula>IF(OR(ACOMPANHAMENTO="BM",TIPOORCAMENTO="Proposto",H$12&gt;CÁLCULO.NúmeroDeFrentes),TRUE,PLE.ValorDoEvento=0)</formula>
    </cfRule>
    <cfRule type="cellIs" dxfId="290" priority="2739" stopIfTrue="1" operator="equal">
      <formula>$J$9</formula>
    </cfRule>
  </conditionalFormatting>
  <conditionalFormatting sqref="AE6:AE7">
    <cfRule type="expression" dxfId="289" priority="2727" stopIfTrue="1">
      <formula>TIPOORCAMENTO&lt;&gt;"Licitado"</formula>
    </cfRule>
  </conditionalFormatting>
  <conditionalFormatting sqref="N9:T9">
    <cfRule type="expression" dxfId="288" priority="2728" stopIfTrue="1">
      <formula>COLUMN(N9)&gt;COLUMN($AF$12)</formula>
    </cfRule>
    <cfRule type="expression" dxfId="287" priority="2729" stopIfTrue="1">
      <formula>$N$9="DIGITE A DATA DA MEDIÇÃO"</formula>
    </cfRule>
  </conditionalFormatting>
  <conditionalFormatting sqref="I9:M9 U9:AF9">
    <cfRule type="expression" dxfId="286" priority="2730" stopIfTrue="1">
      <formula>COLUMN(I9)&gt;COLUMN($AF$12)</formula>
    </cfRule>
  </conditionalFormatting>
  <conditionalFormatting sqref="K70:AF73">
    <cfRule type="expression" dxfId="285" priority="1736" stopIfTrue="1">
      <formula>I$72=100%</formula>
    </cfRule>
  </conditionalFormatting>
  <conditionalFormatting sqref="J75 L75 N75 P75 R75 T75 V75 X75 Z75 AB75 AD75 AF75">
    <cfRule type="expression" dxfId="284" priority="14447" stopIfTrue="1">
      <formula>J70=$J$9</formula>
    </cfRule>
  </conditionalFormatting>
  <conditionalFormatting sqref="K74:AF74">
    <cfRule type="expression" dxfId="283" priority="1735">
      <formula>OFFSET(K74,-2,-2)=1</formula>
    </cfRule>
  </conditionalFormatting>
  <conditionalFormatting sqref="I74:AF74">
    <cfRule type="expression" dxfId="282" priority="1734">
      <formula>ROUND(I74,4)&gt;ROUND(I72,4)</formula>
    </cfRule>
  </conditionalFormatting>
  <conditionalFormatting sqref="N13">
    <cfRule type="expression" dxfId="281" priority="1733">
      <formula>$Y$9=0</formula>
    </cfRule>
  </conditionalFormatting>
  <conditionalFormatting sqref="F16:F24">
    <cfRule type="expression" dxfId="280" priority="21" stopIfTrue="1">
      <formula>IF(OR(ACOMPANHAMENTO="BM",F$12&gt;CÁLCULO.NúmeroDeFrentes),TRUE,PLE.ValorDoEvento=0)</formula>
    </cfRule>
    <cfRule type="cellIs" dxfId="279" priority="22" stopIfTrue="1" operator="equal">
      <formula>$J$9</formula>
    </cfRule>
  </conditionalFormatting>
  <conditionalFormatting sqref="H16:AF24">
    <cfRule type="expression" dxfId="278" priority="23" stopIfTrue="1">
      <formula>IF(OR(ACOMPANHAMENTO="BM",TIPOORCAMENTO="Proposto",H$12&gt;CÁLCULO.NúmeroDeFrentes),TRUE,PLE.ValorDoEvento=0)</formula>
    </cfRule>
    <cfRule type="cellIs" dxfId="277" priority="24" stopIfTrue="1" operator="equal">
      <formula>$J$9</formula>
    </cfRule>
  </conditionalFormatting>
  <conditionalFormatting sqref="F25:F33">
    <cfRule type="expression" dxfId="276" priority="17" stopIfTrue="1">
      <formula>IF(OR(ACOMPANHAMENTO="BM",F$12&gt;CÁLCULO.NúmeroDeFrentes),TRUE,PLE.ValorDoEvento=0)</formula>
    </cfRule>
    <cfRule type="cellIs" dxfId="275" priority="18" stopIfTrue="1" operator="equal">
      <formula>$J$9</formula>
    </cfRule>
  </conditionalFormatting>
  <conditionalFormatting sqref="H25:AF33">
    <cfRule type="expression" dxfId="274" priority="19" stopIfTrue="1">
      <formula>IF(OR(ACOMPANHAMENTO="BM",TIPOORCAMENTO="Proposto",H$12&gt;CÁLCULO.NúmeroDeFrentes),TRUE,PLE.ValorDoEvento=0)</formula>
    </cfRule>
    <cfRule type="cellIs" dxfId="273" priority="20" stopIfTrue="1" operator="equal">
      <formula>$J$9</formula>
    </cfRule>
  </conditionalFormatting>
  <conditionalFormatting sqref="F34:F42">
    <cfRule type="expression" dxfId="272" priority="13" stopIfTrue="1">
      <formula>IF(OR(ACOMPANHAMENTO="BM",F$12&gt;CÁLCULO.NúmeroDeFrentes),TRUE,PLE.ValorDoEvento=0)</formula>
    </cfRule>
    <cfRule type="cellIs" dxfId="271" priority="14" stopIfTrue="1" operator="equal">
      <formula>$J$9</formula>
    </cfRule>
  </conditionalFormatting>
  <conditionalFormatting sqref="H34:AF42">
    <cfRule type="expression" dxfId="270" priority="15" stopIfTrue="1">
      <formula>IF(OR(ACOMPANHAMENTO="BM",TIPOORCAMENTO="Proposto",H$12&gt;CÁLCULO.NúmeroDeFrentes),TRUE,PLE.ValorDoEvento=0)</formula>
    </cfRule>
    <cfRule type="cellIs" dxfId="269" priority="16" stopIfTrue="1" operator="equal">
      <formula>$J$9</formula>
    </cfRule>
  </conditionalFormatting>
  <conditionalFormatting sqref="F43:F51">
    <cfRule type="expression" dxfId="268" priority="9" stopIfTrue="1">
      <formula>IF(OR(ACOMPANHAMENTO="BM",F$12&gt;CÁLCULO.NúmeroDeFrentes),TRUE,PLE.ValorDoEvento=0)</formula>
    </cfRule>
    <cfRule type="cellIs" dxfId="267" priority="10" stopIfTrue="1" operator="equal">
      <formula>$J$9</formula>
    </cfRule>
  </conditionalFormatting>
  <conditionalFormatting sqref="H43:AF51">
    <cfRule type="expression" dxfId="266" priority="11" stopIfTrue="1">
      <formula>IF(OR(ACOMPANHAMENTO="BM",TIPOORCAMENTO="Proposto",H$12&gt;CÁLCULO.NúmeroDeFrentes),TRUE,PLE.ValorDoEvento=0)</formula>
    </cfRule>
    <cfRule type="cellIs" dxfId="265" priority="12" stopIfTrue="1" operator="equal">
      <formula>$J$9</formula>
    </cfRule>
  </conditionalFormatting>
  <conditionalFormatting sqref="F52:F60">
    <cfRule type="expression" dxfId="264" priority="5" stopIfTrue="1">
      <formula>IF(OR(ACOMPANHAMENTO="BM",F$12&gt;CÁLCULO.NúmeroDeFrentes),TRUE,PLE.ValorDoEvento=0)</formula>
    </cfRule>
    <cfRule type="cellIs" dxfId="263" priority="6" stopIfTrue="1" operator="equal">
      <formula>$J$9</formula>
    </cfRule>
  </conditionalFormatting>
  <conditionalFormatting sqref="H52:AF60">
    <cfRule type="expression" dxfId="262" priority="7" stopIfTrue="1">
      <formula>IF(OR(ACOMPANHAMENTO="BM",TIPOORCAMENTO="Proposto",H$12&gt;CÁLCULO.NúmeroDeFrentes),TRUE,PLE.ValorDoEvento=0)</formula>
    </cfRule>
    <cfRule type="cellIs" dxfId="261" priority="8" stopIfTrue="1" operator="equal">
      <formula>$J$9</formula>
    </cfRule>
  </conditionalFormatting>
  <conditionalFormatting sqref="F61:F64">
    <cfRule type="expression" dxfId="260" priority="1" stopIfTrue="1">
      <formula>IF(OR(ACOMPANHAMENTO="BM",F$12&gt;CÁLCULO.NúmeroDeFrentes),TRUE,PLE.ValorDoEvento=0)</formula>
    </cfRule>
    <cfRule type="cellIs" dxfId="259" priority="2" stopIfTrue="1" operator="equal">
      <formula>$J$9</formula>
    </cfRule>
  </conditionalFormatting>
  <conditionalFormatting sqref="H61:AF64">
    <cfRule type="expression" dxfId="258" priority="3" stopIfTrue="1">
      <formula>IF(OR(ACOMPANHAMENTO="BM",TIPOORCAMENTO="Proposto",H$12&gt;CÁLCULO.NúmeroDeFrentes),TRUE,PLE.ValorDoEvento=0)</formula>
    </cfRule>
    <cfRule type="cellIs" dxfId="25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55"/>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16" t="b">
        <v>0</v>
      </c>
      <c r="B3" s="816"/>
      <c r="E3" s="86"/>
    </row>
    <row r="4" spans="1:41" x14ac:dyDescent="0.2">
      <c r="D4" s="718" t="s">
        <v>652</v>
      </c>
      <c r="E4" s="718"/>
      <c r="F4" s="727" t="s">
        <v>650</v>
      </c>
      <c r="G4" s="727"/>
      <c r="H4" s="727"/>
      <c r="I4" s="145" t="s">
        <v>707</v>
      </c>
      <c r="J4" s="718" t="s">
        <v>708</v>
      </c>
      <c r="K4" s="718"/>
      <c r="L4" s="718"/>
      <c r="M4" s="718"/>
      <c r="N4" s="718"/>
      <c r="O4" s="147" t="s">
        <v>843</v>
      </c>
    </row>
    <row r="5" spans="1:41" ht="12.75" customHeight="1" x14ac:dyDescent="0.2">
      <c r="A5" t="s">
        <v>844</v>
      </c>
      <c r="D5" s="721" t="str">
        <f>Import.Proponente</f>
        <v>MUNICIPIO DE SARANDI/RS</v>
      </c>
      <c r="E5" s="721"/>
      <c r="F5" s="732">
        <f>Import.CR</f>
        <v>0</v>
      </c>
      <c r="G5" s="732"/>
      <c r="H5" s="732"/>
      <c r="I5" s="322">
        <f>Import.TransfereGOV</f>
        <v>0</v>
      </c>
      <c r="J5" s="721" t="str">
        <f>Import.Apelido</f>
        <v>A CASA É SUA</v>
      </c>
      <c r="K5" s="721"/>
      <c r="L5" s="721"/>
      <c r="M5" s="721"/>
      <c r="N5" s="721"/>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18" t="s">
        <v>848</v>
      </c>
      <c r="G7" s="718"/>
      <c r="H7" s="718"/>
      <c r="I7" s="718" t="str" cm="1">
        <f t="array" ref="I7">IF(TIPOORCAMENTO="Licitado","REGIME DE EXECUÇÃO","MUNICÍPIO / UF")</f>
        <v>MUNICÍPIO / UF</v>
      </c>
      <c r="J7" s="718"/>
      <c r="K7" s="718"/>
      <c r="L7" s="718"/>
      <c r="M7" s="718" t="s">
        <v>849</v>
      </c>
      <c r="N7" s="718"/>
      <c r="O7" s="87" t="s">
        <v>850</v>
      </c>
      <c r="AO7" s="275" cm="1">
        <f t="array" aca="1" ref="AO7" ca="1">BM.MEDAcumulado</f>
        <v>0</v>
      </c>
    </row>
    <row r="8" spans="1:41" ht="12.75" customHeight="1" x14ac:dyDescent="0.2">
      <c r="A8" s="320" t="s">
        <v>851</v>
      </c>
      <c r="B8" s="2"/>
      <c r="C8" s="690" t="s">
        <v>655</v>
      </c>
      <c r="D8" s="326">
        <f>Import.CTEF</f>
        <v>0</v>
      </c>
      <c r="E8" s="56">
        <f>Import.empresa</f>
        <v>0</v>
      </c>
      <c r="F8" s="721">
        <f>Import.CNPJ</f>
        <v>0</v>
      </c>
      <c r="G8" s="721"/>
      <c r="H8" s="721"/>
      <c r="I8" s="721" t="str" cm="1">
        <f t="array" ref="I8">IF(TIPOORCAMENTO="Licitado",Import.RegimeExecução,Import.Município)</f>
        <v>SARANDI/RS</v>
      </c>
      <c r="J8" s="721"/>
      <c r="K8" s="721"/>
      <c r="L8" s="721"/>
      <c r="M8" s="721" t="str" cm="1">
        <f t="array" aca="1" ref="M8" ca="1">TEXT(IF(BM.medicao=1,Import.DataInicioObra,OFFSET($AB$12,0,BM.medicao-1-$AB$13)+1),"dd/mm/aaaa")&amp;" a "&amp;TEXT(OFFSET($AB$12,0,BM.medicao-$AB$13),"dd/mm/aaaa")</f>
        <v>00/01/1900 a 00/01/1900</v>
      </c>
      <c r="N8" s="721"/>
      <c r="O8" s="422">
        <v>1</v>
      </c>
    </row>
    <row r="9" spans="1:41" ht="12.75" customHeight="1" x14ac:dyDescent="0.2">
      <c r="A9" s="559" t="b">
        <v>1</v>
      </c>
      <c r="B9" s="4"/>
      <c r="C9" s="690"/>
    </row>
    <row r="10" spans="1:41" ht="13.35" customHeight="1" x14ac:dyDescent="0.2">
      <c r="A10" s="410" t="s">
        <v>852</v>
      </c>
      <c r="B10" s="411"/>
      <c r="C10" s="690"/>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IF($J$250&lt;&gt;"",UPPER($J$250),
 "")))))))</f>
        <v>Altere na aba 'MENU' o tipo de orçamento para 'Licitado'.</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OFFSET(CRONO!$F$13,CRONO!$F$67,0)</f>
        <v>#VALUE!</v>
      </c>
      <c r="B11" s="418"/>
      <c r="C11" s="690"/>
      <c r="E11" s="556"/>
      <c r="F11" s="815"/>
      <c r="G11" s="815"/>
      <c r="H11" s="815"/>
      <c r="I11" s="815"/>
      <c r="N11" s="557"/>
      <c r="O11" s="558" t="str">
        <f ca="1">IF(ISERROR(P11),"","Administração Local Acumulada: "&amp;TEXT(P11,"0,00%"))</f>
        <v/>
      </c>
      <c r="P11" s="561" t="e">
        <f ca="1">OFFSET($O$15,$A$11,0)/OFFSET($I$15,$A$11,0)</f>
        <v>#VALUE!</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0"/>
      <c r="E12" s="84" t="s">
        <v>855</v>
      </c>
      <c r="J12" s="693" t="str" cm="1">
        <f t="array" aca="1" ref="J12" ca="1">"Evolução Física "&amp;CHOOSE(MATCH(RegimeExecucao,{"Unitário","Global"},0),"(Qtde.)","(%)")</f>
        <v>Evolução Física (Qtde.)</v>
      </c>
      <c r="K12" s="693"/>
      <c r="L12" s="693"/>
      <c r="M12" s="693" t="s">
        <v>856</v>
      </c>
      <c r="N12" s="693"/>
      <c r="O12" s="693"/>
      <c r="Q12" s="693" t="str" cm="1">
        <f t="array" aca="1" ref="Q12" ca="1">"Aferido (CAIXA) "&amp;CHOOSE(MATCH(RegimeExecucao,{"Unitário","Global"},0),"(Qtde.)","(%)")</f>
        <v>Aferido (CAIXA) (Qtde.)</v>
      </c>
      <c r="R12" s="693"/>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PROGRAMA "A CASA É SUA" (30 UH)</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IF(OR(ACOMPANHAMENTO="PLE",TIPOORCAMENTO="Proposto"),0,SUMIF(OFFSET($A15,1,0):$A$240,"S",OFFSET(M15,1,0):M$240))</f>
        <v>0</v>
      </c>
      <c r="N15" s="341">
        <f ca="1">O15-M15</f>
        <v>0</v>
      </c>
      <c r="O15" s="341" cm="1">
        <f t="array" aca="1" ref="O15" ca="1">IF(OR(ACOMPANHAMENTO="PLE",TIPOORCAMENTO="Proposto"),0,SUMIF(OFFSET($A15,1,0):$A$240,"S",OFFSET(O15,1,0):O$240))</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224</v>
      </c>
      <c r="C16" s="114" t="str">
        <f t="shared" ref="C16:C239" ca="1" si="1">IF(OR($I16&gt;0,$A16=1,$A16=2,$A16=3,$A16=4),"F","")</f>
        <v>F</v>
      </c>
      <c r="D16" s="117" t="str">
        <f ca="1">ORÇAMENTO!O16</f>
        <v>1.</v>
      </c>
      <c r="E16" s="163" t="str">
        <f t="shared" ref="E16:E239" si="2">ORÇAMENTO.Descricao</f>
        <v>CASA PADRÃO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4506430.9400000004</v>
      </c>
      <c r="J16" s="333" cm="1">
        <f t="array" aca="1" ref="J16" ca="1">IF($A16="S",IF(CAIXA.Modo,BM.AFAnterior,BM.MEDAnterior),IF(AND(RegimeExecucao="Global",$I16&gt;0,COUNTIF($AB$13:$AM$13,BM.medicao-1)&gt;0),M16/$I16*100,0))</f>
        <v>0</v>
      </c>
      <c r="K16" s="122">
        <f t="shared" ref="K16:K239"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239" ca="1" si="4">O16-M16</f>
        <v>0</v>
      </c>
      <c r="O16" s="125" cm="1">
        <f t="array" aca="1" ref="O16" ca="1">IF($A16="S",VTOTALBM,IF($A16=0,0,ROUND(SomaAgrupBM,15-13*ORÇAMENTO!$AF$11)))</f>
        <v>0</v>
      </c>
      <c r="Q16" s="337"/>
      <c r="R16" s="338"/>
      <c r="T16" s="117" t="str">
        <f t="shared" ref="T16:T239" ca="1" si="5">IF($W16&gt;0,$D16,"")</f>
        <v/>
      </c>
      <c r="U16" s="163" t="str">
        <f t="shared" ref="U16:U239"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239"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3</v>
      </c>
      <c r="C17" s="114" t="str">
        <f t="shared" ca="1" si="1"/>
        <v>F</v>
      </c>
      <c r="D17" s="117" t="str">
        <f ca="1">ORÇAMENTO!O17</f>
        <v>1.1.</v>
      </c>
      <c r="E17" s="163" t="str">
        <f t="shared" si="2"/>
        <v>ADMINISTRAÇÃO DE OBRA</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21915.84</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1.1.0.0.1.</v>
      </c>
      <c r="E18" s="163" t="str">
        <f t="shared" ca="1" si="2"/>
        <v>ENGENHEIRO CIVIL DE OBRA JUNIOR COM ENCARGOS COMPLEMENTARES</v>
      </c>
      <c r="F18" s="164" t="str" cm="1">
        <f t="array" aca="1" ref="F18" ca="1">IF(RegimeExecucao="Global","",ORÇAMENTO.Unidade)</f>
        <v>H</v>
      </c>
      <c r="G18" s="122" cm="1">
        <f t="array" aca="1" ref="G18" ca="1">IF(RegimeExecucao="Global","",ORÇAMENTO!T18)</f>
        <v>96</v>
      </c>
      <c r="H18" s="122" cm="1">
        <f t="array" aca="1" ref="H18" ca="1">IF(RegimeExecucao="Global","",ORÇAMENTO!W18)</f>
        <v>170.25</v>
      </c>
      <c r="I18" s="125">
        <f ca="1">ORÇAMENTO!X18</f>
        <v>16344</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F</v>
      </c>
      <c r="D19" s="117" t="str">
        <f ca="1">ORÇAMENTO!O19</f>
        <v>1.1.0.0.2.</v>
      </c>
      <c r="E19" s="163" t="str">
        <f t="shared" ca="1" si="2"/>
        <v>TÉCNICO EM SEGURANÇA DO TRABALHO COM ENCARGOS COMPLEMENTARES</v>
      </c>
      <c r="F19" s="164" t="str" cm="1">
        <f t="array" aca="1" ref="F19" ca="1">IF(RegimeExecucao="Global","",ORÇAMENTO.Unidade)</f>
        <v>H</v>
      </c>
      <c r="G19" s="122" cm="1">
        <f t="array" aca="1" ref="G19" ca="1">IF(RegimeExecucao="Global","",ORÇAMENTO!T19)</f>
        <v>96</v>
      </c>
      <c r="H19" s="122" cm="1">
        <f t="array" aca="1" ref="H19" ca="1">IF(RegimeExecucao="Global","",ORÇAMENTO!W19)</f>
        <v>58.04</v>
      </c>
      <c r="I19" s="125">
        <f ca="1">ORÇAMENTO!X19</f>
        <v>5571.84</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f ca="1">ORÇAMENTO!C20</f>
        <v>2</v>
      </c>
      <c r="B20">
        <f ca="1">ORÇAMENTO!D20</f>
        <v>2</v>
      </c>
      <c r="C20" s="114" t="str">
        <f t="shared" ca="1" si="1"/>
        <v>F</v>
      </c>
      <c r="D20" s="117" t="str">
        <f ca="1">ORÇAMENTO!O20</f>
        <v>1.2.</v>
      </c>
      <c r="E20" s="163" t="str">
        <f t="shared" si="2"/>
        <v>PLACA DE OBRA</v>
      </c>
      <c r="F20" s="164" t="str" cm="1">
        <f t="array" aca="1" ref="F20" ca="1">IF(RegimeExecucao="Global","",ORÇAMENTO.Unidade)</f>
        <v>-</v>
      </c>
      <c r="G20" s="122" cm="1">
        <f t="array" aca="1" ref="G20" ca="1">IF(RegimeExecucao="Global","",ORÇAMENTO!T20)</f>
        <v>0</v>
      </c>
      <c r="H20" s="122" cm="1">
        <f t="array" aca="1" ref="H20" ca="1">IF(RegimeExecucao="Global","",ORÇAMENTO!W20)</f>
        <v>0</v>
      </c>
      <c r="I20" s="125">
        <f ca="1">ORÇAMENTO!X20</f>
        <v>3641.52</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4" t="str">
        <f t="shared" ca="1" si="1"/>
        <v>F</v>
      </c>
      <c r="D21" s="117" t="str">
        <f ca="1">ORÇAMENTO!O21</f>
        <v>1.2.0.0.1.</v>
      </c>
      <c r="E21" s="163" t="str">
        <f t="shared" ca="1" si="2"/>
        <v>FORNECIMENTO E INSTALAÇÃO DE PLACA DE OBRA COM CHAPA GALVANIZADA E ESTRUTURA DE MADEIRA. AF_03/2022_PS</v>
      </c>
      <c r="F21" s="164" t="str" cm="1">
        <f t="array" aca="1" ref="F21" ca="1">IF(RegimeExecucao="Global","",ORÇAMENTO.Unidade)</f>
        <v>M2</v>
      </c>
      <c r="G21" s="122" cm="1">
        <f t="array" aca="1" ref="G21" ca="1">IF(RegimeExecucao="Global","",ORÇAMENTO!T21)</f>
        <v>6</v>
      </c>
      <c r="H21" s="122" cm="1">
        <f t="array" aca="1" ref="H21" ca="1">IF(RegimeExecucao="Global","",ORÇAMENTO!W21)</f>
        <v>606.91999999999996</v>
      </c>
      <c r="I21" s="125">
        <f ca="1">ORÇAMENTO!X21</f>
        <v>3641.52</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2</v>
      </c>
      <c r="B22">
        <f ca="1">ORÇAMENTO!D22</f>
        <v>2</v>
      </c>
      <c r="C22" s="114" t="str">
        <f t="shared" ca="1" si="1"/>
        <v>F</v>
      </c>
      <c r="D22" s="117" t="str">
        <f ca="1">ORÇAMENTO!O22</f>
        <v>1.3.</v>
      </c>
      <c r="E22" s="163" t="str">
        <f t="shared" si="2"/>
        <v>SERVIÇOS PRELIMINARES</v>
      </c>
      <c r="F22" s="164" t="str" cm="1">
        <f t="array" aca="1" ref="F22" ca="1">IF(RegimeExecucao="Global","",ORÇAMENTO.Unidade)</f>
        <v>-</v>
      </c>
      <c r="G22" s="122" cm="1">
        <f t="array" aca="1" ref="G22" ca="1">IF(RegimeExecucao="Global","",ORÇAMENTO!T22)</f>
        <v>0</v>
      </c>
      <c r="H22" s="122" cm="1">
        <f t="array" aca="1" ref="H22" ca="1">IF(RegimeExecucao="Global","",ORÇAMENTO!W22)</f>
        <v>0</v>
      </c>
      <c r="I22" s="125">
        <f ca="1">ORÇAMENTO!X22</f>
        <v>72583.649999999994</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4" t="str">
        <f t="shared" ca="1" si="1"/>
        <v>F</v>
      </c>
      <c r="D23" s="117" t="str">
        <f ca="1">ORÇAMENTO!O23</f>
        <v>1.3.0.0.1.</v>
      </c>
      <c r="E23" s="163" t="str">
        <f t="shared" ca="1" si="2"/>
        <v>LOCAÇÃO CONVENCIONAL DE OBRA, UTILIZANDO GABARITO DE TÁBUAS CORRIDAS PONTALETADAS A CADA 2,00M - 2 UTILIZAÇÕES. AF_03/2024</v>
      </c>
      <c r="F23" s="164" t="str" cm="1">
        <f t="array" aca="1" ref="F23" ca="1">IF(RegimeExecucao="Global","",ORÇAMENTO.Unidade)</f>
        <v>M</v>
      </c>
      <c r="G23" s="122" cm="1">
        <f t="array" aca="1" ref="G23" ca="1">IF(RegimeExecucao="Global","",ORÇAMENTO!T23)</f>
        <v>909</v>
      </c>
      <c r="H23" s="122" cm="1">
        <f t="array" aca="1" ref="H23" ca="1">IF(RegimeExecucao="Global","",ORÇAMENTO!W23)</f>
        <v>79.849999999999994</v>
      </c>
      <c r="I23" s="125">
        <f ca="1">ORÇAMENTO!X23</f>
        <v>72583.649999999994</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2</v>
      </c>
      <c r="B24">
        <f ca="1">ORÇAMENTO!D24</f>
        <v>79</v>
      </c>
      <c r="C24" s="114" t="str">
        <f t="shared" ca="1" si="1"/>
        <v>F</v>
      </c>
      <c r="D24" s="117" t="str">
        <f ca="1">ORÇAMENTO!O24</f>
        <v>1.4.</v>
      </c>
      <c r="E24" s="163" t="str">
        <f t="shared" si="2"/>
        <v>INFRAESTRUTURA</v>
      </c>
      <c r="F24" s="164" t="str" cm="1">
        <f t="array" aca="1" ref="F24" ca="1">IF(RegimeExecucao="Global","",ORÇAMENTO.Unidade)</f>
        <v>-</v>
      </c>
      <c r="G24" s="122" cm="1">
        <f t="array" aca="1" ref="G24" ca="1">IF(RegimeExecucao="Global","",ORÇAMENTO!T24)</f>
        <v>0</v>
      </c>
      <c r="H24" s="122" cm="1">
        <f t="array" aca="1" ref="H24" ca="1">IF(RegimeExecucao="Global","",ORÇAMENTO!W24)</f>
        <v>0</v>
      </c>
      <c r="I24" s="125">
        <f ca="1">ORÇAMENTO!X24</f>
        <v>806251.07</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3</v>
      </c>
      <c r="B25">
        <f ca="1">ORÇAMENTO!D25</f>
        <v>6</v>
      </c>
      <c r="C25" s="114" t="str">
        <f t="shared" ca="1" si="1"/>
        <v>F</v>
      </c>
      <c r="D25" s="117" t="str">
        <f ca="1">ORÇAMENTO!O25</f>
        <v>1.4.1.</v>
      </c>
      <c r="E25" s="163" t="str">
        <f t="shared" si="2"/>
        <v>SAPATAS ISOLADAS</v>
      </c>
      <c r="F25" s="164" t="str" cm="1">
        <f t="array" aca="1" ref="F25" ca="1">IF(RegimeExecucao="Global","",ORÇAMENTO.Unidade)</f>
        <v>-</v>
      </c>
      <c r="G25" s="122" cm="1">
        <f t="array" aca="1" ref="G25" ca="1">IF(RegimeExecucao="Global","",ORÇAMENTO!T25)</f>
        <v>0</v>
      </c>
      <c r="H25" s="122" cm="1">
        <f t="array" aca="1" ref="H25" ca="1">IF(RegimeExecucao="Global","",ORÇAMENTO!W25)</f>
        <v>0</v>
      </c>
      <c r="I25" s="125">
        <f ca="1">ORÇAMENTO!X25</f>
        <v>55051.78</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4" t="str">
        <f t="shared" ca="1" si="1"/>
        <v>F</v>
      </c>
      <c r="D26" s="117" t="str">
        <f ca="1">ORÇAMENTO!O26</f>
        <v>1.4.1.0.1.</v>
      </c>
      <c r="E26" s="163" t="str">
        <f t="shared" ca="1" si="2"/>
        <v>ESCAVAÇÃO MECANIZADA PARA BLOCO DE COROAMENTO OU SAPATA COM RETROESCAVADEIRA (INCLUINDO ESCAVAÇÃO PARA COLOCAÇÃO DE FÔRMAS). AF_01/2024</v>
      </c>
      <c r="F26" s="164" t="str" cm="1">
        <f t="array" aca="1" ref="F26" ca="1">IF(RegimeExecucao="Global","",ORÇAMENTO.Unidade)</f>
        <v>M3</v>
      </c>
      <c r="G26" s="122" cm="1">
        <f t="array" aca="1" ref="G26" ca="1">IF(RegimeExecucao="Global","",ORÇAMENTO!T26)</f>
        <v>18.559999999999999</v>
      </c>
      <c r="H26" s="122" cm="1">
        <f t="array" aca="1" ref="H26" ca="1">IF(RegimeExecucao="Global","",ORÇAMENTO!W26)</f>
        <v>54.93</v>
      </c>
      <c r="I26" s="125">
        <f ca="1">ORÇAMENTO!X26</f>
        <v>1019.5</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F</v>
      </c>
      <c r="D27" s="117" t="str">
        <f ca="1">ORÇAMENTO!O27</f>
        <v>1.4.1.0.2.</v>
      </c>
      <c r="E27" s="163" t="str">
        <f t="shared" ca="1" si="2"/>
        <v>PREPARO DE FUNDO DE VALA COM LARGURA MENOR QUE 1,5 M, COM CAMADA DE BRITA, LANÇAMENTO MANUAL. AF_01/2026</v>
      </c>
      <c r="F27" s="164" t="str" cm="1">
        <f t="array" aca="1" ref="F27" ca="1">IF(RegimeExecucao="Global","",ORÇAMENTO.Unidade)</f>
        <v>M3</v>
      </c>
      <c r="G27" s="122" cm="1">
        <f t="array" aca="1" ref="G27" ca="1">IF(RegimeExecucao="Global","",ORÇAMENTO!T27)</f>
        <v>0.67</v>
      </c>
      <c r="H27" s="122" cm="1">
        <f t="array" aca="1" ref="H27" ca="1">IF(RegimeExecucao="Global","",ORÇAMENTO!W27)</f>
        <v>342.23</v>
      </c>
      <c r="I27" s="125">
        <f ca="1">ORÇAMENTO!X27</f>
        <v>229.29</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4" t="str">
        <f t="shared" ca="1" si="1"/>
        <v>F</v>
      </c>
      <c r="D28" s="117" t="str">
        <f ca="1">ORÇAMENTO!O28</f>
        <v>1.4.1.0.3.</v>
      </c>
      <c r="E28" s="163" t="str">
        <f t="shared" ca="1" si="2"/>
        <v>FABRICAÇÃO, MONTAGEM E DESMONTAGEM DE FÔRMA PARA SAPATA, EM MADEIRA SERRADA, E=25 MM, 4 UTILIZAÇÕES. AF_01/2024</v>
      </c>
      <c r="F28" s="164" t="str" cm="1">
        <f t="array" aca="1" ref="F28" ca="1">IF(RegimeExecucao="Global","",ORÇAMENTO.Unidade)</f>
        <v>M2</v>
      </c>
      <c r="G28" s="122" cm="1">
        <f t="array" aca="1" ref="G28" ca="1">IF(RegimeExecucao="Global","",ORÇAMENTO!T28)</f>
        <v>56.29</v>
      </c>
      <c r="H28" s="122" cm="1">
        <f t="array" aca="1" ref="H28" ca="1">IF(RegimeExecucao="Global","",ORÇAMENTO!W28)</f>
        <v>167.56</v>
      </c>
      <c r="I28" s="125">
        <f ca="1">ORÇAMENTO!X28</f>
        <v>9431.9500000000007</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4" t="str">
        <f t="shared" ca="1" si="1"/>
        <v>F</v>
      </c>
      <c r="D29" s="117" t="str">
        <f ca="1">ORÇAMENTO!O29</f>
        <v>1.4.1.0.4.</v>
      </c>
      <c r="E29" s="163" t="str">
        <f t="shared" ca="1" si="2"/>
        <v>ARMAÇÃO DE SAPATA ISOLADA, VIGA BALDRAME E SAPATA CORRIDA UTILIZANDO AÇO CA-50 DE 10 MM - MONTAGEM. AF_01/2024</v>
      </c>
      <c r="F29" s="164" t="str" cm="1">
        <f t="array" aca="1" ref="F29" ca="1">IF(RegimeExecucao="Global","",ORÇAMENTO.Unidade)</f>
        <v>KG</v>
      </c>
      <c r="G29" s="122" cm="1">
        <f t="array" aca="1" ref="G29" ca="1">IF(RegimeExecucao="Global","",ORÇAMENTO!T29)</f>
        <v>149.65</v>
      </c>
      <c r="H29" s="122" cm="1">
        <f t="array" aca="1" ref="H29" ca="1">IF(RegimeExecucao="Global","",ORÇAMENTO!W29)</f>
        <v>16.079999999999998</v>
      </c>
      <c r="I29" s="125">
        <f ca="1">ORÇAMENTO!X29</f>
        <v>2406.37</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5.5" x14ac:dyDescent="0.2">
      <c r="A30" t="str">
        <f ca="1">ORÇAMENTO!C30</f>
        <v>S</v>
      </c>
      <c r="B30">
        <f ca="1">ORÇAMENTO!D30</f>
        <v>0</v>
      </c>
      <c r="C30" s="114" t="str">
        <f t="shared" ca="1" si="1"/>
        <v>F</v>
      </c>
      <c r="D30" s="117" t="str">
        <f ca="1">ORÇAMENTO!O30</f>
        <v>1.4.1.0.5.</v>
      </c>
      <c r="E30" s="163" t="str">
        <f t="shared" ca="1" si="2"/>
        <v>CONCRETAGEM DE SAPATA, FCK 25 MPA, COM USO DE BOMBA - LANÇAMENTO, ADENSAMENTO E ACABAMENTO.</v>
      </c>
      <c r="F30" s="164" t="str" cm="1">
        <f t="array" aca="1" ref="F30" ca="1">IF(RegimeExecucao="Global","",ORÇAMENTO.Unidade)</f>
        <v>M3</v>
      </c>
      <c r="G30" s="122" cm="1">
        <f t="array" aca="1" ref="G30" ca="1">IF(RegimeExecucao="Global","",ORÇAMENTO!T30)</f>
        <v>43.15</v>
      </c>
      <c r="H30" s="122" cm="1">
        <f t="array" aca="1" ref="H30" ca="1">IF(RegimeExecucao="Global","",ORÇAMENTO!W30)</f>
        <v>972.53</v>
      </c>
      <c r="I30" s="125">
        <f ca="1">ORÇAMENTO!X30</f>
        <v>41964.67</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f ca="1">ORÇAMENTO!C31</f>
        <v>3</v>
      </c>
      <c r="B31">
        <f ca="1">ORÇAMENTO!D31</f>
        <v>9</v>
      </c>
      <c r="C31" s="114" t="str">
        <f t="shared" ca="1" si="1"/>
        <v>F</v>
      </c>
      <c r="D31" s="117" t="str">
        <f ca="1">ORÇAMENTO!O31</f>
        <v>1.4.2.</v>
      </c>
      <c r="E31" s="163" t="str">
        <f t="shared" si="2"/>
        <v>ESTACAS</v>
      </c>
      <c r="F31" s="164" t="str" cm="1">
        <f t="array" aca="1" ref="F31" ca="1">IF(RegimeExecucao="Global","",ORÇAMENTO.Unidade)</f>
        <v>-</v>
      </c>
      <c r="G31" s="122" cm="1">
        <f t="array" aca="1" ref="G31" ca="1">IF(RegimeExecucao="Global","",ORÇAMENTO!T31)</f>
        <v>0</v>
      </c>
      <c r="H31" s="122" cm="1">
        <f t="array" aca="1" ref="H31" ca="1">IF(RegimeExecucao="Global","",ORÇAMENTO!W31)</f>
        <v>0</v>
      </c>
      <c r="I31" s="125">
        <f ca="1">ORÇAMENTO!X31</f>
        <v>83252.179999999993</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F</v>
      </c>
      <c r="D32" s="117" t="str">
        <f ca="1">ORÇAMENTO!O32</f>
        <v>1.4.2.0.1.</v>
      </c>
      <c r="E32" s="163" t="str">
        <f t="shared" ca="1" si="2"/>
        <v>ESTACA BROCA DE CONCRETO, DIÂMETRO DE 30CM, ESCAVAÇÃO MANUAL COM TRADO CONCHA, COM ARMADURA DE ARRANQUE. AF_05/2020</v>
      </c>
      <c r="F32" s="164" t="str" cm="1">
        <f t="array" aca="1" ref="F32" ca="1">IF(RegimeExecucao="Global","",ORÇAMENTO.Unidade)</f>
        <v>M</v>
      </c>
      <c r="G32" s="122" cm="1">
        <f t="array" aca="1" ref="G32" ca="1">IF(RegimeExecucao="Global","",ORÇAMENTO!T32)</f>
        <v>12.37</v>
      </c>
      <c r="H32" s="122" cm="1">
        <f t="array" aca="1" ref="H32" ca="1">IF(RegimeExecucao="Global","",ORÇAMENTO!W32)</f>
        <v>155.44</v>
      </c>
      <c r="I32" s="125">
        <f ca="1">ORÇAMENTO!X32</f>
        <v>1922.79</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F</v>
      </c>
      <c r="D33" s="117" t="str">
        <f ca="1">ORÇAMENTO!O33</f>
        <v>1.4.2.0.2.</v>
      </c>
      <c r="E33" s="163" t="str">
        <f t="shared" ca="1" si="2"/>
        <v>MONTAGEM DE ARMADURA TRANSVERSAL DE ESTACAS DE SEÇÃO CIRCULAR, DIÂMETRO = 6,30 MM. AF_09/2021_PS</v>
      </c>
      <c r="F33" s="164" t="str" cm="1">
        <f t="array" aca="1" ref="F33" ca="1">IF(RegimeExecucao="Global","",ORÇAMENTO.Unidade)</f>
        <v>KG</v>
      </c>
      <c r="G33" s="122" cm="1">
        <f t="array" aca="1" ref="G33" ca="1">IF(RegimeExecucao="Global","",ORÇAMENTO!T33)</f>
        <v>655</v>
      </c>
      <c r="H33" s="122" cm="1">
        <f t="array" aca="1" ref="H33" ca="1">IF(RegimeExecucao="Global","",ORÇAMENTO!W33)</f>
        <v>17.670000000000002</v>
      </c>
      <c r="I33" s="125">
        <f ca="1">ORÇAMENTO!X33</f>
        <v>11573.85</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F</v>
      </c>
      <c r="D34" s="117" t="str">
        <f ca="1">ORÇAMENTO!O34</f>
        <v>1.4.2.0.3.</v>
      </c>
      <c r="E34" s="163" t="str">
        <f t="shared" ca="1" si="2"/>
        <v>ESCAVAÇÃO MECANIZADA PARA BLOCO DE COROAMENTO OU SAPATA COM RETROESCAVADEIRA (INCLUINDO ESCAVAÇÃO PARA COLOCAÇÃO DE FÔRMAS). AF_01/2024</v>
      </c>
      <c r="F34" s="164" t="str" cm="1">
        <f t="array" aca="1" ref="F34" ca="1">IF(RegimeExecucao="Global","",ORÇAMENTO.Unidade)</f>
        <v>M3</v>
      </c>
      <c r="G34" s="122" cm="1">
        <f t="array" aca="1" ref="G34" ca="1">IF(RegimeExecucao="Global","",ORÇAMENTO!T34)</f>
        <v>7.8</v>
      </c>
      <c r="H34" s="122" cm="1">
        <f t="array" aca="1" ref="H34" ca="1">IF(RegimeExecucao="Global","",ORÇAMENTO!W34)</f>
        <v>54.93</v>
      </c>
      <c r="I34" s="125">
        <f ca="1">ORÇAMENTO!X34</f>
        <v>428.45</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F</v>
      </c>
      <c r="D35" s="117" t="str">
        <f ca="1">ORÇAMENTO!O35</f>
        <v>1.4.2.0.4.</v>
      </c>
      <c r="E35" s="163" t="str">
        <f t="shared" ca="1" si="2"/>
        <v>PREPARO DE FUNDO DE VALA COM LARGURA MENOR QUE 1,5 M, COM CAMADA DE BRITA, LANÇAMENTO MANUAL. AF_01/2026</v>
      </c>
      <c r="F35" s="164" t="str" cm="1">
        <f t="array" aca="1" ref="F35" ca="1">IF(RegimeExecucao="Global","",ORÇAMENTO.Unidade)</f>
        <v>M3</v>
      </c>
      <c r="G35" s="122" cm="1">
        <f t="array" aca="1" ref="G35" ca="1">IF(RegimeExecucao="Global","",ORÇAMENTO!T35)</f>
        <v>0.27</v>
      </c>
      <c r="H35" s="122" cm="1">
        <f t="array" aca="1" ref="H35" ca="1">IF(RegimeExecucao="Global","",ORÇAMENTO!W35)</f>
        <v>342.23</v>
      </c>
      <c r="I35" s="125">
        <f ca="1">ORÇAMENTO!X35</f>
        <v>92.4</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F</v>
      </c>
      <c r="D36" s="117" t="str">
        <f ca="1">ORÇAMENTO!O36</f>
        <v>1.4.2.0.5.</v>
      </c>
      <c r="E36" s="163" t="str">
        <f t="shared" ca="1" si="2"/>
        <v>FABRICAÇÃO, MONTAGEM E DESMONTAGEM DE FÔRMA PARA BLOCO DE COROAMENTO, EM MADEIRA SERRADA, E=25 MM, 4 UTILIZAÇÕES. AF_01/2024</v>
      </c>
      <c r="F36" s="164" t="str" cm="1">
        <f t="array" aca="1" ref="F36" ca="1">IF(RegimeExecucao="Global","",ORÇAMENTO.Unidade)</f>
        <v>M2</v>
      </c>
      <c r="G36" s="122" cm="1">
        <f t="array" aca="1" ref="G36" ca="1">IF(RegimeExecucao="Global","",ORÇAMENTO!T36)</f>
        <v>111</v>
      </c>
      <c r="H36" s="122" cm="1">
        <f t="array" aca="1" ref="H36" ca="1">IF(RegimeExecucao="Global","",ORÇAMENTO!W36)</f>
        <v>95.71</v>
      </c>
      <c r="I36" s="125">
        <f ca="1">ORÇAMENTO!X36</f>
        <v>10623.81</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F</v>
      </c>
      <c r="D37" s="117" t="str">
        <f ca="1">ORÇAMENTO!O37</f>
        <v>1.4.2.0.6.</v>
      </c>
      <c r="E37" s="163" t="str">
        <f t="shared" ca="1" si="2"/>
        <v>ARMAÇÃO DE BLOCO UTILIZANDO AÇO CA-50 DE 10 MM - MONTAGEM. AF_01/2024</v>
      </c>
      <c r="F37" s="164" t="str" cm="1">
        <f t="array" aca="1" ref="F37" ca="1">IF(RegimeExecucao="Global","",ORÇAMENTO.Unidade)</f>
        <v>KG</v>
      </c>
      <c r="G37" s="122" cm="1">
        <f t="array" aca="1" ref="G37" ca="1">IF(RegimeExecucao="Global","",ORÇAMENTO!T37)</f>
        <v>62.3</v>
      </c>
      <c r="H37" s="122" cm="1">
        <f t="array" aca="1" ref="H37" ca="1">IF(RegimeExecucao="Global","",ORÇAMENTO!W37)</f>
        <v>17.78</v>
      </c>
      <c r="I37" s="125">
        <f ca="1">ORÇAMENTO!X37</f>
        <v>1107.69</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F</v>
      </c>
      <c r="D38" s="117" t="str">
        <f ca="1">ORÇAMENTO!O38</f>
        <v>1.4.2.0.7.</v>
      </c>
      <c r="E38" s="163" t="str">
        <f t="shared" ca="1" si="2"/>
        <v>ARMAÇÃO DE BLOCO UTILIZANDO AÇO CA-60 DE 5 MM - MONTAGEM. AF_01/2024</v>
      </c>
      <c r="F38" s="164" t="str" cm="1">
        <f t="array" aca="1" ref="F38" ca="1">IF(RegimeExecucao="Global","",ORÇAMENTO.Unidade)</f>
        <v>KG</v>
      </c>
      <c r="G38" s="122" cm="1">
        <f t="array" aca="1" ref="G38" ca="1">IF(RegimeExecucao="Global","",ORÇAMENTO!T38)</f>
        <v>357.77</v>
      </c>
      <c r="H38" s="122" cm="1">
        <f t="array" aca="1" ref="H38" ca="1">IF(RegimeExecucao="Global","",ORÇAMENTO!W38)</f>
        <v>25.62</v>
      </c>
      <c r="I38" s="125">
        <f ca="1">ORÇAMENTO!X38</f>
        <v>9166.07</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4" t="str">
        <f t="shared" ca="1" si="1"/>
        <v>F</v>
      </c>
      <c r="D39" s="117" t="str">
        <f ca="1">ORÇAMENTO!O39</f>
        <v>1.4.2.0.8.</v>
      </c>
      <c r="E39" s="163" t="str">
        <f t="shared" ca="1" si="2"/>
        <v>CONCRETAGEM DE BLOCO DE COROAMENTO OU VIGA BALDRAME, FCK 30 MPA, COM USO DE BOMBA - LANÇAMENTO, ADENSAMENTO E ACABAMENTO. AF_01/2024</v>
      </c>
      <c r="F39" s="164" t="str" cm="1">
        <f t="array" aca="1" ref="F39" ca="1">IF(RegimeExecucao="Global","",ORÇAMENTO.Unidade)</f>
        <v>M3</v>
      </c>
      <c r="G39" s="122" cm="1">
        <f t="array" aca="1" ref="G39" ca="1">IF(RegimeExecucao="Global","",ORÇAMENTO!T39)</f>
        <v>52</v>
      </c>
      <c r="H39" s="122" cm="1">
        <f t="array" aca="1" ref="H39" ca="1">IF(RegimeExecucao="Global","",ORÇAMENTO!W39)</f>
        <v>929.56</v>
      </c>
      <c r="I39" s="125">
        <f ca="1">ORÇAMENTO!X39</f>
        <v>48337.120000000003</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3</v>
      </c>
      <c r="B40">
        <f ca="1">ORÇAMENTO!D40</f>
        <v>5</v>
      </c>
      <c r="C40" s="114" t="str">
        <f t="shared" ca="1" si="1"/>
        <v>F</v>
      </c>
      <c r="D40" s="117" t="str">
        <f ca="1">ORÇAMENTO!O40</f>
        <v>1.4.3.</v>
      </c>
      <c r="E40" s="163" t="str">
        <f t="shared" si="2"/>
        <v>PILARES DE ARRANQUE</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35261.519999999997</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51" x14ac:dyDescent="0.2">
      <c r="A41" t="str">
        <f ca="1">ORÇAMENTO!C41</f>
        <v>S</v>
      </c>
      <c r="B41">
        <f ca="1">ORÇAMENTO!D41</f>
        <v>0</v>
      </c>
      <c r="C41" s="114" t="str">
        <f t="shared" ca="1" si="1"/>
        <v>F</v>
      </c>
      <c r="D41" s="117" t="str">
        <f ca="1">ORÇAMENTO!O41</f>
        <v>1.4.3.0.1.</v>
      </c>
      <c r="E41" s="163" t="str">
        <f t="shared" ca="1" si="2"/>
        <v>MONTAGEM E DESMONTAGEM DE FÔRMA DE PILARES RETANGULARES E ESTRUTURAS SIMILARES, PÉ-DIREITO SIMPLES, EM CHAPA DE MADEIRA COMPENSADA PLASTIFICADA, 14 UTILIZAÇÕES. AF_09/2020</v>
      </c>
      <c r="F41" s="164" t="str" cm="1">
        <f t="array" aca="1" ref="F41" ca="1">IF(RegimeExecucao="Global","",ORÇAMENTO.Unidade)</f>
        <v>M2</v>
      </c>
      <c r="G41" s="122" cm="1">
        <f t="array" aca="1" ref="G41" ca="1">IF(RegimeExecucao="Global","",ORÇAMENTO!T41)</f>
        <v>21.9</v>
      </c>
      <c r="H41" s="122" cm="1">
        <f t="array" aca="1" ref="H41" ca="1">IF(RegimeExecucao="Global","",ORÇAMENTO!W41)</f>
        <v>76.97</v>
      </c>
      <c r="I41" s="125">
        <f ca="1">ORÇAMENTO!X41</f>
        <v>1685.64</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t="shared" ca="1" si="1"/>
        <v>F</v>
      </c>
      <c r="D42" s="117" t="str">
        <f ca="1">ORÇAMENTO!O42</f>
        <v>1.4.3.0.2.</v>
      </c>
      <c r="E42" s="163" t="str">
        <f t="shared" ca="1" si="2"/>
        <v>ARMAÇÃO DE PILAR OU VIGA DE ESTRUTURA DE CONCRETO ARMADO EMBUTIDA EM ALVENARIA DE VEDAÇÃO UTILIZANDO AÇO CA-60 DE 5,0 MM - MONTAGEM. AF_06/2022</v>
      </c>
      <c r="F42" s="164" t="str" cm="1">
        <f t="array" aca="1" ref="F42" ca="1">IF(RegimeExecucao="Global","",ORÇAMENTO.Unidade)</f>
        <v>KG</v>
      </c>
      <c r="G42" s="122" cm="1">
        <f t="array" aca="1" ref="G42" ca="1">IF(RegimeExecucao="Global","",ORÇAMENTO!T42)</f>
        <v>249.45</v>
      </c>
      <c r="H42" s="122" cm="1">
        <f t="array" aca="1" ref="H42" ca="1">IF(RegimeExecucao="Global","",ORÇAMENTO!W42)</f>
        <v>26.21</v>
      </c>
      <c r="I42" s="125">
        <f ca="1">ORÇAMENTO!X42</f>
        <v>6538.08</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t="shared" ca="1" si="1"/>
        <v>F</v>
      </c>
      <c r="D43" s="117" t="str">
        <f ca="1">ORÇAMENTO!O43</f>
        <v>1.4.3.0.3.</v>
      </c>
      <c r="E43" s="163" t="str">
        <f t="shared" ca="1" si="2"/>
        <v>ARMAÇÃO DE PILAR OU VIGA DE ESTRUTURA DE CONCRETO ARMADO EMBUTIDA EM ALVENARIA DE VEDAÇÃO UTILIZANDO AÇO CA-50 DE 10,0 MM - MONTAGEM. AF_06/2022</v>
      </c>
      <c r="F43" s="164" t="str" cm="1">
        <f t="array" aca="1" ref="F43" ca="1">IF(RegimeExecucao="Global","",ORÇAMENTO.Unidade)</f>
        <v>KG</v>
      </c>
      <c r="G43" s="122" cm="1">
        <f t="array" aca="1" ref="G43" ca="1">IF(RegimeExecucao="Global","",ORÇAMENTO!T43)</f>
        <v>819.3</v>
      </c>
      <c r="H43" s="122" cm="1">
        <f t="array" aca="1" ref="H43" ca="1">IF(RegimeExecucao="Global","",ORÇAMENTO!W43)</f>
        <v>16.14</v>
      </c>
      <c r="I43" s="125">
        <f ca="1">ORÇAMENTO!X43</f>
        <v>13223.5</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4" t="str">
        <f t="shared" ca="1" si="1"/>
        <v>F</v>
      </c>
      <c r="D44" s="117" t="str">
        <f ca="1">ORÇAMENTO!O44</f>
        <v>1.4.3.0.4.</v>
      </c>
      <c r="E44" s="163" t="str">
        <f t="shared" ca="1" si="2"/>
        <v>CONCRETAGEM DE PILARES, FCK = 25 MPA, COM USO DE BOMBA - LANÇAMENTO, ADENSAMENTO E ACABAMENTO. AF_02/2022_PS</v>
      </c>
      <c r="F44" s="164" t="str" cm="1">
        <f t="array" aca="1" ref="F44" ca="1">IF(RegimeExecucao="Global","",ORÇAMENTO.Unidade)</f>
        <v>M3</v>
      </c>
      <c r="G44" s="122" cm="1">
        <f t="array" aca="1" ref="G44" ca="1">IF(RegimeExecucao="Global","",ORÇAMENTO!T44)</f>
        <v>15.95</v>
      </c>
      <c r="H44" s="122" cm="1">
        <f t="array" aca="1" ref="H44" ca="1">IF(RegimeExecucao="Global","",ORÇAMENTO!W44)</f>
        <v>866.1</v>
      </c>
      <c r="I44" s="125">
        <f ca="1">ORÇAMENTO!X44</f>
        <v>13814.3</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3</v>
      </c>
      <c r="B45">
        <f ca="1">ORÇAMENTO!D45</f>
        <v>5</v>
      </c>
      <c r="C45" s="114" t="str">
        <f t="shared" ca="1" si="1"/>
        <v>F</v>
      </c>
      <c r="D45" s="117" t="str">
        <f ca="1">ORÇAMENTO!O45</f>
        <v>1.4.4.</v>
      </c>
      <c r="E45" s="163" t="str">
        <f t="shared" si="2"/>
        <v>VIGAS DE AMARRAÇÃO - FUNDAÇÃO</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51587.57</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4" t="str">
        <f t="shared" ca="1" si="1"/>
        <v>F</v>
      </c>
      <c r="D46" s="117" t="str">
        <f ca="1">ORÇAMENTO!O46</f>
        <v>1.4.4.0.1.</v>
      </c>
      <c r="E46" s="163" t="str">
        <f t="shared" ca="1" si="2"/>
        <v>MONTAGEM E DESMONTAGEM DE FÔRMA DE VIGA, ESCORAMENTO COM GARFO DE MADEIRA, PÉ-DIREITO SIMPLES, EM CHAPA DE MADEIRA PLASTIFICADA, 18 UTILIZAÇÕES. AF_09/2020</v>
      </c>
      <c r="F46" s="164" t="str" cm="1">
        <f t="array" aca="1" ref="F46" ca="1">IF(RegimeExecucao="Global","",ORÇAMENTO.Unidade)</f>
        <v>M2</v>
      </c>
      <c r="G46" s="122" cm="1">
        <f t="array" aca="1" ref="G46" ca="1">IF(RegimeExecucao="Global","",ORÇAMENTO!T46)</f>
        <v>26.13</v>
      </c>
      <c r="H46" s="122" cm="1">
        <f t="array" aca="1" ref="H46" ca="1">IF(RegimeExecucao="Global","",ORÇAMENTO!W46)</f>
        <v>88.45</v>
      </c>
      <c r="I46" s="125">
        <f ca="1">ORÇAMENTO!X46</f>
        <v>2311.1999999999998</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1"/>
        <v>F</v>
      </c>
      <c r="D47" s="117" t="str">
        <f ca="1">ORÇAMENTO!O47</f>
        <v>1.4.4.0.2.</v>
      </c>
      <c r="E47" s="163" t="str">
        <f t="shared" ca="1" si="2"/>
        <v>ARMAÇÃO DE PILAR OU VIGA DE ESTRUTURA CONVENCIONAL DE CONCRETO ARMADO UTILIZANDO AÇO CA-60 DE 5,0 MM - MONTAGEM. AF_06/2022</v>
      </c>
      <c r="F47" s="164" t="str" cm="1">
        <f t="array" aca="1" ref="F47" ca="1">IF(RegimeExecucao="Global","",ORÇAMENTO.Unidade)</f>
        <v>KG</v>
      </c>
      <c r="G47" s="122" cm="1">
        <f t="array" aca="1" ref="G47" ca="1">IF(RegimeExecucao="Global","",ORÇAMENTO!T47)</f>
        <v>352</v>
      </c>
      <c r="H47" s="122" cm="1">
        <f t="array" aca="1" ref="H47" ca="1">IF(RegimeExecucao="Global","",ORÇAMENTO!W47)</f>
        <v>17.809999999999999</v>
      </c>
      <c r="I47" s="125">
        <f ca="1">ORÇAMENTO!X47</f>
        <v>6269.12</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14" t="str">
        <f t="shared" ca="1" si="1"/>
        <v>F</v>
      </c>
      <c r="D48" s="117" t="str">
        <f ca="1">ORÇAMENTO!O48</f>
        <v>1.4.4.0.3.</v>
      </c>
      <c r="E48" s="163" t="str">
        <f t="shared" ca="1" si="2"/>
        <v>ARMAÇÃO DE PILAR OU VIGA DE ESTRUTURA CONVENCIONAL DE CONCRETO ARMADO UTILIZANDO AÇO CA-50 DE 10,0 MM - MONTAGEM. AF_06/2022</v>
      </c>
      <c r="F48" s="164" t="str" cm="1">
        <f t="array" aca="1" ref="F48" ca="1">IF(RegimeExecucao="Global","",ORÇAMENTO.Unidade)</f>
        <v>KG</v>
      </c>
      <c r="G48" s="122" cm="1">
        <f t="array" aca="1" ref="G48" ca="1">IF(RegimeExecucao="Global","",ORÇAMENTO!T48)</f>
        <v>1354</v>
      </c>
      <c r="H48" s="122" cm="1">
        <f t="array" aca="1" ref="H48" ca="1">IF(RegimeExecucao="Global","",ORÇAMENTO!W48)</f>
        <v>13.8</v>
      </c>
      <c r="I48" s="125">
        <f ca="1">ORÇAMENTO!X48</f>
        <v>18685.2</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4" t="str">
        <f t="shared" ca="1" si="1"/>
        <v>F</v>
      </c>
      <c r="D49" s="117" t="str">
        <f ca="1">ORÇAMENTO!O49</f>
        <v>1.4.4.0.4.</v>
      </c>
      <c r="E49" s="163" t="str">
        <f t="shared" ca="1" si="2"/>
        <v>CONCRETAGEM DE VIGAS E LAJES, FCK=25 MPA, PARA LAJES MACIÇAS OU NERVURADAS COM USO DE BOMBA - LANÇAMENTO, ADENSAMENTO E ACABAMENTO. AF_02/2022_PS</v>
      </c>
      <c r="F49" s="164" t="str" cm="1">
        <f t="array" aca="1" ref="F49" ca="1">IF(RegimeExecucao="Global","",ORÇAMENTO.Unidade)</f>
        <v>M3</v>
      </c>
      <c r="G49" s="122" cm="1">
        <f t="array" aca="1" ref="G49" ca="1">IF(RegimeExecucao="Global","",ORÇAMENTO!T49)</f>
        <v>28.08</v>
      </c>
      <c r="H49" s="122" cm="1">
        <f t="array" aca="1" ref="H49" ca="1">IF(RegimeExecucao="Global","",ORÇAMENTO!W49)</f>
        <v>866.17</v>
      </c>
      <c r="I49" s="125">
        <f ca="1">ORÇAMENTO!X49</f>
        <v>24322.05</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3</v>
      </c>
      <c r="B50">
        <f ca="1">ORÇAMENTO!D50</f>
        <v>5</v>
      </c>
      <c r="C50" s="114" t="str">
        <f t="shared" ca="1" si="1"/>
        <v>F</v>
      </c>
      <c r="D50" s="117" t="str">
        <f ca="1">ORÇAMENTO!O50</f>
        <v>1.4.5.</v>
      </c>
      <c r="E50" s="163" t="str">
        <f t="shared" si="2"/>
        <v>PILOTIS</v>
      </c>
      <c r="F50" s="164" t="str" cm="1">
        <f t="array" aca="1" ref="F50" ca="1">IF(RegimeExecucao="Global","",ORÇAMENTO.Unidade)</f>
        <v>-</v>
      </c>
      <c r="G50" s="122" cm="1">
        <f t="array" aca="1" ref="G50" ca="1">IF(RegimeExecucao="Global","",ORÇAMENTO!T50)</f>
        <v>0</v>
      </c>
      <c r="H50" s="122" cm="1">
        <f t="array" aca="1" ref="H50" ca="1">IF(RegimeExecucao="Global","",ORÇAMENTO!W50)</f>
        <v>0</v>
      </c>
      <c r="I50" s="125">
        <f ca="1">ORÇAMENTO!X50</f>
        <v>24876.83</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51" x14ac:dyDescent="0.2">
      <c r="A51" t="str">
        <f ca="1">ORÇAMENTO!C51</f>
        <v>S</v>
      </c>
      <c r="B51">
        <f ca="1">ORÇAMENTO!D51</f>
        <v>0</v>
      </c>
      <c r="C51" s="114" t="str">
        <f t="shared" ca="1" si="1"/>
        <v>F</v>
      </c>
      <c r="D51" s="117" t="str">
        <f ca="1">ORÇAMENTO!O51</f>
        <v>1.4.5.0.1.</v>
      </c>
      <c r="E51" s="163" t="str">
        <f t="shared" ca="1" si="2"/>
        <v>MONTAGEM E DESMONTAGEM DE FÔRMA DE PILARES RETANGULARES E ESTRUTURAS SIMILARES, PÉ-DIREITO SIMPLES, EM CHAPA DE MADEIRA COMPENSADA PLASTIFICADA, 14 UTILIZAÇÕES. AF_09/2020</v>
      </c>
      <c r="F51" s="164" t="str" cm="1">
        <f t="array" aca="1" ref="F51" ca="1">IF(RegimeExecucao="Global","",ORÇAMENTO.Unidade)</f>
        <v>M2</v>
      </c>
      <c r="G51" s="122" cm="1">
        <f t="array" aca="1" ref="G51" ca="1">IF(RegimeExecucao="Global","",ORÇAMENTO!T51)</f>
        <v>14.37</v>
      </c>
      <c r="H51" s="122" cm="1">
        <f t="array" aca="1" ref="H51" ca="1">IF(RegimeExecucao="Global","",ORÇAMENTO!W51)</f>
        <v>76.97</v>
      </c>
      <c r="I51" s="125">
        <f ca="1">ORÇAMENTO!X51</f>
        <v>1106.06</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4" t="str">
        <f t="shared" ca="1" si="1"/>
        <v>F</v>
      </c>
      <c r="D52" s="117" t="str">
        <f ca="1">ORÇAMENTO!O52</f>
        <v>1.4.5.0.2.</v>
      </c>
      <c r="E52" s="163" t="str">
        <f t="shared" ca="1" si="2"/>
        <v>ARMAÇÃO DE PILAR OU VIGA DE ESTRUTURA DE CONCRETO ARMADO EMBUTIDA EM ALVENARIA DE VEDAÇÃO UTILIZANDO AÇO CA-60 DE 5,0 MM - MONTAGEM. AF_06/2022</v>
      </c>
      <c r="F52" s="164" t="str" cm="1">
        <f t="array" aca="1" ref="F52" ca="1">IF(RegimeExecucao="Global","",ORÇAMENTO.Unidade)</f>
        <v>KG</v>
      </c>
      <c r="G52" s="122" cm="1">
        <f t="array" aca="1" ref="G52" ca="1">IF(RegimeExecucao="Global","",ORÇAMENTO!T52)</f>
        <v>212.13</v>
      </c>
      <c r="H52" s="122" cm="1">
        <f t="array" aca="1" ref="H52" ca="1">IF(RegimeExecucao="Global","",ORÇAMENTO!W52)</f>
        <v>26.21</v>
      </c>
      <c r="I52" s="125">
        <f ca="1">ORÇAMENTO!X52</f>
        <v>5559.93</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F</v>
      </c>
      <c r="D53" s="117" t="str">
        <f ca="1">ORÇAMENTO!O53</f>
        <v>1.4.5.0.3.</v>
      </c>
      <c r="E53" s="163" t="str">
        <f t="shared" ca="1" si="2"/>
        <v>ARMAÇÃO DE PILAR OU VIGA DE ESTRUTURA DE CONCRETO ARMADO EMBUTIDA EM ALVENARIA DE VEDAÇÃO UTILIZANDO AÇO CA-50 DE 10,0 MM - MONTAGEM. AF_06/2022</v>
      </c>
      <c r="F53" s="164" t="str" cm="1">
        <f t="array" aca="1" ref="F53" ca="1">IF(RegimeExecucao="Global","",ORÇAMENTO.Unidade)</f>
        <v>KG</v>
      </c>
      <c r="G53" s="122" cm="1">
        <f t="array" aca="1" ref="G53" ca="1">IF(RegimeExecucao="Global","",ORÇAMENTO!T53)</f>
        <v>496.17</v>
      </c>
      <c r="H53" s="122" cm="1">
        <f t="array" aca="1" ref="H53" ca="1">IF(RegimeExecucao="Global","",ORÇAMENTO!W53)</f>
        <v>16.14</v>
      </c>
      <c r="I53" s="125">
        <f ca="1">ORÇAMENTO!X53</f>
        <v>8008.18</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4" t="str">
        <f t="shared" ca="1" si="1"/>
        <v>F</v>
      </c>
      <c r="D54" s="117" t="str">
        <f ca="1">ORÇAMENTO!O54</f>
        <v>1.4.5.0.4.</v>
      </c>
      <c r="E54" s="163" t="str">
        <f t="shared" ca="1" si="2"/>
        <v>CONCRETAGEM DE PILARES, FCK = 25 MPA, COM USO DE BOMBA - LANÇAMENTO, ADENSAMENTO E ACABAMENTO. AF_02/2022_PS</v>
      </c>
      <c r="F54" s="164" t="str" cm="1">
        <f t="array" aca="1" ref="F54" ca="1">IF(RegimeExecucao="Global","",ORÇAMENTO.Unidade)</f>
        <v>M3</v>
      </c>
      <c r="G54" s="122" cm="1">
        <f t="array" aca="1" ref="G54" ca="1">IF(RegimeExecucao="Global","",ORÇAMENTO!T54)</f>
        <v>11.78</v>
      </c>
      <c r="H54" s="122" cm="1">
        <f t="array" aca="1" ref="H54" ca="1">IF(RegimeExecucao="Global","",ORÇAMENTO!W54)</f>
        <v>866.1</v>
      </c>
      <c r="I54" s="125">
        <f ca="1">ORÇAMENTO!X54</f>
        <v>10202.66</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f ca="1">ORÇAMENTO!C55</f>
        <v>3</v>
      </c>
      <c r="B55">
        <f ca="1">ORÇAMENTO!D55</f>
        <v>7</v>
      </c>
      <c r="C55" s="114" t="str">
        <f t="shared" ca="1" si="1"/>
        <v>F</v>
      </c>
      <c r="D55" s="117" t="str">
        <f ca="1">ORÇAMENTO!O55</f>
        <v>1.4.6.</v>
      </c>
      <c r="E55" s="163" t="str">
        <f t="shared" si="2"/>
        <v>VIGAS BALDRAME</v>
      </c>
      <c r="F55" s="164" t="str" cm="1">
        <f t="array" aca="1" ref="F55" ca="1">IF(RegimeExecucao="Global","",ORÇAMENTO.Unidade)</f>
        <v>-</v>
      </c>
      <c r="G55" s="122" cm="1">
        <f t="array" aca="1" ref="G55" ca="1">IF(RegimeExecucao="Global","",ORÇAMENTO!T55)</f>
        <v>0</v>
      </c>
      <c r="H55" s="122" cm="1">
        <f t="array" aca="1" ref="H55" ca="1">IF(RegimeExecucao="Global","",ORÇAMENTO!W55)</f>
        <v>0</v>
      </c>
      <c r="I55" s="125">
        <f ca="1">ORÇAMENTO!X55</f>
        <v>84051.67</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4" t="str">
        <f t="shared" ca="1" si="1"/>
        <v>F</v>
      </c>
      <c r="D56" s="117" t="str">
        <f ca="1">ORÇAMENTO!O56</f>
        <v>1.4.6.0.1.</v>
      </c>
      <c r="E56" s="163" t="str">
        <f t="shared" ca="1" si="2"/>
        <v>MONTAGEM E DESMONTAGEM DE FÔRMA DE VIGA, ESCORAMENTO COM GARFO DE MADEIRA, PÉ-DIREITO SIMPLES, EM CHAPA DE MADEIRA PLASTIFICADA, 18 UTILIZAÇÕES. AF_09/2020</v>
      </c>
      <c r="F56" s="164" t="str" cm="1">
        <f t="array" aca="1" ref="F56" ca="1">IF(RegimeExecucao="Global","",ORÇAMENTO.Unidade)</f>
        <v>M2</v>
      </c>
      <c r="G56" s="122" cm="1">
        <f t="array" aca="1" ref="G56" ca="1">IF(RegimeExecucao="Global","",ORÇAMENTO!T56)</f>
        <v>43.05</v>
      </c>
      <c r="H56" s="122" cm="1">
        <f t="array" aca="1" ref="H56" ca="1">IF(RegimeExecucao="Global","",ORÇAMENTO!W56)</f>
        <v>88.45</v>
      </c>
      <c r="I56" s="125">
        <f ca="1">ORÇAMENTO!X56</f>
        <v>3807.77</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14" t="str">
        <f t="shared" ca="1" si="1"/>
        <v>F</v>
      </c>
      <c r="D57" s="117" t="str">
        <f ca="1">ORÇAMENTO!O57</f>
        <v>1.4.6.0.2.</v>
      </c>
      <c r="E57" s="163" t="str">
        <f t="shared" ca="1" si="2"/>
        <v>ARMAÇÃO DE PILAR OU VIGA DE ESTRUTURA CONVENCIONAL DE CONCRETO ARMADO UTILIZANDO AÇO CA-60 DE 5,0 MM - MONTAGEM. AF_06/2022</v>
      </c>
      <c r="F57" s="164" t="str" cm="1">
        <f t="array" aca="1" ref="F57" ca="1">IF(RegimeExecucao="Global","",ORÇAMENTO.Unidade)</f>
        <v>KG</v>
      </c>
      <c r="G57" s="122" cm="1">
        <f t="array" aca="1" ref="G57" ca="1">IF(RegimeExecucao="Global","",ORÇAMENTO!T57)</f>
        <v>576.54</v>
      </c>
      <c r="H57" s="122" cm="1">
        <f t="array" aca="1" ref="H57" ca="1">IF(RegimeExecucao="Global","",ORÇAMENTO!W57)</f>
        <v>17.809999999999999</v>
      </c>
      <c r="I57" s="125">
        <f ca="1">ORÇAMENTO!X57</f>
        <v>10268.18</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4" t="str">
        <f t="shared" ca="1" si="1"/>
        <v>F</v>
      </c>
      <c r="D58" s="117" t="str">
        <f ca="1">ORÇAMENTO!O58</f>
        <v>1.4.6.0.3.</v>
      </c>
      <c r="E58" s="163" t="str">
        <f t="shared" ca="1" si="2"/>
        <v>ARMAÇÃO DE PILAR OU VIGA DE ESTRUTURA CONVENCIONAL DE CONCRETO ARMADO UTILIZANDO AÇO CA-50 DE 8,0 MM - MONTAGEM. AF_06/2022</v>
      </c>
      <c r="F58" s="164" t="str" cm="1">
        <f t="array" aca="1" ref="F58" ca="1">IF(RegimeExecucao="Global","",ORÇAMENTO.Unidade)</f>
        <v>KG</v>
      </c>
      <c r="G58" s="122" cm="1">
        <f t="array" aca="1" ref="G58" ca="1">IF(RegimeExecucao="Global","",ORÇAMENTO!T58)</f>
        <v>670.5</v>
      </c>
      <c r="H58" s="122" cm="1">
        <f t="array" aca="1" ref="H58" ca="1">IF(RegimeExecucao="Global","",ORÇAMENTO!W58)</f>
        <v>15.54</v>
      </c>
      <c r="I58" s="125">
        <f ca="1">ORÇAMENTO!X58</f>
        <v>10419.57</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38.25" x14ac:dyDescent="0.2">
      <c r="A59" t="str">
        <f ca="1">ORÇAMENTO!C59</f>
        <v>S</v>
      </c>
      <c r="B59">
        <f ca="1">ORÇAMENTO!D59</f>
        <v>0</v>
      </c>
      <c r="C59" s="114" t="str">
        <f t="shared" ca="1" si="1"/>
        <v>F</v>
      </c>
      <c r="D59" s="117" t="str">
        <f ca="1">ORÇAMENTO!O59</f>
        <v>1.4.6.0.4.</v>
      </c>
      <c r="E59" s="163" t="str">
        <f t="shared" ca="1" si="2"/>
        <v>ARMAÇÃO DE PILAR OU VIGA DE ESTRUTURA CONVENCIONAL DE CONCRETO ARMADO UTILIZANDO AÇO CA-50 DE 10,0 MM - MONTAGEM. AF_06/2022</v>
      </c>
      <c r="F59" s="164" t="str" cm="1">
        <f t="array" aca="1" ref="F59" ca="1">IF(RegimeExecucao="Global","",ORÇAMENTO.Unidade)</f>
        <v>KG</v>
      </c>
      <c r="G59" s="122" cm="1">
        <f t="array" aca="1" ref="G59" ca="1">IF(RegimeExecucao="Global","",ORÇAMENTO!T59)</f>
        <v>1234.8</v>
      </c>
      <c r="H59" s="122" cm="1">
        <f t="array" aca="1" ref="H59" ca="1">IF(RegimeExecucao="Global","",ORÇAMENTO!W59)</f>
        <v>13.8</v>
      </c>
      <c r="I59" s="125">
        <f ca="1">ORÇAMENTO!X59</f>
        <v>17040.240000000002</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38.25" x14ac:dyDescent="0.2">
      <c r="A60" t="str">
        <f ca="1">ORÇAMENTO!C60</f>
        <v>S</v>
      </c>
      <c r="B60">
        <f ca="1">ORÇAMENTO!D60</f>
        <v>0</v>
      </c>
      <c r="C60" s="114" t="str">
        <f t="shared" ca="1" si="1"/>
        <v>F</v>
      </c>
      <c r="D60" s="117" t="str">
        <f ca="1">ORÇAMENTO!O60</f>
        <v>1.4.6.0.5.</v>
      </c>
      <c r="E60" s="163" t="str">
        <f t="shared" ca="1" si="2"/>
        <v>CONCRETAGEM DE VIGAS E LAJES, FCK=25 MPA, PARA LAJES MACIÇAS OU NERVURADAS COM USO DE BOMBA - LANÇAMENTO, ADENSAMENTO E ACABAMENTO. AF_02/2022_PS</v>
      </c>
      <c r="F60" s="164" t="str" cm="1">
        <f t="array" aca="1" ref="F60" ca="1">IF(RegimeExecucao="Global","",ORÇAMENTO.Unidade)</f>
        <v>M3</v>
      </c>
      <c r="G60" s="122" cm="1">
        <f t="array" aca="1" ref="G60" ca="1">IF(RegimeExecucao="Global","",ORÇAMENTO!T60)</f>
        <v>46.08</v>
      </c>
      <c r="H60" s="122" cm="1">
        <f t="array" aca="1" ref="H60" ca="1">IF(RegimeExecucao="Global","",ORÇAMENTO!W60)</f>
        <v>866.17</v>
      </c>
      <c r="I60" s="125">
        <f ca="1">ORÇAMENTO!X60</f>
        <v>39913.11</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4" t="str">
        <f t="shared" ca="1" si="1"/>
        <v>F</v>
      </c>
      <c r="D61" s="117" t="str">
        <f ca="1">ORÇAMENTO!O61</f>
        <v>1.4.6.0.6.</v>
      </c>
      <c r="E61" s="163" t="str">
        <f t="shared" ca="1" si="2"/>
        <v>IMPERMEABILIZAÇÃO DE SUPERFÍCIE COM EMULSÃO ASFÁLTICA, 2 DEMÃOS. AF_09/2023</v>
      </c>
      <c r="F61" s="164" t="str" cm="1">
        <f t="array" aca="1" ref="F61" ca="1">IF(RegimeExecucao="Global","",ORÇAMENTO.Unidade)</f>
        <v>M2</v>
      </c>
      <c r="G61" s="122" cm="1">
        <f t="array" aca="1" ref="G61" ca="1">IF(RegimeExecucao="Global","",ORÇAMENTO!T61)</f>
        <v>43.05</v>
      </c>
      <c r="H61" s="122" cm="1">
        <f t="array" aca="1" ref="H61" ca="1">IF(RegimeExecucao="Global","",ORÇAMENTO!W61)</f>
        <v>60.46</v>
      </c>
      <c r="I61" s="125">
        <f ca="1">ORÇAMENTO!X61</f>
        <v>2602.8000000000002</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3</v>
      </c>
      <c r="B62">
        <f ca="1">ORÇAMENTO!D62</f>
        <v>9</v>
      </c>
      <c r="C62" s="114" t="str">
        <f t="shared" ca="1" si="1"/>
        <v>F</v>
      </c>
      <c r="D62" s="117" t="str">
        <f ca="1">ORÇAMENTO!O62</f>
        <v>1.4.7.</v>
      </c>
      <c r="E62" s="163" t="str">
        <f t="shared" si="2"/>
        <v>VIGAS - TÉRREO</v>
      </c>
      <c r="F62" s="164" t="str" cm="1">
        <f t="array" aca="1" ref="F62" ca="1">IF(RegimeExecucao="Global","",ORÇAMENTO.Unidade)</f>
        <v>-</v>
      </c>
      <c r="G62" s="122" cm="1">
        <f t="array" aca="1" ref="G62" ca="1">IF(RegimeExecucao="Global","",ORÇAMENTO!T62)</f>
        <v>0</v>
      </c>
      <c r="H62" s="122" cm="1">
        <f t="array" aca="1" ref="H62" ca="1">IF(RegimeExecucao="Global","",ORÇAMENTO!W62)</f>
        <v>0</v>
      </c>
      <c r="I62" s="125">
        <f ca="1">ORÇAMENTO!X62</f>
        <v>72296.429999999993</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38.25" x14ac:dyDescent="0.2">
      <c r="A63" t="str">
        <f ca="1">ORÇAMENTO!C63</f>
        <v>S</v>
      </c>
      <c r="B63">
        <f ca="1">ORÇAMENTO!D63</f>
        <v>0</v>
      </c>
      <c r="C63" s="114" t="str">
        <f t="shared" ca="1" si="1"/>
        <v>F</v>
      </c>
      <c r="D63" s="117" t="str">
        <f ca="1">ORÇAMENTO!O63</f>
        <v>1.4.7.0.1.</v>
      </c>
      <c r="E63" s="163" t="str">
        <f t="shared" ca="1" si="2"/>
        <v>MONTAGEM E DESMONTAGEM DE FÔRMA DE VIGA, ESCORAMENTO COM GARFO DE MADEIRA, PÉ-DIREITO SIMPLES, EM CHAPA DE MADEIRA PLASTIFICADA, 18 UTILIZAÇÕES. AF_09/2020</v>
      </c>
      <c r="F63" s="164" t="str" cm="1">
        <f t="array" aca="1" ref="F63" ca="1">IF(RegimeExecucao="Global","",ORÇAMENTO.Unidade)</f>
        <v>M2</v>
      </c>
      <c r="G63" s="122" cm="1">
        <f t="array" aca="1" ref="G63" ca="1">IF(RegimeExecucao="Global","",ORÇAMENTO!T63)</f>
        <v>28.67</v>
      </c>
      <c r="H63" s="122" cm="1">
        <f t="array" aca="1" ref="H63" ca="1">IF(RegimeExecucao="Global","",ORÇAMENTO!W63)</f>
        <v>88.45</v>
      </c>
      <c r="I63" s="125">
        <f ca="1">ORÇAMENTO!X63</f>
        <v>2535.86</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14" t="str">
        <f t="shared" ca="1" si="1"/>
        <v>F</v>
      </c>
      <c r="D64" s="117" t="str">
        <f ca="1">ORÇAMENTO!O64</f>
        <v>1.4.7.0.2.</v>
      </c>
      <c r="E64" s="163" t="str">
        <f t="shared" ca="1" si="2"/>
        <v>ARMAÇÃO DE PILAR OU VIGA DE ESTRUTURA CONVENCIONAL DE CONCRETO ARMADO UTILIZANDO AÇO CA-60 DE 5,0 MM - MONTAGEM. AF_06/2022</v>
      </c>
      <c r="F64" s="164" t="str" cm="1">
        <f t="array" aca="1" ref="F64" ca="1">IF(RegimeExecucao="Global","",ORÇAMENTO.Unidade)</f>
        <v>KG</v>
      </c>
      <c r="G64" s="122" cm="1">
        <f t="array" aca="1" ref="G64" ca="1">IF(RegimeExecucao="Global","",ORÇAMENTO!T64)</f>
        <v>643.55999999999995</v>
      </c>
      <c r="H64" s="122" cm="1">
        <f t="array" aca="1" ref="H64" ca="1">IF(RegimeExecucao="Global","",ORÇAMENTO!W64)</f>
        <v>17.809999999999999</v>
      </c>
      <c r="I64" s="125">
        <f ca="1">ORÇAMENTO!X64</f>
        <v>11461.8</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38.25" x14ac:dyDescent="0.2">
      <c r="A65" t="str">
        <f ca="1">ORÇAMENTO!C65</f>
        <v>S</v>
      </c>
      <c r="B65">
        <f ca="1">ORÇAMENTO!D65</f>
        <v>0</v>
      </c>
      <c r="C65" s="114" t="str">
        <f t="shared" ca="1" si="1"/>
        <v>F</v>
      </c>
      <c r="D65" s="117" t="str">
        <f ca="1">ORÇAMENTO!O65</f>
        <v>1.4.7.0.3.</v>
      </c>
      <c r="E65" s="163" t="str">
        <f t="shared" ca="1" si="2"/>
        <v>ARMAÇÃO DE PILAR OU VIGA DE ESTRUTURA CONVENCIONAL DE CONCRETO ARMADO UTILIZANDO AÇO CA-50 DE 8,0 MM - MONTAGEM. AF_06/2022</v>
      </c>
      <c r="F65" s="164" t="str" cm="1">
        <f t="array" aca="1" ref="F65" ca="1">IF(RegimeExecucao="Global","",ORÇAMENTO.Unidade)</f>
        <v>KG</v>
      </c>
      <c r="G65" s="122" cm="1">
        <f t="array" aca="1" ref="G65" ca="1">IF(RegimeExecucao="Global","",ORÇAMENTO!T65)</f>
        <v>522.72</v>
      </c>
      <c r="H65" s="122" cm="1">
        <f t="array" aca="1" ref="H65" ca="1">IF(RegimeExecucao="Global","",ORÇAMENTO!W65)</f>
        <v>15.54</v>
      </c>
      <c r="I65" s="125">
        <f ca="1">ORÇAMENTO!X65</f>
        <v>8123.07</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38.25" x14ac:dyDescent="0.2">
      <c r="A66" t="str">
        <f ca="1">ORÇAMENTO!C66</f>
        <v>S</v>
      </c>
      <c r="B66">
        <f ca="1">ORÇAMENTO!D66</f>
        <v>0</v>
      </c>
      <c r="C66" s="114" t="str">
        <f t="shared" ca="1" si="1"/>
        <v>F</v>
      </c>
      <c r="D66" s="117" t="str">
        <f ca="1">ORÇAMENTO!O66</f>
        <v>1.4.7.0.4.</v>
      </c>
      <c r="E66" s="163" t="str">
        <f t="shared" ca="1" si="2"/>
        <v>ARMAÇÃO DE PILAR OU VIGA DE ESTRUTURA CONVENCIONAL DE CONCRETO ARMADO UTILIZANDO AÇO CA-50 DE 10,0 MM - MONTAGEM. AF_06/2022</v>
      </c>
      <c r="F66" s="164" t="str" cm="1">
        <f t="array" aca="1" ref="F66" ca="1">IF(RegimeExecucao="Global","",ORÇAMENTO.Unidade)</f>
        <v>KG</v>
      </c>
      <c r="G66" s="122" cm="1">
        <f t="array" aca="1" ref="G66" ca="1">IF(RegimeExecucao="Global","",ORÇAMENTO!T66)</f>
        <v>519.24</v>
      </c>
      <c r="H66" s="122" cm="1">
        <f t="array" aca="1" ref="H66" ca="1">IF(RegimeExecucao="Global","",ORÇAMENTO!W66)</f>
        <v>13.8</v>
      </c>
      <c r="I66" s="125">
        <f ca="1">ORÇAMENTO!X66</f>
        <v>7165.51</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F</v>
      </c>
      <c r="D67" s="117" t="str">
        <f ca="1">ORÇAMENTO!O67</f>
        <v>1.4.7.0.5.</v>
      </c>
      <c r="E67" s="163" t="str">
        <f t="shared" ca="1" si="2"/>
        <v>ARMAÇÃO DE PILAR OU VIGA DE ESTRUTURA CONVENCIONAL DE CONCRETO ARMADO UTILIZANDO AÇO CA-50 DE 12,5 MM - MONTAGEM. AF_06/2022</v>
      </c>
      <c r="F67" s="164" t="str" cm="1">
        <f t="array" aca="1" ref="F67" ca="1">IF(RegimeExecucao="Global","",ORÇAMENTO.Unidade)</f>
        <v>KG</v>
      </c>
      <c r="G67" s="122" cm="1">
        <f t="array" aca="1" ref="G67" ca="1">IF(RegimeExecucao="Global","",ORÇAMENTO!T67)</f>
        <v>908.04</v>
      </c>
      <c r="H67" s="122" cm="1">
        <f t="array" aca="1" ref="H67" ca="1">IF(RegimeExecucao="Global","",ORÇAMENTO!W67)</f>
        <v>11.57</v>
      </c>
      <c r="I67" s="125">
        <f ca="1">ORÇAMENTO!X67</f>
        <v>10506.02</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38.25" x14ac:dyDescent="0.2">
      <c r="A68" t="str">
        <f ca="1">ORÇAMENTO!C68</f>
        <v>S</v>
      </c>
      <c r="B68">
        <f ca="1">ORÇAMENTO!D68</f>
        <v>0</v>
      </c>
      <c r="C68" s="114" t="str">
        <f ca="1">IF(OR($I68&gt;0,$A68=1,$A68=2,$A68=3,$A68=4),"F","")</f>
        <v>F</v>
      </c>
      <c r="D68" s="117" t="str">
        <f ca="1">ORÇAMENTO!O68</f>
        <v>1.4.7.0.6.</v>
      </c>
      <c r="E68" s="163" t="str">
        <f ca="1">ORÇAMENTO.Descricao</f>
        <v>ARMAÇÃO DE PILAR OU VIGA DE ESTRUTURA CONVENCIONAL DE CONCRETO ARMADO UTILIZANDO AÇO CA-50 DE 16,0 MM - MONTAGEM. AF_06/2022</v>
      </c>
      <c r="F68" s="164" t="str" cm="1">
        <f t="array" aca="1" ref="F68" ca="1">IF(RegimeExecucao="Global","",ORÇAMENTO.Unidade)</f>
        <v>KG</v>
      </c>
      <c r="G68" s="122" cm="1">
        <f t="array" aca="1" ref="G68" ca="1">IF(RegimeExecucao="Global","",ORÇAMENTO!T68)</f>
        <v>149.28</v>
      </c>
      <c r="H68" s="122" cm="1">
        <f t="array" aca="1" ref="H68" ca="1">IF(RegimeExecucao="Global","",ORÇAMENTO!W68)</f>
        <v>11.17</v>
      </c>
      <c r="I68" s="125">
        <f ca="1">ORÇAMENTO!X68</f>
        <v>1667.46</v>
      </c>
      <c r="J68" s="333" cm="1">
        <f t="array" aca="1" ref="J68" ca="1">IF($A68="S",IF(CAIXA.Modo,BM.AFAnterior,BM.MEDAnterior),IF(AND(RegimeExecucao="Global",$I68&gt;0,COUNTIF($AB$13:$AM$13,BM.medicao-1)&gt;0),M68/$I68*100,0))</f>
        <v>0</v>
      </c>
      <c r="K68" s="122">
        <f ca="1">L68-J68</f>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ca="1">O68-M68</f>
        <v>0</v>
      </c>
      <c r="O68" s="125" cm="1">
        <f t="array" aca="1" ref="O68" ca="1">IF($A68="S",VTOTALBM,IF($A68=0,0,ROUND(SomaAgrupBM,15-13*ORÇAMENTO!$AF$11)))</f>
        <v>0</v>
      </c>
      <c r="Q68" s="337"/>
      <c r="R68" s="338"/>
      <c r="T68" s="117" t="str">
        <f ca="1">IF($W68&gt;0,$D68,"")</f>
        <v/>
      </c>
      <c r="U68" s="163" t="str">
        <f ca="1">IF($W68&gt;0,$E68,"")</f>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ca="1">AO68-O68</f>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38.25" x14ac:dyDescent="0.2">
      <c r="A69" t="str">
        <f ca="1">ORÇAMENTO!C69</f>
        <v>S</v>
      </c>
      <c r="B69">
        <f ca="1">ORÇAMENTO!D69</f>
        <v>0</v>
      </c>
      <c r="C69" s="114" t="str">
        <f t="shared" ca="1" si="1"/>
        <v>F</v>
      </c>
      <c r="D69" s="117" t="str">
        <f ca="1">ORÇAMENTO!O69</f>
        <v>1.4.7.0.7.</v>
      </c>
      <c r="E69" s="163" t="str">
        <f t="shared" ca="1" si="2"/>
        <v>CONCRETAGEM DE VIGAS E LAJES, FCK=25 MPA, PARA LAJES MACIÇAS OU NERVURADAS COM USO DE BOMBA - LANÇAMENTO, ADENSAMENTO E ACABAMENTO. AF_02/2022_PS</v>
      </c>
      <c r="F69" s="164" t="str" cm="1">
        <f t="array" aca="1" ref="F69" ca="1">IF(RegimeExecucao="Global","",ORÇAMENTO.Unidade)</f>
        <v>M3</v>
      </c>
      <c r="G69" s="122" cm="1">
        <f t="array" aca="1" ref="G69" ca="1">IF(RegimeExecucao="Global","",ORÇAMENTO!T69)</f>
        <v>30.72</v>
      </c>
      <c r="H69" s="122" cm="1">
        <f t="array" aca="1" ref="H69" ca="1">IF(RegimeExecucao="Global","",ORÇAMENTO!W69)</f>
        <v>866.17</v>
      </c>
      <c r="I69" s="125">
        <f ca="1">ORÇAMENTO!X69</f>
        <v>26608.74</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4" t="str">
        <f ca="1">IF(OR($I70&gt;0,$A70=1,$A70=2,$A70=3,$A70=4),"F","")</f>
        <v>F</v>
      </c>
      <c r="D70" s="117" t="str">
        <f ca="1">ORÇAMENTO!O70</f>
        <v>1.4.7.0.8.</v>
      </c>
      <c r="E70" s="163" t="str">
        <f ca="1">ORÇAMENTO.Descricao</f>
        <v>IMPERMEABILIZAÇÃO DE SUPERFÍCIE COM EMULSÃO ASFÁLTICA, 2 DEMÃOS. AF_09/2023</v>
      </c>
      <c r="F70" s="164" t="str" cm="1">
        <f t="array" aca="1" ref="F70" ca="1">IF(RegimeExecucao="Global","",ORÇAMENTO.Unidade)</f>
        <v>M2</v>
      </c>
      <c r="G70" s="122" cm="1">
        <f t="array" aca="1" ref="G70" ca="1">IF(RegimeExecucao="Global","",ORÇAMENTO!T70)</f>
        <v>69.930000000000007</v>
      </c>
      <c r="H70" s="122" cm="1">
        <f t="array" aca="1" ref="H70" ca="1">IF(RegimeExecucao="Global","",ORÇAMENTO!W70)</f>
        <v>60.46</v>
      </c>
      <c r="I70" s="125">
        <f ca="1">ORÇAMENTO!X70</f>
        <v>4227.97</v>
      </c>
      <c r="J70" s="333" cm="1">
        <f t="array" aca="1" ref="J70" ca="1">IF($A70="S",IF(CAIXA.Modo,BM.AFAnterior,BM.MEDAnterior),IF(AND(RegimeExecucao="Global",$I70&gt;0,COUNTIF($AB$13:$AM$13,BM.medicao-1)&gt;0),M70/$I70*100,0))</f>
        <v>0</v>
      </c>
      <c r="K70" s="122">
        <f ca="1">L70-J70</f>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ca="1">O70-M70</f>
        <v>0</v>
      </c>
      <c r="O70" s="125" cm="1">
        <f t="array" aca="1" ref="O70" ca="1">IF($A70="S",VTOTALBM,IF($A70=0,0,ROUND(SomaAgrupBM,15-13*ORÇAMENTO!$AF$11)))</f>
        <v>0</v>
      </c>
      <c r="Q70" s="337"/>
      <c r="R70" s="338"/>
      <c r="T70" s="117" t="str">
        <f ca="1">IF($W70&gt;0,$D70,"")</f>
        <v/>
      </c>
      <c r="U70" s="163" t="str">
        <f ca="1">IF($W70&gt;0,$E70,"")</f>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ca="1">AO70-O70</f>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f ca="1">ORÇAMENTO!C71</f>
        <v>3</v>
      </c>
      <c r="B71">
        <f ca="1">ORÇAMENTO!D71</f>
        <v>6</v>
      </c>
      <c r="C71" s="114" t="str">
        <f t="shared" ca="1" si="1"/>
        <v>F</v>
      </c>
      <c r="D71" s="117" t="str">
        <f ca="1">ORÇAMENTO!O71</f>
        <v>1.4.8.</v>
      </c>
      <c r="E71" s="163" t="str">
        <f t="shared" si="2"/>
        <v>LAJES - TÉRREO</v>
      </c>
      <c r="F71" s="164" t="str" cm="1">
        <f t="array" aca="1" ref="F71" ca="1">IF(RegimeExecucao="Global","",ORÇAMENTO.Unidade)</f>
        <v>-</v>
      </c>
      <c r="G71" s="122" cm="1">
        <f t="array" aca="1" ref="G71" ca="1">IF(RegimeExecucao="Global","",ORÇAMENTO!T71)</f>
        <v>0</v>
      </c>
      <c r="H71" s="122" cm="1">
        <f t="array" aca="1" ref="H71" ca="1">IF(RegimeExecucao="Global","",ORÇAMENTO!W71)</f>
        <v>0</v>
      </c>
      <c r="I71" s="125">
        <f ca="1">ORÇAMENTO!X71</f>
        <v>132854.92000000001</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38.25" x14ac:dyDescent="0.2">
      <c r="A72" t="str">
        <f ca="1">ORÇAMENTO!C72</f>
        <v>S</v>
      </c>
      <c r="B72">
        <f ca="1">ORÇAMENTO!D72</f>
        <v>0</v>
      </c>
      <c r="C72" s="114" t="str">
        <f t="shared" ca="1" si="1"/>
        <v>F</v>
      </c>
      <c r="D72" s="117" t="str">
        <f ca="1">ORÇAMENTO!O72</f>
        <v>1.4.8.0.1.</v>
      </c>
      <c r="E72" s="163" t="str">
        <f t="shared" ca="1" si="2"/>
        <v>LAJE PRÉ-MOLDADA UNIDIRECIONAL, BIAPOIADA, PARA PISO, ENCHIMENTO EM CERÂMICA, VIGOTA TRELIÇADA, ALTURA TOTAL DA LAJE "LT" = 16 CM (ENCHIMENTO+CAPA) = (12+4)</v>
      </c>
      <c r="F72" s="164" t="str" cm="1">
        <f t="array" aca="1" ref="F72" ca="1">IF(RegimeExecucao="Global","",ORÇAMENTO.Unidade)</f>
        <v>M2</v>
      </c>
      <c r="G72" s="122" cm="1">
        <f t="array" aca="1" ref="G72" ca="1">IF(RegimeExecucao="Global","",ORÇAMENTO!T72)</f>
        <v>453.84</v>
      </c>
      <c r="H72" s="122" cm="1">
        <f t="array" aca="1" ref="H72" ca="1">IF(RegimeExecucao="Global","",ORÇAMENTO!W72)</f>
        <v>279.94</v>
      </c>
      <c r="I72" s="125">
        <f ca="1">ORÇAMENTO!X72</f>
        <v>127047.97</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t="str">
        <f ca="1">ORÇAMENTO!C73</f>
        <v>S</v>
      </c>
      <c r="B73">
        <f ca="1">ORÇAMENTO!D73</f>
        <v>0</v>
      </c>
      <c r="C73" s="114" t="str">
        <f t="shared" ca="1" si="1"/>
        <v>F</v>
      </c>
      <c r="D73" s="117" t="str">
        <f ca="1">ORÇAMENTO!O73</f>
        <v>1.4.8.0.2.</v>
      </c>
      <c r="E73" s="163" t="str">
        <f t="shared" ca="1" si="2"/>
        <v>ACO CA-50, 6,3 MM, DOBRADO E CORTADO</v>
      </c>
      <c r="F73" s="164" t="str" cm="1">
        <f t="array" aca="1" ref="F73" ca="1">IF(RegimeExecucao="Global","",ORÇAMENTO.Unidade)</f>
        <v>KG</v>
      </c>
      <c r="G73" s="122" cm="1">
        <f t="array" aca="1" ref="G73" ca="1">IF(RegimeExecucao="Global","",ORÇAMENTO!T73)</f>
        <v>172.8</v>
      </c>
      <c r="H73" s="122" cm="1">
        <f t="array" aca="1" ref="H73" ca="1">IF(RegimeExecucao="Global","",ORÇAMENTO!W73)</f>
        <v>11.76</v>
      </c>
      <c r="I73" s="125">
        <f ca="1">ORÇAMENTO!X73</f>
        <v>2032.13</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x14ac:dyDescent="0.2">
      <c r="A74" t="str">
        <f ca="1">ORÇAMENTO!C74</f>
        <v>S</v>
      </c>
      <c r="B74">
        <f ca="1">ORÇAMENTO!D74</f>
        <v>0</v>
      </c>
      <c r="C74" s="114" t="str">
        <f t="shared" ca="1" si="1"/>
        <v>F</v>
      </c>
      <c r="D74" s="117" t="str">
        <f ca="1">ORÇAMENTO!O74</f>
        <v>1.4.8.0.3.</v>
      </c>
      <c r="E74" s="163" t="str">
        <f t="shared" ca="1" si="2"/>
        <v>ACO CA-50, 8,0 MM, VERGALHAO</v>
      </c>
      <c r="F74" s="164" t="str" cm="1">
        <f t="array" aca="1" ref="F74" ca="1">IF(RegimeExecucao="Global","",ORÇAMENTO.Unidade)</f>
        <v>KG</v>
      </c>
      <c r="G74" s="122" cm="1">
        <f t="array" aca="1" ref="G74" ca="1">IF(RegimeExecucao="Global","",ORÇAMENTO!T74)</f>
        <v>150.47999999999999</v>
      </c>
      <c r="H74" s="122" cm="1">
        <f t="array" aca="1" ref="H74" ca="1">IF(RegimeExecucao="Global","",ORÇAMENTO!W74)</f>
        <v>10.63</v>
      </c>
      <c r="I74" s="125">
        <f ca="1">ORÇAMENTO!X74</f>
        <v>1599.6</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t="str">
        <f ca="1">ORÇAMENTO!C75</f>
        <v>S</v>
      </c>
      <c r="B75">
        <f ca="1">ORÇAMENTO!D75</f>
        <v>0</v>
      </c>
      <c r="C75" s="114" t="str">
        <f t="shared" ca="1" si="1"/>
        <v>F</v>
      </c>
      <c r="D75" s="117" t="str">
        <f ca="1">ORÇAMENTO!O75</f>
        <v>1.4.8.0.4.</v>
      </c>
      <c r="E75" s="163" t="str">
        <f t="shared" ca="1" si="2"/>
        <v>ACO CA-50, 10,0 MM, VERGALHAO</v>
      </c>
      <c r="F75" s="164" t="str" cm="1">
        <f t="array" aca="1" ref="F75" ca="1">IF(RegimeExecucao="Global","",ORÇAMENTO.Unidade)</f>
        <v>KG</v>
      </c>
      <c r="G75" s="122" cm="1">
        <f t="array" aca="1" ref="G75" ca="1">IF(RegimeExecucao="Global","",ORÇAMENTO!T75)</f>
        <v>130.19999999999999</v>
      </c>
      <c r="H75" s="122" cm="1">
        <f t="array" aca="1" ref="H75" ca="1">IF(RegimeExecucao="Global","",ORÇAMENTO!W75)</f>
        <v>10.02</v>
      </c>
      <c r="I75" s="125">
        <f ca="1">ORÇAMENTO!X75</f>
        <v>1304.5999999999999</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25.5" x14ac:dyDescent="0.2">
      <c r="A76" t="str">
        <f ca="1">ORÇAMENTO!C76</f>
        <v>S</v>
      </c>
      <c r="B76">
        <f ca="1">ORÇAMENTO!D76</f>
        <v>0</v>
      </c>
      <c r="C76" s="114" t="str">
        <f t="shared" ca="1" si="1"/>
        <v>F</v>
      </c>
      <c r="D76" s="117" t="str">
        <f ca="1">ORÇAMENTO!O76</f>
        <v>1.4.8.0.5.</v>
      </c>
      <c r="E76" s="163" t="str">
        <f t="shared" ca="1" si="2"/>
        <v>IMPERMEABILIZAÇÃO DE SUPERFÍCIE COM EMULSÃO ASFÁLTICA, 2 DEMÃOS. AF_09/2023</v>
      </c>
      <c r="F76" s="164" t="str" cm="1">
        <f t="array" aca="1" ref="F76" ca="1">IF(RegimeExecucao="Global","",ORÇAMENTO.Unidade)</f>
        <v>M2</v>
      </c>
      <c r="G76" s="122" cm="1">
        <f t="array" aca="1" ref="G76" ca="1">IF(RegimeExecucao="Global","",ORÇAMENTO!T76)</f>
        <v>14.4</v>
      </c>
      <c r="H76" s="122" cm="1">
        <f t="array" aca="1" ref="H76" ca="1">IF(RegimeExecucao="Global","",ORÇAMENTO!W76)</f>
        <v>60.46</v>
      </c>
      <c r="I76" s="125">
        <f ca="1">ORÇAMENTO!X76</f>
        <v>870.62</v>
      </c>
      <c r="J76" s="333" cm="1">
        <f t="array" aca="1" ref="J76" ca="1">IF($A76="S",IF(CAIXA.Modo,BM.AFAnterior,BM.MEDAnterior),IF(AND(RegimeExecucao="Global",$I76&gt;0,COUNTIF($AB$13:$AM$13,BM.medicao-1)&gt;0),M76/$I76*100,0))</f>
        <v>0</v>
      </c>
      <c r="K76" s="122">
        <f t="shared" ca="1" si="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4"/>
        <v>0</v>
      </c>
      <c r="O76" s="125" cm="1">
        <f t="array" aca="1" ref="O76" ca="1">IF($A76="S",VTOTALBM,IF($A76=0,0,ROUND(SomaAgrupBM,15-13*ORÇAMENTO!$AF$11)))</f>
        <v>0</v>
      </c>
      <c r="Q76" s="337"/>
      <c r="R76" s="338"/>
      <c r="T76" s="117" t="str">
        <f t="shared" ca="1" si="5"/>
        <v/>
      </c>
      <c r="U76" s="163" t="str">
        <f t="shared" ca="1" si="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f ca="1">ORÇAMENTO!C77</f>
        <v>3</v>
      </c>
      <c r="B77">
        <f ca="1">ORÇAMENTO!D77</f>
        <v>5</v>
      </c>
      <c r="C77" s="114" t="str">
        <f t="shared" ca="1" si="1"/>
        <v>F</v>
      </c>
      <c r="D77" s="117" t="str">
        <f ca="1">ORÇAMENTO!O77</f>
        <v>1.4.9.</v>
      </c>
      <c r="E77" s="163" t="str">
        <f t="shared" si="2"/>
        <v>PILARES - TÉRREO</v>
      </c>
      <c r="F77" s="164" t="str" cm="1">
        <f t="array" aca="1" ref="F77" ca="1">IF(RegimeExecucao="Global","",ORÇAMENTO.Unidade)</f>
        <v>-</v>
      </c>
      <c r="G77" s="122" cm="1">
        <f t="array" aca="1" ref="G77" ca="1">IF(RegimeExecucao="Global","",ORÇAMENTO!T77)</f>
        <v>0</v>
      </c>
      <c r="H77" s="122" cm="1">
        <f t="array" aca="1" ref="H77" ca="1">IF(RegimeExecucao="Global","",ORÇAMENTO!W77)</f>
        <v>0</v>
      </c>
      <c r="I77" s="125">
        <f ca="1">ORÇAMENTO!X77</f>
        <v>92026.26</v>
      </c>
      <c r="J77" s="333" cm="1">
        <f t="array" aca="1" ref="J77" ca="1">IF($A77="S",IF(CAIXA.Modo,BM.AFAnterior,BM.MEDAnterior),IF(AND(RegimeExecucao="Global",$I77&gt;0,COUNTIF($AB$13:$AM$13,BM.medicao-1)&gt;0),M77/$I77*100,0))</f>
        <v>0</v>
      </c>
      <c r="K77" s="122">
        <f t="shared" ca="1" si="3"/>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4"/>
        <v>0</v>
      </c>
      <c r="O77" s="125" cm="1">
        <f t="array" aca="1" ref="O77" ca="1">IF($A77="S",VTOTALBM,IF($A77=0,0,ROUND(SomaAgrupBM,15-13*ORÇAMENTO!$AF$11)))</f>
        <v>0</v>
      </c>
      <c r="Q77" s="337"/>
      <c r="R77" s="338"/>
      <c r="T77" s="117" t="str">
        <f t="shared" ca="1" si="5"/>
        <v/>
      </c>
      <c r="U77" s="163" t="str">
        <f t="shared" ca="1" si="6"/>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51" x14ac:dyDescent="0.2">
      <c r="A78" t="str">
        <f ca="1">ORÇAMENTO!C78</f>
        <v>S</v>
      </c>
      <c r="B78">
        <f ca="1">ORÇAMENTO!D78</f>
        <v>0</v>
      </c>
      <c r="C78" s="114" t="str">
        <f t="shared" ca="1" si="1"/>
        <v>F</v>
      </c>
      <c r="D78" s="117" t="str">
        <f ca="1">ORÇAMENTO!O78</f>
        <v>1.4.9.0.1.</v>
      </c>
      <c r="E78" s="163" t="str">
        <f t="shared" ca="1" si="2"/>
        <v>MONTAGEM E DESMONTAGEM DE FÔRMA DE PILARES RETANGULARES E ESTRUTURAS SIMILARES, PÉ-DIREITO SIMPLES, EM CHAPA DE MADEIRA COMPENSADA PLASTIFICADA, 14 UTILIZAÇÕES. AF_09/2020</v>
      </c>
      <c r="F78" s="164" t="str" cm="1">
        <f t="array" aca="1" ref="F78" ca="1">IF(RegimeExecucao="Global","",ORÇAMENTO.Unidade)</f>
        <v>M2</v>
      </c>
      <c r="G78" s="122" cm="1">
        <f t="array" aca="1" ref="G78" ca="1">IF(RegimeExecucao="Global","",ORÇAMENTO!T78)</f>
        <v>53.93</v>
      </c>
      <c r="H78" s="122" cm="1">
        <f t="array" aca="1" ref="H78" ca="1">IF(RegimeExecucao="Global","",ORÇAMENTO!W78)</f>
        <v>76.97</v>
      </c>
      <c r="I78" s="125">
        <f ca="1">ORÇAMENTO!X78</f>
        <v>4150.99</v>
      </c>
      <c r="J78" s="333" cm="1">
        <f t="array" aca="1" ref="J78" ca="1">IF($A78="S",IF(CAIXA.Modo,BM.AFAnterior,BM.MEDAnterior),IF(AND(RegimeExecucao="Global",$I78&gt;0,COUNTIF($AB$13:$AM$13,BM.medicao-1)&gt;0),M78/$I78*100,0))</f>
        <v>0</v>
      </c>
      <c r="K78" s="122">
        <f t="shared" ca="1" si="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4"/>
        <v>0</v>
      </c>
      <c r="O78" s="125" cm="1">
        <f t="array" aca="1" ref="O78" ca="1">IF($A78="S",VTOTALBM,IF($A78=0,0,ROUND(SomaAgrupBM,15-13*ORÇAMENTO!$AF$11)))</f>
        <v>0</v>
      </c>
      <c r="Q78" s="337"/>
      <c r="R78" s="338"/>
      <c r="T78" s="117" t="str">
        <f t="shared" ca="1" si="5"/>
        <v/>
      </c>
      <c r="U78" s="163" t="str">
        <f t="shared" ca="1" si="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38.25" x14ac:dyDescent="0.2">
      <c r="A79" t="str">
        <f ca="1">ORÇAMENTO!C79</f>
        <v>S</v>
      </c>
      <c r="B79">
        <f ca="1">ORÇAMENTO!D79</f>
        <v>0</v>
      </c>
      <c r="C79" s="114" t="str">
        <f t="shared" ca="1" si="1"/>
        <v>F</v>
      </c>
      <c r="D79" s="117" t="str">
        <f ca="1">ORÇAMENTO!O79</f>
        <v>1.4.9.0.2.</v>
      </c>
      <c r="E79" s="163" t="str">
        <f t="shared" ca="1" si="2"/>
        <v>ARMAÇÃO DE PILAR OU VIGA DE ESTRUTURA DE CONCRETO ARMADO EMBUTIDA EM ALVENARIA DE VEDAÇÃO UTILIZANDO AÇO CA-60 DE 5,0 MM - MONTAGEM. AF_06/2022</v>
      </c>
      <c r="F79" s="164" t="str" cm="1">
        <f t="array" aca="1" ref="F79" ca="1">IF(RegimeExecucao="Global","",ORÇAMENTO.Unidade)</f>
        <v>KG</v>
      </c>
      <c r="G79" s="122" cm="1">
        <f t="array" aca="1" ref="G79" ca="1">IF(RegimeExecucao="Global","",ORÇAMENTO!T79)</f>
        <v>859.8</v>
      </c>
      <c r="H79" s="122" cm="1">
        <f t="array" aca="1" ref="H79" ca="1">IF(RegimeExecucao="Global","",ORÇAMENTO!W79)</f>
        <v>26.21</v>
      </c>
      <c r="I79" s="125">
        <f ca="1">ORÇAMENTO!X79</f>
        <v>22535.360000000001</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38.25" x14ac:dyDescent="0.2">
      <c r="A80" t="str">
        <f ca="1">ORÇAMENTO!C80</f>
        <v>S</v>
      </c>
      <c r="B80">
        <f ca="1">ORÇAMENTO!D80</f>
        <v>0</v>
      </c>
      <c r="C80" s="114" t="str">
        <f t="shared" ca="1" si="1"/>
        <v>F</v>
      </c>
      <c r="D80" s="117" t="str">
        <f ca="1">ORÇAMENTO!O80</f>
        <v>1.4.9.0.3.</v>
      </c>
      <c r="E80" s="163" t="str">
        <f t="shared" ca="1" si="2"/>
        <v>ARMAÇÃO DE PILAR OU VIGA DE ESTRUTURA DE CONCRETO ARMADO EMBUTIDA EM ALVENARIA DE VEDAÇÃO UTILIZANDO AÇO CA-50 DE 10,0 MM - MONTAGEM. AF_06/2022</v>
      </c>
      <c r="F80" s="164" t="str" cm="1">
        <f t="array" aca="1" ref="F80" ca="1">IF(RegimeExecucao="Global","",ORÇAMENTO.Unidade)</f>
        <v>KG</v>
      </c>
      <c r="G80" s="122" cm="1">
        <f t="array" aca="1" ref="G80" ca="1">IF(RegimeExecucao="Global","",ORÇAMENTO!T80)</f>
        <v>2116.5</v>
      </c>
      <c r="H80" s="122" cm="1">
        <f t="array" aca="1" ref="H80" ca="1">IF(RegimeExecucao="Global","",ORÇAMENTO!W80)</f>
        <v>16.14</v>
      </c>
      <c r="I80" s="125">
        <f ca="1">ORÇAMENTO!X80</f>
        <v>34160.31</v>
      </c>
      <c r="J80" s="333" cm="1">
        <f t="array" aca="1" ref="J80" ca="1">IF($A80="S",IF(CAIXA.Modo,BM.AFAnterior,BM.MEDAnterior),IF(AND(RegimeExecucao="Global",$I80&gt;0,COUNTIF($AB$13:$AM$13,BM.medicao-1)&gt;0),M80/$I80*100,0))</f>
        <v>0</v>
      </c>
      <c r="K80" s="122">
        <f t="shared" ca="1" si="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4"/>
        <v>0</v>
      </c>
      <c r="O80" s="125" cm="1">
        <f t="array" aca="1" ref="O80" ca="1">IF($A80="S",VTOTALBM,IF($A80=0,0,ROUND(SomaAgrupBM,15-13*ORÇAMENTO!$AF$11)))</f>
        <v>0</v>
      </c>
      <c r="Q80" s="337"/>
      <c r="R80" s="338"/>
      <c r="T80" s="117" t="str">
        <f t="shared" ca="1" si="5"/>
        <v/>
      </c>
      <c r="U80" s="163" t="str">
        <f t="shared" ca="1" si="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25.5" x14ac:dyDescent="0.2">
      <c r="A81" t="str">
        <f ca="1">ORÇAMENTO!C81</f>
        <v>S</v>
      </c>
      <c r="B81">
        <f ca="1">ORÇAMENTO!D81</f>
        <v>0</v>
      </c>
      <c r="C81" s="114" t="str">
        <f t="shared" ca="1" si="1"/>
        <v>F</v>
      </c>
      <c r="D81" s="117" t="str">
        <f ca="1">ORÇAMENTO!O81</f>
        <v>1.4.9.0.4.</v>
      </c>
      <c r="E81" s="163" t="str">
        <f t="shared" ca="1" si="2"/>
        <v>CONCRETAGEM DE PILARES, FCK = 25 MPA, COM USO DE BOMBA - LANÇAMENTO, ADENSAMENTO E ACABAMENTO. AF_02/2022_PS</v>
      </c>
      <c r="F81" s="164" t="str" cm="1">
        <f t="array" aca="1" ref="F81" ca="1">IF(RegimeExecucao="Global","",ORÇAMENTO.Unidade)</f>
        <v>M3</v>
      </c>
      <c r="G81" s="122" cm="1">
        <f t="array" aca="1" ref="G81" ca="1">IF(RegimeExecucao="Global","",ORÇAMENTO!T81)</f>
        <v>36</v>
      </c>
      <c r="H81" s="122" cm="1">
        <f t="array" aca="1" ref="H81" ca="1">IF(RegimeExecucao="Global","",ORÇAMENTO!W81)</f>
        <v>866.1</v>
      </c>
      <c r="I81" s="125">
        <f ca="1">ORÇAMENTO!X81</f>
        <v>31179.599999999999</v>
      </c>
      <c r="J81" s="333" cm="1">
        <f t="array" aca="1" ref="J81" ca="1">IF($A81="S",IF(CAIXA.Modo,BM.AFAnterior,BM.MEDAnterior),IF(AND(RegimeExecucao="Global",$I81&gt;0,COUNTIF($AB$13:$AM$13,BM.medicao-1)&gt;0),M81/$I81*100,0))</f>
        <v>0</v>
      </c>
      <c r="K81" s="122">
        <f t="shared" ca="1" si="3"/>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4"/>
        <v>0</v>
      </c>
      <c r="O81" s="125" cm="1">
        <f t="array" aca="1" ref="O81" ca="1">IF($A81="S",VTOTALBM,IF($A81=0,0,ROUND(SomaAgrupBM,15-13*ORÇAMENTO!$AF$11)))</f>
        <v>0</v>
      </c>
      <c r="Q81" s="337"/>
      <c r="R81" s="338"/>
      <c r="T81" s="117" t="str">
        <f t="shared" ca="1" si="5"/>
        <v/>
      </c>
      <c r="U81" s="163" t="str">
        <f t="shared" ca="1" si="6"/>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7"/>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f ca="1">ORÇAMENTO!C82</f>
        <v>3</v>
      </c>
      <c r="B82">
        <f ca="1">ORÇAMENTO!D82</f>
        <v>7</v>
      </c>
      <c r="C82" s="114" t="str">
        <f t="shared" ca="1" si="1"/>
        <v>F</v>
      </c>
      <c r="D82" s="117" t="str">
        <f ca="1">ORÇAMENTO!O82</f>
        <v>1.4.10.</v>
      </c>
      <c r="E82" s="163" t="str">
        <f t="shared" si="2"/>
        <v>VIGAS DE AMARRAÇÃO - COBERTURA</v>
      </c>
      <c r="F82" s="164" t="str" cm="1">
        <f t="array" aca="1" ref="F82" ca="1">IF(RegimeExecucao="Global","",ORÇAMENTO.Unidade)</f>
        <v>-</v>
      </c>
      <c r="G82" s="122" cm="1">
        <f t="array" aca="1" ref="G82" ca="1">IF(RegimeExecucao="Global","",ORÇAMENTO!T82)</f>
        <v>0</v>
      </c>
      <c r="H82" s="122" cm="1">
        <f t="array" aca="1" ref="H82" ca="1">IF(RegimeExecucao="Global","",ORÇAMENTO!W82)</f>
        <v>0</v>
      </c>
      <c r="I82" s="125">
        <f ca="1">ORÇAMENTO!X82</f>
        <v>111624.12</v>
      </c>
      <c r="J82" s="333" cm="1">
        <f t="array" aca="1" ref="J82" ca="1">IF($A82="S",IF(CAIXA.Modo,BM.AFAnterior,BM.MEDAnterior),IF(AND(RegimeExecucao="Global",$I82&gt;0,COUNTIF($AB$13:$AM$13,BM.medicao-1)&gt;0),M82/$I82*100,0))</f>
        <v>0</v>
      </c>
      <c r="K82" s="122">
        <f t="shared" ca="1" si="3"/>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4"/>
        <v>0</v>
      </c>
      <c r="O82" s="125" cm="1">
        <f t="array" aca="1" ref="O82" ca="1">IF($A82="S",VTOTALBM,IF($A82=0,0,ROUND(SomaAgrupBM,15-13*ORÇAMENTO!$AF$11)))</f>
        <v>0</v>
      </c>
      <c r="Q82" s="337"/>
      <c r="R82" s="338"/>
      <c r="T82" s="117" t="str">
        <f t="shared" ca="1" si="5"/>
        <v/>
      </c>
      <c r="U82" s="163" t="str">
        <f t="shared" ca="1" si="6"/>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7"/>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ht="38.25" x14ac:dyDescent="0.2">
      <c r="A83" t="str">
        <f ca="1">ORÇAMENTO!C83</f>
        <v>S</v>
      </c>
      <c r="B83">
        <f ca="1">ORÇAMENTO!D83</f>
        <v>0</v>
      </c>
      <c r="C83" s="114" t="str">
        <f t="shared" ca="1" si="1"/>
        <v>F</v>
      </c>
      <c r="D83" s="117" t="str">
        <f ca="1">ORÇAMENTO!O83</f>
        <v>1.4.10.0.1.</v>
      </c>
      <c r="E83" s="163" t="str">
        <f t="shared" ca="1" si="2"/>
        <v>MONTAGEM E DESMONTAGEM DE FÔRMA DE VIGA, ESCORAMENTO COM GARFO DE MADEIRA, PÉ-DIREITO SIMPLES, EM CHAPA DE MADEIRA PLASTIFICADA, 18 UTILIZAÇÕES. AF_09/2020</v>
      </c>
      <c r="F83" s="164" t="str" cm="1">
        <f t="array" aca="1" ref="F83" ca="1">IF(RegimeExecucao="Global","",ORÇAMENTO.Unidade)</f>
        <v>M2</v>
      </c>
      <c r="G83" s="122" cm="1">
        <f t="array" aca="1" ref="G83" ca="1">IF(RegimeExecucao="Global","",ORÇAMENTO!T83)</f>
        <v>6.86</v>
      </c>
      <c r="H83" s="122" cm="1">
        <f t="array" aca="1" ref="H83" ca="1">IF(RegimeExecucao="Global","",ORÇAMENTO!W83)</f>
        <v>88.45</v>
      </c>
      <c r="I83" s="125">
        <f ca="1">ORÇAMENTO!X83</f>
        <v>606.77</v>
      </c>
      <c r="J83" s="333" cm="1">
        <f t="array" aca="1" ref="J83" ca="1">IF($A83="S",IF(CAIXA.Modo,BM.AFAnterior,BM.MEDAnterior),IF(AND(RegimeExecucao="Global",$I83&gt;0,COUNTIF($AB$13:$AM$13,BM.medicao-1)&gt;0),M83/$I83*100,0))</f>
        <v>0</v>
      </c>
      <c r="K83" s="122">
        <f t="shared" ca="1" si="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4"/>
        <v>0</v>
      </c>
      <c r="O83" s="125" cm="1">
        <f t="array" aca="1" ref="O83" ca="1">IF($A83="S",VTOTALBM,IF($A83=0,0,ROUND(SomaAgrupBM,15-13*ORÇAMENTO!$AF$11)))</f>
        <v>0</v>
      </c>
      <c r="Q83" s="337"/>
      <c r="R83" s="338"/>
      <c r="T83" s="117" t="str">
        <f t="shared" ca="1" si="5"/>
        <v/>
      </c>
      <c r="U83" s="163" t="str">
        <f t="shared" ca="1" si="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38.25" x14ac:dyDescent="0.2">
      <c r="A84" t="str">
        <f ca="1">ORÇAMENTO!C84</f>
        <v>S</v>
      </c>
      <c r="B84">
        <f ca="1">ORÇAMENTO!D84</f>
        <v>0</v>
      </c>
      <c r="C84" s="114" t="str">
        <f t="shared" ca="1" si="1"/>
        <v>F</v>
      </c>
      <c r="D84" s="117" t="str">
        <f ca="1">ORÇAMENTO!O84</f>
        <v>1.4.10.0.2.</v>
      </c>
      <c r="E84" s="163" t="str">
        <f t="shared" ca="1" si="2"/>
        <v>ARMAÇÃO DE PILAR OU VIGA DE ESTRUTURA CONVENCIONAL DE CONCRETO ARMADO UTILIZANDO AÇO CA-60 DE 5,0 MM - MONTAGEM. AF_06/2022</v>
      </c>
      <c r="F84" s="164" t="str" cm="1">
        <f t="array" aca="1" ref="F84" ca="1">IF(RegimeExecucao="Global","",ORÇAMENTO.Unidade)</f>
        <v>KG</v>
      </c>
      <c r="G84" s="122" cm="1">
        <f t="array" aca="1" ref="G84" ca="1">IF(RegimeExecucao="Global","",ORÇAMENTO!T84)</f>
        <v>1097.52</v>
      </c>
      <c r="H84" s="122" cm="1">
        <f t="array" aca="1" ref="H84" ca="1">IF(RegimeExecucao="Global","",ORÇAMENTO!W84)</f>
        <v>17.809999999999999</v>
      </c>
      <c r="I84" s="125">
        <f ca="1">ORÇAMENTO!X84</f>
        <v>19546.830000000002</v>
      </c>
      <c r="J84" s="333" cm="1">
        <f t="array" aca="1" ref="J84" ca="1">IF($A84="S",IF(CAIXA.Modo,BM.AFAnterior,BM.MEDAnterior),IF(AND(RegimeExecucao="Global",$I84&gt;0,COUNTIF($AB$13:$AM$13,BM.medicao-1)&gt;0),M84/$I84*100,0))</f>
        <v>0</v>
      </c>
      <c r="K84" s="122">
        <f t="shared" ca="1" si="3"/>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4"/>
        <v>0</v>
      </c>
      <c r="O84" s="125" cm="1">
        <f t="array" aca="1" ref="O84" ca="1">IF($A84="S",VTOTALBM,IF($A84=0,0,ROUND(SomaAgrupBM,15-13*ORÇAMENTO!$AF$11)))</f>
        <v>0</v>
      </c>
      <c r="Q84" s="337"/>
      <c r="R84" s="338"/>
      <c r="T84" s="117" t="str">
        <f t="shared" ca="1" si="5"/>
        <v/>
      </c>
      <c r="U84" s="163" t="str">
        <f t="shared" ca="1" si="6"/>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7"/>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38.25" x14ac:dyDescent="0.2">
      <c r="A85" t="str">
        <f ca="1">ORÇAMENTO!C85</f>
        <v>S</v>
      </c>
      <c r="B85">
        <f ca="1">ORÇAMENTO!D85</f>
        <v>0</v>
      </c>
      <c r="C85" s="114" t="str">
        <f t="shared" ca="1" si="1"/>
        <v>F</v>
      </c>
      <c r="D85" s="117" t="str">
        <f ca="1">ORÇAMENTO!O85</f>
        <v>1.4.10.0.3.</v>
      </c>
      <c r="E85" s="163" t="str">
        <f t="shared" ca="1" si="2"/>
        <v>ARMAÇÃO DE PILAR OU VIGA DE ESTRUTURA CONVENCIONAL DE CONCRETO ARMADO UTILIZANDO AÇO CA-50 DE 8,0 MM - MONTAGEM. AF_06/2022</v>
      </c>
      <c r="F85" s="164" t="str" cm="1">
        <f t="array" aca="1" ref="F85" ca="1">IF(RegimeExecucao="Global","",ORÇAMENTO.Unidade)</f>
        <v>KG</v>
      </c>
      <c r="G85" s="122" cm="1">
        <f t="array" aca="1" ref="G85" ca="1">IF(RegimeExecucao="Global","",ORÇAMENTO!T85)</f>
        <v>2304.3000000000002</v>
      </c>
      <c r="H85" s="122" cm="1">
        <f t="array" aca="1" ref="H85" ca="1">IF(RegimeExecucao="Global","",ORÇAMENTO!W85)</f>
        <v>15.54</v>
      </c>
      <c r="I85" s="125">
        <f ca="1">ORÇAMENTO!X85</f>
        <v>35808.82</v>
      </c>
      <c r="J85" s="333" cm="1">
        <f t="array" aca="1" ref="J85" ca="1">IF($A85="S",IF(CAIXA.Modo,BM.AFAnterior,BM.MEDAnterior),IF(AND(RegimeExecucao="Global",$I85&gt;0,COUNTIF($AB$13:$AM$13,BM.medicao-1)&gt;0),M85/$I85*100,0))</f>
        <v>0</v>
      </c>
      <c r="K85" s="122">
        <f t="shared" ca="1" si="3"/>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4"/>
        <v>0</v>
      </c>
      <c r="O85" s="125" cm="1">
        <f t="array" aca="1" ref="O85" ca="1">IF($A85="S",VTOTALBM,IF($A85=0,0,ROUND(SomaAgrupBM,15-13*ORÇAMENTO!$AF$11)))</f>
        <v>0</v>
      </c>
      <c r="Q85" s="337"/>
      <c r="R85" s="338"/>
      <c r="T85" s="117" t="str">
        <f t="shared" ca="1" si="5"/>
        <v/>
      </c>
      <c r="U85" s="163" t="str">
        <f t="shared" ca="1" si="6"/>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7"/>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38.25" x14ac:dyDescent="0.2">
      <c r="A86" t="str">
        <f ca="1">ORÇAMENTO!C86</f>
        <v>S</v>
      </c>
      <c r="B86">
        <f ca="1">ORÇAMENTO!D86</f>
        <v>0</v>
      </c>
      <c r="C86" s="114" t="str">
        <f t="shared" ca="1" si="1"/>
        <v>F</v>
      </c>
      <c r="D86" s="117" t="str">
        <f ca="1">ORÇAMENTO!O86</f>
        <v>1.4.10.0.4.</v>
      </c>
      <c r="E86" s="163" t="str">
        <f t="shared" ca="1" si="2"/>
        <v>ARMAÇÃO DE PILAR OU VIGA DE ESTRUTURA CONVENCIONAL DE CONCRETO ARMADO UTILIZANDO AÇO CA-50 DE 10,0 MM - MONTAGEM. AF_06/2022</v>
      </c>
      <c r="F86" s="164" t="str" cm="1">
        <f t="array" aca="1" ref="F86" ca="1">IF(RegimeExecucao="Global","",ORÇAMENTO.Unidade)</f>
        <v>KG</v>
      </c>
      <c r="G86" s="122" cm="1">
        <f t="array" aca="1" ref="G86" ca="1">IF(RegimeExecucao="Global","",ORÇAMENTO!T86)</f>
        <v>162.24</v>
      </c>
      <c r="H86" s="122" cm="1">
        <f t="array" aca="1" ref="H86" ca="1">IF(RegimeExecucao="Global","",ORÇAMENTO!W86)</f>
        <v>13.8</v>
      </c>
      <c r="I86" s="125">
        <f ca="1">ORÇAMENTO!X86</f>
        <v>2238.91</v>
      </c>
      <c r="J86" s="333" cm="1">
        <f t="array" aca="1" ref="J86" ca="1">IF($A86="S",IF(CAIXA.Modo,BM.AFAnterior,BM.MEDAnterior),IF(AND(RegimeExecucao="Global",$I86&gt;0,COUNTIF($AB$13:$AM$13,BM.medicao-1)&gt;0),M86/$I86*100,0))</f>
        <v>0</v>
      </c>
      <c r="K86" s="122">
        <f t="shared" ca="1" si="3"/>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4"/>
        <v>0</v>
      </c>
      <c r="O86" s="125" cm="1">
        <f t="array" aca="1" ref="O86" ca="1">IF($A86="S",VTOTALBM,IF($A86=0,0,ROUND(SomaAgrupBM,15-13*ORÇAMENTO!$AF$11)))</f>
        <v>0</v>
      </c>
      <c r="Q86" s="337"/>
      <c r="R86" s="338"/>
      <c r="T86" s="117" t="str">
        <f t="shared" ca="1" si="5"/>
        <v/>
      </c>
      <c r="U86" s="163" t="str">
        <f t="shared" ca="1" si="6"/>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7"/>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38.25" x14ac:dyDescent="0.2">
      <c r="A87" t="str">
        <f ca="1">ORÇAMENTO!C87</f>
        <v>S</v>
      </c>
      <c r="B87">
        <f ca="1">ORÇAMENTO!D87</f>
        <v>0</v>
      </c>
      <c r="C87" s="114" t="str">
        <f t="shared" ca="1" si="1"/>
        <v>F</v>
      </c>
      <c r="D87" s="117" t="str">
        <f ca="1">ORÇAMENTO!O87</f>
        <v>1.4.10.0.5.</v>
      </c>
      <c r="E87" s="163" t="str">
        <f t="shared" ca="1" si="2"/>
        <v>ARMAÇÃO DE PILAR OU VIGA DE ESTRUTURA CONVENCIONAL DE CONCRETO ARMADO UTILIZANDO AÇO CA-50 DE 12,5 MM - MONTAGEM. AF_06/2022</v>
      </c>
      <c r="F87" s="164" t="str" cm="1">
        <f t="array" aca="1" ref="F87" ca="1">IF(RegimeExecucao="Global","",ORÇAMENTO.Unidade)</f>
        <v>KG</v>
      </c>
      <c r="G87" s="122" cm="1">
        <f t="array" aca="1" ref="G87" ca="1">IF(RegimeExecucao="Global","",ORÇAMENTO!T87)</f>
        <v>305.22000000000003</v>
      </c>
      <c r="H87" s="122" cm="1">
        <f t="array" aca="1" ref="H87" ca="1">IF(RegimeExecucao="Global","",ORÇAMENTO!W87)</f>
        <v>11.57</v>
      </c>
      <c r="I87" s="125">
        <f ca="1">ORÇAMENTO!X87</f>
        <v>3531.4</v>
      </c>
      <c r="J87" s="333" cm="1">
        <f t="array" aca="1" ref="J87" ca="1">IF($A87="S",IF(CAIXA.Modo,BM.AFAnterior,BM.MEDAnterior),IF(AND(RegimeExecucao="Global",$I87&gt;0,COUNTIF($AB$13:$AM$13,BM.medicao-1)&gt;0),M87/$I87*100,0))</f>
        <v>0</v>
      </c>
      <c r="K87" s="122">
        <f t="shared" ca="1" si="3"/>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4"/>
        <v>0</v>
      </c>
      <c r="O87" s="125" cm="1">
        <f t="array" aca="1" ref="O87" ca="1">IF($A87="S",VTOTALBM,IF($A87=0,0,ROUND(SomaAgrupBM,15-13*ORÇAMENTO!$AF$11)))</f>
        <v>0</v>
      </c>
      <c r="Q87" s="337"/>
      <c r="R87" s="338"/>
      <c r="T87" s="117" t="str">
        <f t="shared" ca="1" si="5"/>
        <v/>
      </c>
      <c r="U87" s="163" t="str">
        <f t="shared" ca="1" si="6"/>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7"/>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4" t="str">
        <f t="shared" ca="1" si="1"/>
        <v>F</v>
      </c>
      <c r="D88" s="117" t="str">
        <f ca="1">ORÇAMENTO!O88</f>
        <v>1.4.10.0.6.</v>
      </c>
      <c r="E88" s="163" t="str">
        <f t="shared" ca="1" si="2"/>
        <v>CONCRETAGEM DE VIGAS E LAJES, FCK=25 MPA, PARA LAJES MACIÇAS OU NERVURADAS COM USO DE BOMBA - LANÇAMENTO, ADENSAMENTO E ACABAMENTO. AF_02/2022_PS</v>
      </c>
      <c r="F88" s="164" t="str" cm="1">
        <f t="array" aca="1" ref="F88" ca="1">IF(RegimeExecucao="Global","",ORÇAMENTO.Unidade)</f>
        <v>M3</v>
      </c>
      <c r="G88" s="122" cm="1">
        <f t="array" aca="1" ref="G88" ca="1">IF(RegimeExecucao="Global","",ORÇAMENTO!T88)</f>
        <v>57.6</v>
      </c>
      <c r="H88" s="122" cm="1">
        <f t="array" aca="1" ref="H88" ca="1">IF(RegimeExecucao="Global","",ORÇAMENTO!W88)</f>
        <v>866.17</v>
      </c>
      <c r="I88" s="125">
        <f ca="1">ORÇAMENTO!X88</f>
        <v>49891.39</v>
      </c>
      <c r="J88" s="333" cm="1">
        <f t="array" aca="1" ref="J88" ca="1">IF($A88="S",IF(CAIXA.Modo,BM.AFAnterior,BM.MEDAnterior),IF(AND(RegimeExecucao="Global",$I88&gt;0,COUNTIF($AB$13:$AM$13,BM.medicao-1)&gt;0),M88/$I88*100,0))</f>
        <v>0</v>
      </c>
      <c r="K88" s="122">
        <f t="shared" ca="1" si="3"/>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4"/>
        <v>0</v>
      </c>
      <c r="O88" s="125" cm="1">
        <f t="array" aca="1" ref="O88" ca="1">IF($A88="S",VTOTALBM,IF($A88=0,0,ROUND(SomaAgrupBM,15-13*ORÇAMENTO!$AF$11)))</f>
        <v>0</v>
      </c>
      <c r="Q88" s="337"/>
      <c r="R88" s="338"/>
      <c r="T88" s="117" t="str">
        <f t="shared" ca="1" si="5"/>
        <v/>
      </c>
      <c r="U88" s="163" t="str">
        <f t="shared" ca="1" si="6"/>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7"/>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f ca="1">ORÇAMENTO!C89</f>
        <v>3</v>
      </c>
      <c r="B89">
        <f ca="1">ORÇAMENTO!D89</f>
        <v>5</v>
      </c>
      <c r="C89" s="114" t="str">
        <f t="shared" ca="1" si="1"/>
        <v>F</v>
      </c>
      <c r="D89" s="117" t="str">
        <f ca="1">ORÇAMENTO!O89</f>
        <v>1.4.11.</v>
      </c>
      <c r="E89" s="163" t="str">
        <f t="shared" si="2"/>
        <v>PILARES - RESERVATÓRIO</v>
      </c>
      <c r="F89" s="164" t="str" cm="1">
        <f t="array" aca="1" ref="F89" ca="1">IF(RegimeExecucao="Global","",ORÇAMENTO.Unidade)</f>
        <v>-</v>
      </c>
      <c r="G89" s="122" cm="1">
        <f t="array" aca="1" ref="G89" ca="1">IF(RegimeExecucao="Global","",ORÇAMENTO!T89)</f>
        <v>0</v>
      </c>
      <c r="H89" s="122" cm="1">
        <f t="array" aca="1" ref="H89" ca="1">IF(RegimeExecucao="Global","",ORÇAMENTO!W89)</f>
        <v>0</v>
      </c>
      <c r="I89" s="125">
        <f ca="1">ORÇAMENTO!X89</f>
        <v>10598.72</v>
      </c>
      <c r="J89" s="333" cm="1">
        <f t="array" aca="1" ref="J89" ca="1">IF($A89="S",IF(CAIXA.Modo,BM.AFAnterior,BM.MEDAnterior),IF(AND(RegimeExecucao="Global",$I89&gt;0,COUNTIF($AB$13:$AM$13,BM.medicao-1)&gt;0),M89/$I89*100,0))</f>
        <v>0</v>
      </c>
      <c r="K89" s="122">
        <f t="shared" ca="1" si="3"/>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4"/>
        <v>0</v>
      </c>
      <c r="O89" s="125" cm="1">
        <f t="array" aca="1" ref="O89" ca="1">IF($A89="S",VTOTALBM,IF($A89=0,0,ROUND(SomaAgrupBM,15-13*ORÇAMENTO!$AF$11)))</f>
        <v>0</v>
      </c>
      <c r="Q89" s="337"/>
      <c r="R89" s="338"/>
      <c r="T89" s="117" t="str">
        <f t="shared" ca="1" si="5"/>
        <v/>
      </c>
      <c r="U89" s="163" t="str">
        <f t="shared" ca="1" si="6"/>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7"/>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51" x14ac:dyDescent="0.2">
      <c r="A90" t="str">
        <f ca="1">ORÇAMENTO!C90</f>
        <v>S</v>
      </c>
      <c r="B90">
        <f ca="1">ORÇAMENTO!D90</f>
        <v>0</v>
      </c>
      <c r="C90" s="114" t="str">
        <f t="shared" ca="1" si="1"/>
        <v>F</v>
      </c>
      <c r="D90" s="117" t="str">
        <f ca="1">ORÇAMENTO!O90</f>
        <v>1.4.11.0.1.</v>
      </c>
      <c r="E90" s="163" t="str">
        <f t="shared" ca="1" si="2"/>
        <v>MONTAGEM E DESMONTAGEM DE FÔRMA DE PILARES RETANGULARES E ESTRUTURAS SIMILARES, PÉ-DIREITO SIMPLES, EM CHAPA DE MADEIRA COMPENSADA PLASTIFICADA, 14 UTILIZAÇÕES. AF_09/2020</v>
      </c>
      <c r="F90" s="164" t="str" cm="1">
        <f t="array" aca="1" ref="F90" ca="1">IF(RegimeExecucao="Global","",ORÇAMENTO.Unidade)</f>
        <v>M2</v>
      </c>
      <c r="G90" s="122" cm="1">
        <f t="array" aca="1" ref="G90" ca="1">IF(RegimeExecucao="Global","",ORÇAMENTO!T90)</f>
        <v>17.66</v>
      </c>
      <c r="H90" s="122" cm="1">
        <f t="array" aca="1" ref="H90" ca="1">IF(RegimeExecucao="Global","",ORÇAMENTO!W90)</f>
        <v>76.97</v>
      </c>
      <c r="I90" s="125">
        <f ca="1">ORÇAMENTO!X90</f>
        <v>1359.29</v>
      </c>
      <c r="J90" s="333" cm="1">
        <f t="array" aca="1" ref="J90" ca="1">IF($A90="S",IF(CAIXA.Modo,BM.AFAnterior,BM.MEDAnterior),IF(AND(RegimeExecucao="Global",$I90&gt;0,COUNTIF($AB$13:$AM$13,BM.medicao-1)&gt;0),M90/$I90*100,0))</f>
        <v>0</v>
      </c>
      <c r="K90" s="122">
        <f t="shared" ca="1" si="3"/>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4"/>
        <v>0</v>
      </c>
      <c r="O90" s="125" cm="1">
        <f t="array" aca="1" ref="O90" ca="1">IF($A90="S",VTOTALBM,IF($A90=0,0,ROUND(SomaAgrupBM,15-13*ORÇAMENTO!$AF$11)))</f>
        <v>0</v>
      </c>
      <c r="Q90" s="337"/>
      <c r="R90" s="338"/>
      <c r="T90" s="117" t="str">
        <f t="shared" ca="1" si="5"/>
        <v/>
      </c>
      <c r="U90" s="163" t="str">
        <f t="shared" ca="1" si="6"/>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7"/>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38.25" x14ac:dyDescent="0.2">
      <c r="A91" t="str">
        <f ca="1">ORÇAMENTO!C91</f>
        <v>S</v>
      </c>
      <c r="B91">
        <f ca="1">ORÇAMENTO!D91</f>
        <v>0</v>
      </c>
      <c r="C91" s="114" t="str">
        <f t="shared" ca="1" si="1"/>
        <v>F</v>
      </c>
      <c r="D91" s="117" t="str">
        <f ca="1">ORÇAMENTO!O91</f>
        <v>1.4.11.0.2.</v>
      </c>
      <c r="E91" s="163" t="str">
        <f t="shared" ca="1" si="2"/>
        <v>ARMAÇÃO DE PILAR OU VIGA DE ESTRUTURA DE CONCRETO ARMADO EMBUTIDA EM ALVENARIA DE VEDAÇÃO UTILIZANDO AÇO CA-60 DE 5,0 MM - MONTAGEM. AF_06/2022</v>
      </c>
      <c r="F91" s="164" t="str" cm="1">
        <f t="array" aca="1" ref="F91" ca="1">IF(RegimeExecucao="Global","",ORÇAMENTO.Unidade)</f>
        <v>KG</v>
      </c>
      <c r="G91" s="122" cm="1">
        <f t="array" aca="1" ref="G91" ca="1">IF(RegimeExecucao="Global","",ORÇAMENTO!T91)</f>
        <v>90.9</v>
      </c>
      <c r="H91" s="122" cm="1">
        <f t="array" aca="1" ref="H91" ca="1">IF(RegimeExecucao="Global","",ORÇAMENTO!W91)</f>
        <v>26.21</v>
      </c>
      <c r="I91" s="125">
        <f ca="1">ORÇAMENTO!X91</f>
        <v>2382.4899999999998</v>
      </c>
      <c r="J91" s="333" cm="1">
        <f t="array" aca="1" ref="J91" ca="1">IF($A91="S",IF(CAIXA.Modo,BM.AFAnterior,BM.MEDAnterior),IF(AND(RegimeExecucao="Global",$I91&gt;0,COUNTIF($AB$13:$AM$13,BM.medicao-1)&gt;0),M91/$I91*100,0))</f>
        <v>0</v>
      </c>
      <c r="K91" s="122">
        <f t="shared" ca="1" si="3"/>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4"/>
        <v>0</v>
      </c>
      <c r="O91" s="125" cm="1">
        <f t="array" aca="1" ref="O91" ca="1">IF($A91="S",VTOTALBM,IF($A91=0,0,ROUND(SomaAgrupBM,15-13*ORÇAMENTO!$AF$11)))</f>
        <v>0</v>
      </c>
      <c r="Q91" s="337"/>
      <c r="R91" s="338"/>
      <c r="T91" s="117" t="str">
        <f t="shared" ca="1" si="5"/>
        <v/>
      </c>
      <c r="U91" s="163" t="str">
        <f t="shared" ca="1" si="6"/>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7"/>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38.25" x14ac:dyDescent="0.2">
      <c r="A92" t="str">
        <f ca="1">ORÇAMENTO!C92</f>
        <v>S</v>
      </c>
      <c r="B92">
        <f ca="1">ORÇAMENTO!D92</f>
        <v>0</v>
      </c>
      <c r="C92" s="114" t="str">
        <f t="shared" ca="1" si="1"/>
        <v>F</v>
      </c>
      <c r="D92" s="117" t="str">
        <f ca="1">ORÇAMENTO!O92</f>
        <v>1.4.11.0.3.</v>
      </c>
      <c r="E92" s="163" t="str">
        <f t="shared" ca="1" si="2"/>
        <v>ARMAÇÃO DE PILAR OU VIGA DE ESTRUTURA DE CONCRETO ARMADO EMBUTIDA EM ALVENARIA DE VEDAÇÃO UTILIZANDO AÇO CA-50 DE 10,0 MM - MONTAGEM. AF_06/2022</v>
      </c>
      <c r="F92" s="164" t="str" cm="1">
        <f t="array" aca="1" ref="F92" ca="1">IF(RegimeExecucao="Global","",ORÇAMENTO.Unidade)</f>
        <v>KG</v>
      </c>
      <c r="G92" s="122" cm="1">
        <f t="array" aca="1" ref="G92" ca="1">IF(RegimeExecucao="Global","",ORÇAMENTO!T92)</f>
        <v>222</v>
      </c>
      <c r="H92" s="122" cm="1">
        <f t="array" aca="1" ref="H92" ca="1">IF(RegimeExecucao="Global","",ORÇAMENTO!W92)</f>
        <v>16.14</v>
      </c>
      <c r="I92" s="125">
        <f ca="1">ORÇAMENTO!X92</f>
        <v>3583.08</v>
      </c>
      <c r="J92" s="333" cm="1">
        <f t="array" aca="1" ref="J92" ca="1">IF($A92="S",IF(CAIXA.Modo,BM.AFAnterior,BM.MEDAnterior),IF(AND(RegimeExecucao="Global",$I92&gt;0,COUNTIF($AB$13:$AM$13,BM.medicao-1)&gt;0),M92/$I92*100,0))</f>
        <v>0</v>
      </c>
      <c r="K92" s="122">
        <f t="shared" ca="1" si="3"/>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4"/>
        <v>0</v>
      </c>
      <c r="O92" s="125" cm="1">
        <f t="array" aca="1" ref="O92" ca="1">IF($A92="S",VTOTALBM,IF($A92=0,0,ROUND(SomaAgrupBM,15-13*ORÇAMENTO!$AF$11)))</f>
        <v>0</v>
      </c>
      <c r="Q92" s="337"/>
      <c r="R92" s="338"/>
      <c r="T92" s="117" t="str">
        <f t="shared" ca="1" si="5"/>
        <v/>
      </c>
      <c r="U92" s="163" t="str">
        <f t="shared" ca="1" si="6"/>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7"/>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25.5" x14ac:dyDescent="0.2">
      <c r="A93" t="str">
        <f ca="1">ORÇAMENTO!C93</f>
        <v>S</v>
      </c>
      <c r="B93">
        <f ca="1">ORÇAMENTO!D93</f>
        <v>0</v>
      </c>
      <c r="C93" s="114" t="str">
        <f t="shared" ca="1" si="1"/>
        <v>F</v>
      </c>
      <c r="D93" s="117" t="str">
        <f ca="1">ORÇAMENTO!O93</f>
        <v>1.4.11.0.4.</v>
      </c>
      <c r="E93" s="163" t="str">
        <f t="shared" ca="1" si="2"/>
        <v>CONCRETAGEM DE PILARES, FCK = 25 MPA, COM USO DE BOMBA - LANÇAMENTO, ADENSAMENTO E ACABAMENTO. AF_02/2022_PS</v>
      </c>
      <c r="F93" s="164" t="str" cm="1">
        <f t="array" aca="1" ref="F93" ca="1">IF(RegimeExecucao="Global","",ORÇAMENTO.Unidade)</f>
        <v>M3</v>
      </c>
      <c r="G93" s="122" cm="1">
        <f t="array" aca="1" ref="G93" ca="1">IF(RegimeExecucao="Global","",ORÇAMENTO!T93)</f>
        <v>3.78</v>
      </c>
      <c r="H93" s="122" cm="1">
        <f t="array" aca="1" ref="H93" ca="1">IF(RegimeExecucao="Global","",ORÇAMENTO!W93)</f>
        <v>866.1</v>
      </c>
      <c r="I93" s="125">
        <f ca="1">ORÇAMENTO!X93</f>
        <v>3273.86</v>
      </c>
      <c r="J93" s="333" cm="1">
        <f t="array" aca="1" ref="J93" ca="1">IF($A93="S",IF(CAIXA.Modo,BM.AFAnterior,BM.MEDAnterior),IF(AND(RegimeExecucao="Global",$I93&gt;0,COUNTIF($AB$13:$AM$13,BM.medicao-1)&gt;0),M93/$I93*100,0))</f>
        <v>0</v>
      </c>
      <c r="K93" s="122">
        <f t="shared" ca="1" si="3"/>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4"/>
        <v>0</v>
      </c>
      <c r="O93" s="125" cm="1">
        <f t="array" aca="1" ref="O93" ca="1">IF($A93="S",VTOTALBM,IF($A93=0,0,ROUND(SomaAgrupBM,15-13*ORÇAMENTO!$AF$11)))</f>
        <v>0</v>
      </c>
      <c r="Q93" s="337"/>
      <c r="R93" s="338"/>
      <c r="T93" s="117" t="str">
        <f t="shared" ca="1" si="5"/>
        <v/>
      </c>
      <c r="U93" s="163" t="str">
        <f t="shared" ca="1" si="6"/>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7"/>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f ca="1">ORÇAMENTO!C94</f>
        <v>3</v>
      </c>
      <c r="B94">
        <f ca="1">ORÇAMENTO!D94</f>
        <v>6</v>
      </c>
      <c r="C94" s="114" t="str">
        <f t="shared" ca="1" si="1"/>
        <v>F</v>
      </c>
      <c r="D94" s="117" t="str">
        <f ca="1">ORÇAMENTO!O94</f>
        <v>1.4.12.</v>
      </c>
      <c r="E94" s="163" t="str">
        <f t="shared" si="2"/>
        <v>VIGAS - RESERVATÓRIO</v>
      </c>
      <c r="F94" s="164" t="str" cm="1">
        <f t="array" aca="1" ref="F94" ca="1">IF(RegimeExecucao="Global","",ORÇAMENTO.Unidade)</f>
        <v>-</v>
      </c>
      <c r="G94" s="122" cm="1">
        <f t="array" aca="1" ref="G94" ca="1">IF(RegimeExecucao="Global","",ORÇAMENTO!T94)</f>
        <v>0</v>
      </c>
      <c r="H94" s="122" cm="1">
        <f t="array" aca="1" ref="H94" ca="1">IF(RegimeExecucao="Global","",ORÇAMENTO!W94)</f>
        <v>0</v>
      </c>
      <c r="I94" s="125">
        <f ca="1">ORÇAMENTO!X94</f>
        <v>19835.36</v>
      </c>
      <c r="J94" s="333" cm="1">
        <f t="array" aca="1" ref="J94" ca="1">IF($A94="S",IF(CAIXA.Modo,BM.AFAnterior,BM.MEDAnterior),IF(AND(RegimeExecucao="Global",$I94&gt;0,COUNTIF($AB$13:$AM$13,BM.medicao-1)&gt;0),M94/$I94*100,0))</f>
        <v>0</v>
      </c>
      <c r="K94" s="122">
        <f t="shared" ca="1" si="3"/>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4"/>
        <v>0</v>
      </c>
      <c r="O94" s="125" cm="1">
        <f t="array" aca="1" ref="O94" ca="1">IF($A94="S",VTOTALBM,IF($A94=0,0,ROUND(SomaAgrupBM,15-13*ORÇAMENTO!$AF$11)))</f>
        <v>0</v>
      </c>
      <c r="Q94" s="337"/>
      <c r="R94" s="338"/>
      <c r="T94" s="117" t="str">
        <f t="shared" ca="1" si="5"/>
        <v/>
      </c>
      <c r="U94" s="163" t="str">
        <f t="shared" ca="1" si="6"/>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7"/>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38.25" x14ac:dyDescent="0.2">
      <c r="A95" t="str">
        <f ca="1">ORÇAMENTO!C95</f>
        <v>S</v>
      </c>
      <c r="B95">
        <f ca="1">ORÇAMENTO!D95</f>
        <v>0</v>
      </c>
      <c r="C95" s="114" t="str">
        <f t="shared" ca="1" si="1"/>
        <v>F</v>
      </c>
      <c r="D95" s="117" t="str">
        <f ca="1">ORÇAMENTO!O95</f>
        <v>1.4.12.0.1.</v>
      </c>
      <c r="E95" s="163" t="str">
        <f t="shared" ca="1" si="2"/>
        <v>MONTAGEM E DESMONTAGEM DE FÔRMA DE VIGA, ESCORAMENTO COM GARFO DE MADEIRA, PÉ-DIREITO SIMPLES, EM CHAPA DE MADEIRA PLASTIFICADA, 18 UTILIZAÇÕES. AF_09/2020</v>
      </c>
      <c r="F95" s="164" t="str" cm="1">
        <f t="array" aca="1" ref="F95" ca="1">IF(RegimeExecucao="Global","",ORÇAMENTO.Unidade)</f>
        <v>M2</v>
      </c>
      <c r="G95" s="122" cm="1">
        <f t="array" aca="1" ref="G95" ca="1">IF(RegimeExecucao="Global","",ORÇAMENTO!T95)</f>
        <v>6.51</v>
      </c>
      <c r="H95" s="122" cm="1">
        <f t="array" aca="1" ref="H95" ca="1">IF(RegimeExecucao="Global","",ORÇAMENTO!W95)</f>
        <v>88.45</v>
      </c>
      <c r="I95" s="125">
        <f ca="1">ORÇAMENTO!X95</f>
        <v>575.80999999999995</v>
      </c>
      <c r="J95" s="333" cm="1">
        <f t="array" aca="1" ref="J95" ca="1">IF($A95="S",IF(CAIXA.Modo,BM.AFAnterior,BM.MEDAnterior),IF(AND(RegimeExecucao="Global",$I95&gt;0,COUNTIF($AB$13:$AM$13,BM.medicao-1)&gt;0),M95/$I95*100,0))</f>
        <v>0</v>
      </c>
      <c r="K95" s="122">
        <f t="shared" ca="1" si="3"/>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4"/>
        <v>0</v>
      </c>
      <c r="O95" s="125" cm="1">
        <f t="array" aca="1" ref="O95" ca="1">IF($A95="S",VTOTALBM,IF($A95=0,0,ROUND(SomaAgrupBM,15-13*ORÇAMENTO!$AF$11)))</f>
        <v>0</v>
      </c>
      <c r="Q95" s="337"/>
      <c r="R95" s="338"/>
      <c r="T95" s="117" t="str">
        <f t="shared" ca="1" si="5"/>
        <v/>
      </c>
      <c r="U95" s="163" t="str">
        <f t="shared" ca="1" si="6"/>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7"/>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38.25" x14ac:dyDescent="0.2">
      <c r="A96" t="str">
        <f ca="1">ORÇAMENTO!C96</f>
        <v>S</v>
      </c>
      <c r="B96">
        <f ca="1">ORÇAMENTO!D96</f>
        <v>0</v>
      </c>
      <c r="C96" s="114" t="str">
        <f t="shared" ca="1" si="1"/>
        <v>F</v>
      </c>
      <c r="D96" s="117" t="str">
        <f ca="1">ORÇAMENTO!O96</f>
        <v>1.4.12.0.2.</v>
      </c>
      <c r="E96" s="163" t="str">
        <f t="shared" ca="1" si="2"/>
        <v>ARMAÇÃO DE PILAR OU VIGA DE ESTRUTURA CONVENCIONAL DE CONCRETO ARMADO UTILIZANDO AÇO CA-60 DE 5,0 MM - MONTAGEM. AF_06/2022</v>
      </c>
      <c r="F96" s="164" t="str" cm="1">
        <f t="array" aca="1" ref="F96" ca="1">IF(RegimeExecucao="Global","",ORÇAMENTO.Unidade)</f>
        <v>KG</v>
      </c>
      <c r="G96" s="122" cm="1">
        <f t="array" aca="1" ref="G96" ca="1">IF(RegimeExecucao="Global","",ORÇAMENTO!T96)</f>
        <v>175.8</v>
      </c>
      <c r="H96" s="122" cm="1">
        <f t="array" aca="1" ref="H96" ca="1">IF(RegimeExecucao="Global","",ORÇAMENTO!W96)</f>
        <v>17.809999999999999</v>
      </c>
      <c r="I96" s="125">
        <f ca="1">ORÇAMENTO!X96</f>
        <v>3131</v>
      </c>
      <c r="J96" s="333" cm="1">
        <f t="array" aca="1" ref="J96" ca="1">IF($A96="S",IF(CAIXA.Modo,BM.AFAnterior,BM.MEDAnterior),IF(AND(RegimeExecucao="Global",$I96&gt;0,COUNTIF($AB$13:$AM$13,BM.medicao-1)&gt;0),M96/$I96*100,0))</f>
        <v>0</v>
      </c>
      <c r="K96" s="122">
        <f t="shared" ca="1" si="3"/>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4"/>
        <v>0</v>
      </c>
      <c r="O96" s="125" cm="1">
        <f t="array" aca="1" ref="O96" ca="1">IF($A96="S",VTOTALBM,IF($A96=0,0,ROUND(SomaAgrupBM,15-13*ORÇAMENTO!$AF$11)))</f>
        <v>0</v>
      </c>
      <c r="Q96" s="337"/>
      <c r="R96" s="338"/>
      <c r="T96" s="117" t="str">
        <f t="shared" ca="1" si="5"/>
        <v/>
      </c>
      <c r="U96" s="163" t="str">
        <f t="shared" ca="1" si="6"/>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7"/>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38.25" x14ac:dyDescent="0.2">
      <c r="A97" t="str">
        <f ca="1">ORÇAMENTO!C97</f>
        <v>S</v>
      </c>
      <c r="B97">
        <f ca="1">ORÇAMENTO!D97</f>
        <v>0</v>
      </c>
      <c r="C97" s="114" t="str">
        <f t="shared" ca="1" si="1"/>
        <v>F</v>
      </c>
      <c r="D97" s="117" t="str">
        <f ca="1">ORÇAMENTO!O97</f>
        <v>1.4.12.0.3.</v>
      </c>
      <c r="E97" s="163" t="str">
        <f t="shared" ca="1" si="2"/>
        <v>ARMAÇÃO DE PILAR OU VIGA DE ESTRUTURA CONVENCIONAL DE CONCRETO ARMADO UTILIZANDO AÇO CA-50 DE 8,0 MM - MONTAGEM. AF_06/2022</v>
      </c>
      <c r="F97" s="164" t="str" cm="1">
        <f t="array" aca="1" ref="F97" ca="1">IF(RegimeExecucao="Global","",ORÇAMENTO.Unidade)</f>
        <v>KG</v>
      </c>
      <c r="G97" s="122" cm="1">
        <f t="array" aca="1" ref="G97" ca="1">IF(RegimeExecucao="Global","",ORÇAMENTO!T97)</f>
        <v>288</v>
      </c>
      <c r="H97" s="122" cm="1">
        <f t="array" aca="1" ref="H97" ca="1">IF(RegimeExecucao="Global","",ORÇAMENTO!W97)</f>
        <v>15.54</v>
      </c>
      <c r="I97" s="125">
        <f ca="1">ORÇAMENTO!X97</f>
        <v>4475.5200000000004</v>
      </c>
      <c r="J97" s="333" cm="1">
        <f t="array" aca="1" ref="J97" ca="1">IF($A97="S",IF(CAIXA.Modo,BM.AFAnterior,BM.MEDAnterior),IF(AND(RegimeExecucao="Global",$I97&gt;0,COUNTIF($AB$13:$AM$13,BM.medicao-1)&gt;0),M97/$I97*100,0))</f>
        <v>0</v>
      </c>
      <c r="K97" s="122">
        <f t="shared" ca="1" si="3"/>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4"/>
        <v>0</v>
      </c>
      <c r="O97" s="125" cm="1">
        <f t="array" aca="1" ref="O97" ca="1">IF($A97="S",VTOTALBM,IF($A97=0,0,ROUND(SomaAgrupBM,15-13*ORÇAMENTO!$AF$11)))</f>
        <v>0</v>
      </c>
      <c r="Q97" s="337"/>
      <c r="R97" s="338"/>
      <c r="T97" s="117" t="str">
        <f t="shared" ca="1" si="5"/>
        <v/>
      </c>
      <c r="U97" s="163" t="str">
        <f t="shared" ca="1" si="6"/>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7"/>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38.25" x14ac:dyDescent="0.2">
      <c r="A98" t="str">
        <f ca="1">ORÇAMENTO!C98</f>
        <v>S</v>
      </c>
      <c r="B98">
        <f ca="1">ORÇAMENTO!D98</f>
        <v>0</v>
      </c>
      <c r="C98" s="114" t="str">
        <f t="shared" ca="1" si="1"/>
        <v>F</v>
      </c>
      <c r="D98" s="117" t="str">
        <f ca="1">ORÇAMENTO!O98</f>
        <v>1.4.12.0.4.</v>
      </c>
      <c r="E98" s="163" t="str">
        <f t="shared" ca="1" si="2"/>
        <v>ARMAÇÃO DE PILAR OU VIGA DE ESTRUTURA CONVENCIONAL DE CONCRETO ARMADO UTILIZANDO AÇO CA-50 DE 10,0 MM - MONTAGEM. AF_06/2022</v>
      </c>
      <c r="F98" s="164" t="str" cm="1">
        <f t="array" aca="1" ref="F98" ca="1">IF(RegimeExecucao="Global","",ORÇAMENTO.Unidade)</f>
        <v>KG</v>
      </c>
      <c r="G98" s="122" cm="1">
        <f t="array" aca="1" ref="G98" ca="1">IF(RegimeExecucao="Global","",ORÇAMENTO!T98)</f>
        <v>147.72</v>
      </c>
      <c r="H98" s="122" cm="1">
        <f t="array" aca="1" ref="H98" ca="1">IF(RegimeExecucao="Global","",ORÇAMENTO!W98)</f>
        <v>13.8</v>
      </c>
      <c r="I98" s="125">
        <f ca="1">ORÇAMENTO!X98</f>
        <v>2038.54</v>
      </c>
      <c r="J98" s="333" cm="1">
        <f t="array" aca="1" ref="J98" ca="1">IF($A98="S",IF(CAIXA.Modo,BM.AFAnterior,BM.MEDAnterior),IF(AND(RegimeExecucao="Global",$I98&gt;0,COUNTIF($AB$13:$AM$13,BM.medicao-1)&gt;0),M98/$I98*100,0))</f>
        <v>0</v>
      </c>
      <c r="K98" s="122">
        <f t="shared" ca="1" si="3"/>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4"/>
        <v>0</v>
      </c>
      <c r="O98" s="125" cm="1">
        <f t="array" aca="1" ref="O98" ca="1">IF($A98="S",VTOTALBM,IF($A98=0,0,ROUND(SomaAgrupBM,15-13*ORÇAMENTO!$AF$11)))</f>
        <v>0</v>
      </c>
      <c r="Q98" s="337"/>
      <c r="R98" s="338"/>
      <c r="T98" s="117" t="str">
        <f t="shared" ca="1" si="5"/>
        <v/>
      </c>
      <c r="U98" s="163" t="str">
        <f t="shared" ca="1" si="6"/>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7"/>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38.25" x14ac:dyDescent="0.2">
      <c r="A99" t="str">
        <f ca="1">ORÇAMENTO!C99</f>
        <v>S</v>
      </c>
      <c r="B99">
        <f ca="1">ORÇAMENTO!D99</f>
        <v>0</v>
      </c>
      <c r="C99" s="114" t="str">
        <f t="shared" ca="1" si="1"/>
        <v>F</v>
      </c>
      <c r="D99" s="117" t="str">
        <f ca="1">ORÇAMENTO!O99</f>
        <v>1.4.12.0.5.</v>
      </c>
      <c r="E99" s="163" t="str">
        <f t="shared" ca="1" si="2"/>
        <v>CONCRETAGEM DE VIGAS E LAJES, FCK=25 MPA, PARA LAJES MACIÇAS OU NERVURADAS COM USO DE BOMBA - LANÇAMENTO, ADENSAMENTO E ACABAMENTO. AF_02/2022_PS</v>
      </c>
      <c r="F99" s="164" t="str" cm="1">
        <f t="array" aca="1" ref="F99" ca="1">IF(RegimeExecucao="Global","",ORÇAMENTO.Unidade)</f>
        <v>M3</v>
      </c>
      <c r="G99" s="122" cm="1">
        <f t="array" aca="1" ref="G99" ca="1">IF(RegimeExecucao="Global","",ORÇAMENTO!T99)</f>
        <v>11.1</v>
      </c>
      <c r="H99" s="122" cm="1">
        <f t="array" aca="1" ref="H99" ca="1">IF(RegimeExecucao="Global","",ORÇAMENTO!W99)</f>
        <v>866.17</v>
      </c>
      <c r="I99" s="125">
        <f ca="1">ORÇAMENTO!X99</f>
        <v>9614.49</v>
      </c>
      <c r="J99" s="333" cm="1">
        <f t="array" aca="1" ref="J99" ca="1">IF($A99="S",IF(CAIXA.Modo,BM.AFAnterior,BM.MEDAnterior),IF(AND(RegimeExecucao="Global",$I99&gt;0,COUNTIF($AB$13:$AM$13,BM.medicao-1)&gt;0),M99/$I99*100,0))</f>
        <v>0</v>
      </c>
      <c r="K99" s="122">
        <f t="shared" ca="1" si="3"/>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4"/>
        <v>0</v>
      </c>
      <c r="O99" s="125" cm="1">
        <f t="array" aca="1" ref="O99" ca="1">IF($A99="S",VTOTALBM,IF($A99=0,0,ROUND(SomaAgrupBM,15-13*ORÇAMENTO!$AF$11)))</f>
        <v>0</v>
      </c>
      <c r="Q99" s="337"/>
      <c r="R99" s="338"/>
      <c r="T99" s="117" t="str">
        <f t="shared" ca="1" si="5"/>
        <v/>
      </c>
      <c r="U99" s="163" t="str">
        <f t="shared" ca="1" si="6"/>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7"/>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x14ac:dyDescent="0.2">
      <c r="A100">
        <f ca="1">ORÇAMENTO!C100</f>
        <v>3</v>
      </c>
      <c r="B100">
        <f ca="1">ORÇAMENTO!D100</f>
        <v>3</v>
      </c>
      <c r="C100" s="114" t="str">
        <f t="shared" ca="1" si="1"/>
        <v>F</v>
      </c>
      <c r="D100" s="117" t="str">
        <f ca="1">ORÇAMENTO!O100</f>
        <v>1.4.13.</v>
      </c>
      <c r="E100" s="163" t="str">
        <f t="shared" si="2"/>
        <v>LAJES - RESERVATÓRIO</v>
      </c>
      <c r="F100" s="164" t="str" cm="1">
        <f t="array" aca="1" ref="F100" ca="1">IF(RegimeExecucao="Global","",ORÇAMENTO.Unidade)</f>
        <v>-</v>
      </c>
      <c r="G100" s="122" cm="1">
        <f t="array" aca="1" ref="G100" ca="1">IF(RegimeExecucao="Global","",ORÇAMENTO!T100)</f>
        <v>0</v>
      </c>
      <c r="H100" s="122" cm="1">
        <f t="array" aca="1" ref="H100" ca="1">IF(RegimeExecucao="Global","",ORÇAMENTO!W100)</f>
        <v>0</v>
      </c>
      <c r="I100" s="125">
        <f ca="1">ORÇAMENTO!X100</f>
        <v>32933.71</v>
      </c>
      <c r="J100" s="333" cm="1">
        <f t="array" aca="1" ref="J100" ca="1">IF($A100="S",IF(CAIXA.Modo,BM.AFAnterior,BM.MEDAnterior),IF(AND(RegimeExecucao="Global",$I100&gt;0,COUNTIF($AB$13:$AM$13,BM.medicao-1)&gt;0),M100/$I100*100,0))</f>
        <v>0</v>
      </c>
      <c r="K100" s="122">
        <f t="shared" ca="1" si="3"/>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4"/>
        <v>0</v>
      </c>
      <c r="O100" s="125" cm="1">
        <f t="array" aca="1" ref="O100" ca="1">IF($A100="S",VTOTALBM,IF($A100=0,0,ROUND(SomaAgrupBM,15-13*ORÇAMENTO!$AF$11)))</f>
        <v>0</v>
      </c>
      <c r="Q100" s="337"/>
      <c r="R100" s="338"/>
      <c r="T100" s="117" t="str">
        <f t="shared" ca="1" si="5"/>
        <v/>
      </c>
      <c r="U100" s="163" t="str">
        <f t="shared" ca="1" si="6"/>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7"/>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ht="38.25" x14ac:dyDescent="0.2">
      <c r="A101" t="str">
        <f ca="1">ORÇAMENTO!C101</f>
        <v>S</v>
      </c>
      <c r="B101">
        <f ca="1">ORÇAMENTO!D101</f>
        <v>0</v>
      </c>
      <c r="C101" s="114" t="str">
        <f t="shared" ca="1" si="1"/>
        <v>F</v>
      </c>
      <c r="D101" s="117" t="str">
        <f ca="1">ORÇAMENTO!O101</f>
        <v>1.4.13.0.1.</v>
      </c>
      <c r="E101" s="163" t="str">
        <f t="shared" ca="1" si="2"/>
        <v>LAJE PRÉ-MOLDADA UNIDIRECIONAL, BIAPOIADA, PARA PISO, ENCHIMENTO EM CERÂMICA, VIGOTA TRELIÇADA, ALTURA TOTAL DA LAJE "LT" = 16 CM (ENCHIMENTO+CAPA) = (12+4)</v>
      </c>
      <c r="F101" s="164" t="str" cm="1">
        <f t="array" aca="1" ref="F101" ca="1">IF(RegimeExecucao="Global","",ORÇAMENTO.Unidade)</f>
        <v>M2</v>
      </c>
      <c r="G101" s="122" cm="1">
        <f t="array" aca="1" ref="G101" ca="1">IF(RegimeExecucao="Global","",ORÇAMENTO!T101)</f>
        <v>96.75</v>
      </c>
      <c r="H101" s="122" cm="1">
        <f t="array" aca="1" ref="H101" ca="1">IF(RegimeExecucao="Global","",ORÇAMENTO!W101)</f>
        <v>279.94</v>
      </c>
      <c r="I101" s="125">
        <f ca="1">ORÇAMENTO!X101</f>
        <v>27084.2</v>
      </c>
      <c r="J101" s="333" cm="1">
        <f t="array" aca="1" ref="J101" ca="1">IF($A101="S",IF(CAIXA.Modo,BM.AFAnterior,BM.MEDAnterior),IF(AND(RegimeExecucao="Global",$I101&gt;0,COUNTIF($AB$13:$AM$13,BM.medicao-1)&gt;0),M101/$I101*100,0))</f>
        <v>0</v>
      </c>
      <c r="K101" s="122">
        <f t="shared" ca="1" si="3"/>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4"/>
        <v>0</v>
      </c>
      <c r="O101" s="125" cm="1">
        <f t="array" aca="1" ref="O101" ca="1">IF($A101="S",VTOTALBM,IF($A101=0,0,ROUND(SomaAgrupBM,15-13*ORÇAMENTO!$AF$11)))</f>
        <v>0</v>
      </c>
      <c r="Q101" s="337"/>
      <c r="R101" s="338"/>
      <c r="T101" s="117" t="str">
        <f t="shared" ca="1" si="5"/>
        <v/>
      </c>
      <c r="U101" s="163" t="str">
        <f t="shared" ca="1" si="6"/>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7"/>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4" t="str">
        <f t="shared" ca="1" si="1"/>
        <v>F</v>
      </c>
      <c r="D102" s="117" t="str">
        <f ca="1">ORÇAMENTO!O102</f>
        <v>1.4.13.0.2.</v>
      </c>
      <c r="E102" s="163" t="str">
        <f t="shared" ca="1" si="2"/>
        <v>IMPERMEABILIZAÇÃO DE SUPERFÍCIE COM EMULSÃO ASFÁLTICA, 2 DEMÃOS. AF_09/2023</v>
      </c>
      <c r="F102" s="164" t="str" cm="1">
        <f t="array" aca="1" ref="F102" ca="1">IF(RegimeExecucao="Global","",ORÇAMENTO.Unidade)</f>
        <v>M2</v>
      </c>
      <c r="G102" s="122" cm="1">
        <f t="array" aca="1" ref="G102" ca="1">IF(RegimeExecucao="Global","",ORÇAMENTO!T102)</f>
        <v>96.75</v>
      </c>
      <c r="H102" s="122" cm="1">
        <f t="array" aca="1" ref="H102" ca="1">IF(RegimeExecucao="Global","",ORÇAMENTO!W102)</f>
        <v>60.46</v>
      </c>
      <c r="I102" s="125">
        <f ca="1">ORÇAMENTO!X102</f>
        <v>5849.51</v>
      </c>
      <c r="J102" s="333" cm="1">
        <f t="array" aca="1" ref="J102" ca="1">IF($A102="S",IF(CAIXA.Modo,BM.AFAnterior,BM.MEDAnterior),IF(AND(RegimeExecucao="Global",$I102&gt;0,COUNTIF($AB$13:$AM$13,BM.medicao-1)&gt;0),M102/$I102*100,0))</f>
        <v>0</v>
      </c>
      <c r="K102" s="122">
        <f t="shared" ca="1" si="3"/>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4"/>
        <v>0</v>
      </c>
      <c r="O102" s="125" cm="1">
        <f t="array" aca="1" ref="O102" ca="1">IF($A102="S",VTOTALBM,IF($A102=0,0,ROUND(SomaAgrupBM,15-13*ORÇAMENTO!$AF$11)))</f>
        <v>0</v>
      </c>
      <c r="Q102" s="337"/>
      <c r="R102" s="338"/>
      <c r="T102" s="117" t="str">
        <f t="shared" ca="1" si="5"/>
        <v/>
      </c>
      <c r="U102" s="163" t="str">
        <f t="shared" ca="1" si="6"/>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7"/>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x14ac:dyDescent="0.2">
      <c r="A103">
        <f ca="1">ORÇAMENTO!C103</f>
        <v>2</v>
      </c>
      <c r="B103">
        <f ca="1">ORÇAMENTO!D103</f>
        <v>8</v>
      </c>
      <c r="C103" s="114" t="str">
        <f t="shared" ca="1" si="1"/>
        <v>F</v>
      </c>
      <c r="D103" s="117" t="str">
        <f ca="1">ORÇAMENTO!O103</f>
        <v>1.5.</v>
      </c>
      <c r="E103" s="163" t="str">
        <f t="shared" si="2"/>
        <v>ALVENARIAS E VEDAÇÕES</v>
      </c>
      <c r="F103" s="164" t="str" cm="1">
        <f t="array" aca="1" ref="F103" ca="1">IF(RegimeExecucao="Global","",ORÇAMENTO.Unidade)</f>
        <v>-</v>
      </c>
      <c r="G103" s="122" cm="1">
        <f t="array" aca="1" ref="G103" ca="1">IF(RegimeExecucao="Global","",ORÇAMENTO!T103)</f>
        <v>0</v>
      </c>
      <c r="H103" s="122" cm="1">
        <f t="array" aca="1" ref="H103" ca="1">IF(RegimeExecucao="Global","",ORÇAMENTO!W103)</f>
        <v>0</v>
      </c>
      <c r="I103" s="125">
        <f ca="1">ORÇAMENTO!X103</f>
        <v>545054.98</v>
      </c>
      <c r="J103" s="333" cm="1">
        <f t="array" aca="1" ref="J103" ca="1">IF($A103="S",IF(CAIXA.Modo,BM.AFAnterior,BM.MEDAnterior),IF(AND(RegimeExecucao="Global",$I103&gt;0,COUNTIF($AB$13:$AM$13,BM.medicao-1)&gt;0),M103/$I103*100,0))</f>
        <v>0</v>
      </c>
      <c r="K103" s="122">
        <f t="shared" ca="1" si="3"/>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4"/>
        <v>0</v>
      </c>
      <c r="O103" s="125" cm="1">
        <f t="array" aca="1" ref="O103" ca="1">IF($A103="S",VTOTALBM,IF($A103=0,0,ROUND(SomaAgrupBM,15-13*ORÇAMENTO!$AF$11)))</f>
        <v>0</v>
      </c>
      <c r="Q103" s="337"/>
      <c r="R103" s="338"/>
      <c r="T103" s="117" t="str">
        <f t="shared" ca="1" si="5"/>
        <v/>
      </c>
      <c r="U103" s="163" t="str">
        <f t="shared" ca="1" si="6"/>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7"/>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x14ac:dyDescent="0.2">
      <c r="A104">
        <f ca="1">ORÇAMENTO!C104</f>
        <v>3</v>
      </c>
      <c r="B104">
        <f ca="1">ORÇAMENTO!D104</f>
        <v>2</v>
      </c>
      <c r="C104" s="114" t="str">
        <f t="shared" ca="1" si="1"/>
        <v>F</v>
      </c>
      <c r="D104" s="117" t="str">
        <f ca="1">ORÇAMENTO!O104</f>
        <v>1.5.1.</v>
      </c>
      <c r="E104" s="163" t="str">
        <f t="shared" si="2"/>
        <v>EMBASAMENTO</v>
      </c>
      <c r="F104" s="164" t="str" cm="1">
        <f t="array" aca="1" ref="F104" ca="1">IF(RegimeExecucao="Global","",ORÇAMENTO.Unidade)</f>
        <v>-</v>
      </c>
      <c r="G104" s="122" cm="1">
        <f t="array" aca="1" ref="G104" ca="1">IF(RegimeExecucao="Global","",ORÇAMENTO!T104)</f>
        <v>0</v>
      </c>
      <c r="H104" s="122" cm="1">
        <f t="array" aca="1" ref="H104" ca="1">IF(RegimeExecucao="Global","",ORÇAMENTO!W104)</f>
        <v>0</v>
      </c>
      <c r="I104" s="125">
        <f ca="1">ORÇAMENTO!X104</f>
        <v>16144.8</v>
      </c>
      <c r="J104" s="333" cm="1">
        <f t="array" aca="1" ref="J104" ca="1">IF($A104="S",IF(CAIXA.Modo,BM.AFAnterior,BM.MEDAnterior),IF(AND(RegimeExecucao="Global",$I104&gt;0,COUNTIF($AB$13:$AM$13,BM.medicao-1)&gt;0),M104/$I104*100,0))</f>
        <v>0</v>
      </c>
      <c r="K104" s="122">
        <f t="shared" ca="1" si="3"/>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4"/>
        <v>0</v>
      </c>
      <c r="O104" s="125" cm="1">
        <f t="array" aca="1" ref="O104" ca="1">IF($A104="S",VTOTALBM,IF($A104=0,0,ROUND(SomaAgrupBM,15-13*ORÇAMENTO!$AF$11)))</f>
        <v>0</v>
      </c>
      <c r="Q104" s="337"/>
      <c r="R104" s="338"/>
      <c r="T104" s="117" t="str">
        <f t="shared" ca="1" si="5"/>
        <v/>
      </c>
      <c r="U104" s="163" t="str">
        <f t="shared" ca="1" si="6"/>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7"/>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38.25" x14ac:dyDescent="0.2">
      <c r="A105" t="str">
        <f ca="1">ORÇAMENTO!C105</f>
        <v>S</v>
      </c>
      <c r="B105">
        <f ca="1">ORÇAMENTO!D105</f>
        <v>0</v>
      </c>
      <c r="C105" s="114" t="str">
        <f t="shared" ca="1" si="1"/>
        <v>F</v>
      </c>
      <c r="D105" s="117" t="str">
        <f ca="1">ORÇAMENTO!O105</f>
        <v>1.5.1.0.1.</v>
      </c>
      <c r="E105" s="163" t="str">
        <f t="shared" ca="1" si="2"/>
        <v>ALVENARIA DE VEDAÇÃO DE BLOCOS CERÂMICOS MACIÇOS DE 5X10X20CM (ESPESSURA 10CM) E ARGAMASSA DE ASSENTAMENTO COM PREPARO EM BETONEIRA. AF_05/2020</v>
      </c>
      <c r="F105" s="164" t="str" cm="1">
        <f t="array" aca="1" ref="F105" ca="1">IF(RegimeExecucao="Global","",ORÇAMENTO.Unidade)</f>
        <v>M2</v>
      </c>
      <c r="G105" s="122" cm="1">
        <f t="array" aca="1" ref="G105" ca="1">IF(RegimeExecucao="Global","",ORÇAMENTO!T105)</f>
        <v>93</v>
      </c>
      <c r="H105" s="122" cm="1">
        <f t="array" aca="1" ref="H105" ca="1">IF(RegimeExecucao="Global","",ORÇAMENTO!W105)</f>
        <v>173.6</v>
      </c>
      <c r="I105" s="125">
        <f ca="1">ORÇAMENTO!X105</f>
        <v>16144.8</v>
      </c>
      <c r="J105" s="333" cm="1">
        <f t="array" aca="1" ref="J105" ca="1">IF($A105="S",IF(CAIXA.Modo,BM.AFAnterior,BM.MEDAnterior),IF(AND(RegimeExecucao="Global",$I105&gt;0,COUNTIF($AB$13:$AM$13,BM.medicao-1)&gt;0),M105/$I105*100,0))</f>
        <v>0</v>
      </c>
      <c r="K105" s="122">
        <f t="shared" ca="1" si="3"/>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4"/>
        <v>0</v>
      </c>
      <c r="O105" s="125" cm="1">
        <f t="array" aca="1" ref="O105" ca="1">IF($A105="S",VTOTALBM,IF($A105=0,0,ROUND(SomaAgrupBM,15-13*ORÇAMENTO!$AF$11)))</f>
        <v>0</v>
      </c>
      <c r="Q105" s="337"/>
      <c r="R105" s="338"/>
      <c r="T105" s="117" t="str">
        <f t="shared" ca="1" si="5"/>
        <v/>
      </c>
      <c r="U105" s="163" t="str">
        <f t="shared" ca="1" si="6"/>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7"/>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x14ac:dyDescent="0.2">
      <c r="A106">
        <f ca="1">ORÇAMENTO!C106</f>
        <v>3</v>
      </c>
      <c r="B106">
        <f ca="1">ORÇAMENTO!D106</f>
        <v>2</v>
      </c>
      <c r="C106" s="114" t="str">
        <f t="shared" ca="1" si="1"/>
        <v>F</v>
      </c>
      <c r="D106" s="117" t="str">
        <f ca="1">ORÇAMENTO!O106</f>
        <v>1.5.2.</v>
      </c>
      <c r="E106" s="163" t="str">
        <f t="shared" si="2"/>
        <v>ALVENARIAS DE VEDAÇÕES E DIVISÓRIAS</v>
      </c>
      <c r="F106" s="164" t="str" cm="1">
        <f t="array" aca="1" ref="F106" ca="1">IF(RegimeExecucao="Global","",ORÇAMENTO.Unidade)</f>
        <v>-</v>
      </c>
      <c r="G106" s="122" cm="1">
        <f t="array" aca="1" ref="G106" ca="1">IF(RegimeExecucao="Global","",ORÇAMENTO!T106)</f>
        <v>0</v>
      </c>
      <c r="H106" s="122" cm="1">
        <f t="array" aca="1" ref="H106" ca="1">IF(RegimeExecucao="Global","",ORÇAMENTO!W106)</f>
        <v>0</v>
      </c>
      <c r="I106" s="125">
        <f ca="1">ORÇAMENTO!X106</f>
        <v>527728.29</v>
      </c>
      <c r="J106" s="333" cm="1">
        <f t="array" aca="1" ref="J106" ca="1">IF($A106="S",IF(CAIXA.Modo,BM.AFAnterior,BM.MEDAnterior),IF(AND(RegimeExecucao="Global",$I106&gt;0,COUNTIF($AB$13:$AM$13,BM.medicao-1)&gt;0),M106/$I106*100,0))</f>
        <v>0</v>
      </c>
      <c r="K106" s="122">
        <f t="shared" ca="1" si="3"/>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4"/>
        <v>0</v>
      </c>
      <c r="O106" s="125" cm="1">
        <f t="array" aca="1" ref="O106" ca="1">IF($A106="S",VTOTALBM,IF($A106=0,0,ROUND(SomaAgrupBM,15-13*ORÇAMENTO!$AF$11)))</f>
        <v>0</v>
      </c>
      <c r="Q106" s="337"/>
      <c r="R106" s="338"/>
      <c r="T106" s="117" t="str">
        <f t="shared" ca="1" si="5"/>
        <v/>
      </c>
      <c r="U106" s="163" t="str">
        <f t="shared" ca="1" si="6"/>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7"/>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51" x14ac:dyDescent="0.2">
      <c r="A107" t="str">
        <f ca="1">ORÇAMENTO!C107</f>
        <v>S</v>
      </c>
      <c r="B107">
        <f ca="1">ORÇAMENTO!D107</f>
        <v>0</v>
      </c>
      <c r="C107" s="114" t="str">
        <f t="shared" ca="1" si="1"/>
        <v>F</v>
      </c>
      <c r="D107" s="117" t="str">
        <f ca="1">ORÇAMENTO!O107</f>
        <v>1.5.2.0.1.</v>
      </c>
      <c r="E107" s="163" t="str">
        <f t="shared" ca="1" si="2"/>
        <v>ALVENARIA DE VEDAÇÃO DE BLOCOS CERÂMICOS FURADOS NA HORIZONTAL DE 11,5X14X24 CM (ESPESSURA 11,5 CM) E ARGAMASSA DE ASSENTAMENTO COM PREPARO MANUAL. AF_12/2021</v>
      </c>
      <c r="F107" s="164" t="str" cm="1">
        <f t="array" aca="1" ref="F107" ca="1">IF(RegimeExecucao="Global","",ORÇAMENTO.Unidade)</f>
        <v>M2</v>
      </c>
      <c r="G107" s="122" cm="1">
        <f t="array" aca="1" ref="G107" ca="1">IF(RegimeExecucao="Global","",ORÇAMENTO!T107)</f>
        <v>4583.76</v>
      </c>
      <c r="H107" s="122" cm="1">
        <f t="array" aca="1" ref="H107" ca="1">IF(RegimeExecucao="Global","",ORÇAMENTO!W107)</f>
        <v>115.13</v>
      </c>
      <c r="I107" s="125">
        <f ca="1">ORÇAMENTO!X107</f>
        <v>527728.29</v>
      </c>
      <c r="J107" s="333" cm="1">
        <f t="array" aca="1" ref="J107" ca="1">IF($A107="S",IF(CAIXA.Modo,BM.AFAnterior,BM.MEDAnterior),IF(AND(RegimeExecucao="Global",$I107&gt;0,COUNTIF($AB$13:$AM$13,BM.medicao-1)&gt;0),M107/$I107*100,0))</f>
        <v>0</v>
      </c>
      <c r="K107" s="122">
        <f t="shared" ca="1" si="3"/>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4"/>
        <v>0</v>
      </c>
      <c r="O107" s="125" cm="1">
        <f t="array" aca="1" ref="O107" ca="1">IF($A107="S",VTOTALBM,IF($A107=0,0,ROUND(SomaAgrupBM,15-13*ORÇAMENTO!$AF$11)))</f>
        <v>0</v>
      </c>
      <c r="Q107" s="337"/>
      <c r="R107" s="338"/>
      <c r="T107" s="117" t="str">
        <f t="shared" ca="1" si="5"/>
        <v/>
      </c>
      <c r="U107" s="163" t="str">
        <f t="shared" ca="1" si="6"/>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7"/>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x14ac:dyDescent="0.2">
      <c r="A108">
        <f ca="1">ORÇAMENTO!C108</f>
        <v>3</v>
      </c>
      <c r="B108">
        <f ca="1">ORÇAMENTO!D108</f>
        <v>3</v>
      </c>
      <c r="C108" s="114" t="str">
        <f t="shared" ca="1" si="1"/>
        <v>F</v>
      </c>
      <c r="D108" s="117" t="str">
        <f ca="1">ORÇAMENTO!O108</f>
        <v>1.5.3.</v>
      </c>
      <c r="E108" s="163" t="str">
        <f t="shared" si="2"/>
        <v>VERGAS E CONTRAVERGAS</v>
      </c>
      <c r="F108" s="164" t="str" cm="1">
        <f t="array" aca="1" ref="F108" ca="1">IF(RegimeExecucao="Global","",ORÇAMENTO.Unidade)</f>
        <v>-</v>
      </c>
      <c r="G108" s="122" cm="1">
        <f t="array" aca="1" ref="G108" ca="1">IF(RegimeExecucao="Global","",ORÇAMENTO!T108)</f>
        <v>0</v>
      </c>
      <c r="H108" s="122" cm="1">
        <f t="array" aca="1" ref="H108" ca="1">IF(RegimeExecucao="Global","",ORÇAMENTO!W108)</f>
        <v>0</v>
      </c>
      <c r="I108" s="125">
        <f ca="1">ORÇAMENTO!X108</f>
        <v>1181.8900000000001</v>
      </c>
      <c r="J108" s="333" cm="1">
        <f t="array" aca="1" ref="J108" ca="1">IF($A108="S",IF(CAIXA.Modo,BM.AFAnterior,BM.MEDAnterior),IF(AND(RegimeExecucao="Global",$I108&gt;0,COUNTIF($AB$13:$AM$13,BM.medicao-1)&gt;0),M108/$I108*100,0))</f>
        <v>0</v>
      </c>
      <c r="K108" s="122">
        <f t="shared" ca="1" si="3"/>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4"/>
        <v>0</v>
      </c>
      <c r="O108" s="125" cm="1">
        <f t="array" aca="1" ref="O108" ca="1">IF($A108="S",VTOTALBM,IF($A108=0,0,ROUND(SomaAgrupBM,15-13*ORÇAMENTO!$AF$11)))</f>
        <v>0</v>
      </c>
      <c r="Q108" s="337"/>
      <c r="R108" s="338"/>
      <c r="T108" s="117" t="str">
        <f t="shared" ca="1" si="5"/>
        <v/>
      </c>
      <c r="U108" s="163" t="str">
        <f t="shared" ca="1" si="6"/>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7"/>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25.5" x14ac:dyDescent="0.2">
      <c r="A109" t="str">
        <f ca="1">ORÇAMENTO!C109</f>
        <v>S</v>
      </c>
      <c r="B109">
        <f ca="1">ORÇAMENTO!D109</f>
        <v>0</v>
      </c>
      <c r="C109" s="114" t="str">
        <f t="shared" ca="1" si="1"/>
        <v>F</v>
      </c>
      <c r="D109" s="117" t="str">
        <f ca="1">ORÇAMENTO!O109</f>
        <v>1.5.3.0.1.</v>
      </c>
      <c r="E109" s="163" t="str">
        <f t="shared" ca="1" si="2"/>
        <v>VERGA MOLDADA IN LOCO EM CONCRETO, ESPESSURA DE *10* CM. AF_03/2024</v>
      </c>
      <c r="F109" s="164" t="str" cm="1">
        <f t="array" aca="1" ref="F109" ca="1">IF(RegimeExecucao="Global","",ORÇAMENTO.Unidade)</f>
        <v>M</v>
      </c>
      <c r="G109" s="122" cm="1">
        <f t="array" aca="1" ref="G109" ca="1">IF(RegimeExecucao="Global","",ORÇAMENTO!T109)</f>
        <v>12.8</v>
      </c>
      <c r="H109" s="122" cm="1">
        <f t="array" aca="1" ref="H109" ca="1">IF(RegimeExecucao="Global","",ORÇAMENTO!W109)</f>
        <v>65.63</v>
      </c>
      <c r="I109" s="125">
        <f ca="1">ORÇAMENTO!X109</f>
        <v>840.06</v>
      </c>
      <c r="J109" s="333" cm="1">
        <f t="array" aca="1" ref="J109" ca="1">IF($A109="S",IF(CAIXA.Modo,BM.AFAnterior,BM.MEDAnterior),IF(AND(RegimeExecucao="Global",$I109&gt;0,COUNTIF($AB$13:$AM$13,BM.medicao-1)&gt;0),M109/$I109*100,0))</f>
        <v>0</v>
      </c>
      <c r="K109" s="122">
        <f t="shared" ca="1" si="3"/>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4"/>
        <v>0</v>
      </c>
      <c r="O109" s="125" cm="1">
        <f t="array" aca="1" ref="O109" ca="1">IF($A109="S",VTOTALBM,IF($A109=0,0,ROUND(SomaAgrupBM,15-13*ORÇAMENTO!$AF$11)))</f>
        <v>0</v>
      </c>
      <c r="Q109" s="337"/>
      <c r="R109" s="338"/>
      <c r="T109" s="117" t="str">
        <f t="shared" ca="1" si="5"/>
        <v/>
      </c>
      <c r="U109" s="163" t="str">
        <f t="shared" ca="1" si="6"/>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7"/>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ht="25.5" x14ac:dyDescent="0.2">
      <c r="A110" t="str">
        <f ca="1">ORÇAMENTO!C110</f>
        <v>S</v>
      </c>
      <c r="B110">
        <f ca="1">ORÇAMENTO!D110</f>
        <v>0</v>
      </c>
      <c r="C110" s="114" t="str">
        <f t="shared" ca="1" si="1"/>
        <v>F</v>
      </c>
      <c r="D110" s="117" t="str">
        <f ca="1">ORÇAMENTO!O110</f>
        <v>1.5.3.0.2.</v>
      </c>
      <c r="E110" s="163" t="str">
        <f t="shared" ca="1" si="2"/>
        <v>CONTRAVERGA MOLDADA IN LOCO EM CONCRETO, ESPESSURA DE *10* CM. AF_03/2024</v>
      </c>
      <c r="F110" s="164" t="str" cm="1">
        <f t="array" aca="1" ref="F110" ca="1">IF(RegimeExecucao="Global","",ORÇAMENTO.Unidade)</f>
        <v>M</v>
      </c>
      <c r="G110" s="122" cm="1">
        <f t="array" aca="1" ref="G110" ca="1">IF(RegimeExecucao="Global","",ORÇAMENTO!T110)</f>
        <v>6.7</v>
      </c>
      <c r="H110" s="122" cm="1">
        <f t="array" aca="1" ref="H110" ca="1">IF(RegimeExecucao="Global","",ORÇAMENTO!W110)</f>
        <v>51.02</v>
      </c>
      <c r="I110" s="125">
        <f ca="1">ORÇAMENTO!X110</f>
        <v>341.83</v>
      </c>
      <c r="J110" s="333" cm="1">
        <f t="array" aca="1" ref="J110" ca="1">IF($A110="S",IF(CAIXA.Modo,BM.AFAnterior,BM.MEDAnterior),IF(AND(RegimeExecucao="Global",$I110&gt;0,COUNTIF($AB$13:$AM$13,BM.medicao-1)&gt;0),M110/$I110*100,0))</f>
        <v>0</v>
      </c>
      <c r="K110" s="122">
        <f t="shared" ca="1" si="3"/>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4"/>
        <v>0</v>
      </c>
      <c r="O110" s="125" cm="1">
        <f t="array" aca="1" ref="O110" ca="1">IF($A110="S",VTOTALBM,IF($A110=0,0,ROUND(SomaAgrupBM,15-13*ORÇAMENTO!$AF$11)))</f>
        <v>0</v>
      </c>
      <c r="Q110" s="337"/>
      <c r="R110" s="338"/>
      <c r="T110" s="117" t="str">
        <f t="shared" ca="1" si="5"/>
        <v/>
      </c>
      <c r="U110" s="163" t="str">
        <f t="shared" ca="1" si="6"/>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7"/>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f ca="1">ORÇAMENTO!C111</f>
        <v>2</v>
      </c>
      <c r="B111">
        <f ca="1">ORÇAMENTO!D111</f>
        <v>10</v>
      </c>
      <c r="C111" s="114" t="str">
        <f t="shared" ca="1" si="1"/>
        <v>F</v>
      </c>
      <c r="D111" s="117" t="str">
        <f ca="1">ORÇAMENTO!O111</f>
        <v>1.6.</v>
      </c>
      <c r="E111" s="163" t="str">
        <f t="shared" si="2"/>
        <v>COBERTURA</v>
      </c>
      <c r="F111" s="164" t="str" cm="1">
        <f t="array" aca="1" ref="F111" ca="1">IF(RegimeExecucao="Global","",ORÇAMENTO.Unidade)</f>
        <v>-</v>
      </c>
      <c r="G111" s="122" cm="1">
        <f t="array" aca="1" ref="G111" ca="1">IF(RegimeExecucao="Global","",ORÇAMENTO!T111)</f>
        <v>0</v>
      </c>
      <c r="H111" s="122" cm="1">
        <f t="array" aca="1" ref="H111" ca="1">IF(RegimeExecucao="Global","",ORÇAMENTO!W111)</f>
        <v>0</v>
      </c>
      <c r="I111" s="125">
        <f ca="1">ORÇAMENTO!X111</f>
        <v>754994.29</v>
      </c>
      <c r="J111" s="333" cm="1">
        <f t="array" aca="1" ref="J111" ca="1">IF($A111="S",IF(CAIXA.Modo,BM.AFAnterior,BM.MEDAnterior),IF(AND(RegimeExecucao="Global",$I111&gt;0,COUNTIF($AB$13:$AM$13,BM.medicao-1)&gt;0),M111/$I111*100,0))</f>
        <v>0</v>
      </c>
      <c r="K111" s="122">
        <f t="shared" ca="1" si="3"/>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4"/>
        <v>0</v>
      </c>
      <c r="O111" s="125" cm="1">
        <f t="array" aca="1" ref="O111" ca="1">IF($A111="S",VTOTALBM,IF($A111=0,0,ROUND(SomaAgrupBM,15-13*ORÇAMENTO!$AF$11)))</f>
        <v>0</v>
      </c>
      <c r="Q111" s="337"/>
      <c r="R111" s="338"/>
      <c r="T111" s="117" t="str">
        <f t="shared" ca="1" si="5"/>
        <v/>
      </c>
      <c r="U111" s="163" t="str">
        <f t="shared" ca="1" si="6"/>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7"/>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f ca="1">ORÇAMENTO!C112</f>
        <v>3</v>
      </c>
      <c r="B112">
        <f ca="1">ORÇAMENTO!D112</f>
        <v>4</v>
      </c>
      <c r="C112" s="114" t="str">
        <f t="shared" ca="1" si="1"/>
        <v>F</v>
      </c>
      <c r="D112" s="117" t="str">
        <f ca="1">ORÇAMENTO!O112</f>
        <v>1.6.1.</v>
      </c>
      <c r="E112" s="163" t="str">
        <f t="shared" si="2"/>
        <v>ESTRUTURA EM MADEIRA</v>
      </c>
      <c r="F112" s="164" t="str" cm="1">
        <f t="array" aca="1" ref="F112" ca="1">IF(RegimeExecucao="Global","",ORÇAMENTO.Unidade)</f>
        <v>-</v>
      </c>
      <c r="G112" s="122" cm="1">
        <f t="array" aca="1" ref="G112" ca="1">IF(RegimeExecucao="Global","",ORÇAMENTO!T112)</f>
        <v>0</v>
      </c>
      <c r="H112" s="122" cm="1">
        <f t="array" aca="1" ref="H112" ca="1">IF(RegimeExecucao="Global","",ORÇAMENTO!W112)</f>
        <v>0</v>
      </c>
      <c r="I112" s="125">
        <f ca="1">ORÇAMENTO!X112</f>
        <v>604286.59</v>
      </c>
      <c r="J112" s="333" cm="1">
        <f t="array" aca="1" ref="J112" ca="1">IF($A112="S",IF(CAIXA.Modo,BM.AFAnterior,BM.MEDAnterior),IF(AND(RegimeExecucao="Global",$I112&gt;0,COUNTIF($AB$13:$AM$13,BM.medicao-1)&gt;0),M112/$I112*100,0))</f>
        <v>0</v>
      </c>
      <c r="K112" s="122">
        <f t="shared" ca="1" si="3"/>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4"/>
        <v>0</v>
      </c>
      <c r="O112" s="125" cm="1">
        <f t="array" aca="1" ref="O112" ca="1">IF($A112="S",VTOTALBM,IF($A112=0,0,ROUND(SomaAgrupBM,15-13*ORÇAMENTO!$AF$11)))</f>
        <v>0</v>
      </c>
      <c r="Q112" s="337"/>
      <c r="R112" s="338"/>
      <c r="T112" s="117" t="str">
        <f t="shared" ca="1" si="5"/>
        <v/>
      </c>
      <c r="U112" s="163" t="str">
        <f t="shared" ca="1" si="6"/>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7"/>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51" x14ac:dyDescent="0.2">
      <c r="A113" t="str">
        <f ca="1">ORÇAMENTO!C113</f>
        <v>S</v>
      </c>
      <c r="B113">
        <f ca="1">ORÇAMENTO!D113</f>
        <v>0</v>
      </c>
      <c r="C113" s="114" t="str">
        <f t="shared" ca="1" si="1"/>
        <v>F</v>
      </c>
      <c r="D113" s="117" t="str">
        <f ca="1">ORÇAMENTO!O113</f>
        <v>1.6.1.0.1.</v>
      </c>
      <c r="E113" s="163" t="str">
        <f t="shared" ca="1" si="2"/>
        <v>FABRICAÇÃO E INSTALAÇÃO DE TESOURA INTEIRA EM MADEIRA NÃO APARELHADA, VÃO DE 8 M, PARA TELHA ONDULADA DE FIBROCIMENTO, METÁLICA, PLÁSTICA OU TERMOACÚSTICA, INCLUSO IÇAMENTO. AF_10/2025</v>
      </c>
      <c r="F113" s="164" t="str" cm="1">
        <f t="array" aca="1" ref="F113" ca="1">IF(RegimeExecucao="Global","",ORÇAMENTO.Unidade)</f>
        <v>UN</v>
      </c>
      <c r="G113" s="122" cm="1">
        <f t="array" aca="1" ref="G113" ca="1">IF(RegimeExecucao="Global","",ORÇAMENTO!T113)</f>
        <v>120</v>
      </c>
      <c r="H113" s="122" cm="1">
        <f t="array" aca="1" ref="H113" ca="1">IF(RegimeExecucao="Global","",ORÇAMENTO!W113)</f>
        <v>2834.36</v>
      </c>
      <c r="I113" s="125">
        <f ca="1">ORÇAMENTO!X113</f>
        <v>340123.2</v>
      </c>
      <c r="J113" s="333" cm="1">
        <f t="array" aca="1" ref="J113" ca="1">IF($A113="S",IF(CAIXA.Modo,BM.AFAnterior,BM.MEDAnterior),IF(AND(RegimeExecucao="Global",$I113&gt;0,COUNTIF($AB$13:$AM$13,BM.medicao-1)&gt;0),M113/$I113*100,0))</f>
        <v>0</v>
      </c>
      <c r="K113" s="122">
        <f t="shared" ca="1" si="3"/>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4"/>
        <v>0</v>
      </c>
      <c r="O113" s="125" cm="1">
        <f t="array" aca="1" ref="O113" ca="1">IF($A113="S",VTOTALBM,IF($A113=0,0,ROUND(SomaAgrupBM,15-13*ORÇAMENTO!$AF$11)))</f>
        <v>0</v>
      </c>
      <c r="Q113" s="337"/>
      <c r="R113" s="338"/>
      <c r="T113" s="117" t="str">
        <f t="shared" ca="1" si="5"/>
        <v/>
      </c>
      <c r="U113" s="163" t="str">
        <f t="shared" ca="1" si="6"/>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7"/>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ht="51" x14ac:dyDescent="0.2">
      <c r="A114" t="str">
        <f ca="1">ORÇAMENTO!C114</f>
        <v>S</v>
      </c>
      <c r="B114">
        <f ca="1">ORÇAMENTO!D114</f>
        <v>0</v>
      </c>
      <c r="C114" s="114" t="str">
        <f t="shared" ca="1" si="1"/>
        <v>F</v>
      </c>
      <c r="D114" s="117" t="str">
        <f ca="1">ORÇAMENTO!O114</f>
        <v>1.6.1.0.2.</v>
      </c>
      <c r="E114" s="163" t="str">
        <f t="shared" ca="1" si="2"/>
        <v>FABRICAÇÃO E INSTALAÇÃO DE MEIA TESOURA DE MADEIRA NÃO APARELHADA, COM VÃO DE 4 M, PARA TELHA ONDULADA DE FIBROCIMENTO, ALUMÍNIO, PLÁSTICA OU TERMOACÚSTICA, INCLUSO IÇAMENTO. AF_10/2025</v>
      </c>
      <c r="F114" s="164" t="str" cm="1">
        <f t="array" aca="1" ref="F114" ca="1">IF(RegimeExecucao="Global","",ORÇAMENTO.Unidade)</f>
        <v>UN</v>
      </c>
      <c r="G114" s="122" cm="1">
        <f t="array" aca="1" ref="G114" ca="1">IF(RegimeExecucao="Global","",ORÇAMENTO!T114)</f>
        <v>120</v>
      </c>
      <c r="H114" s="122" cm="1">
        <f t="array" aca="1" ref="H114" ca="1">IF(RegimeExecucao="Global","",ORÇAMENTO!W114)</f>
        <v>1795.31</v>
      </c>
      <c r="I114" s="125">
        <f ca="1">ORÇAMENTO!X114</f>
        <v>215437.2</v>
      </c>
      <c r="J114" s="333" cm="1">
        <f t="array" aca="1" ref="J114" ca="1">IF($A114="S",IF(CAIXA.Modo,BM.AFAnterior,BM.MEDAnterior),IF(AND(RegimeExecucao="Global",$I114&gt;0,COUNTIF($AB$13:$AM$13,BM.medicao-1)&gt;0),M114/$I114*100,0))</f>
        <v>0</v>
      </c>
      <c r="K114" s="122">
        <f t="shared" ca="1" si="3"/>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4"/>
        <v>0</v>
      </c>
      <c r="O114" s="125" cm="1">
        <f t="array" aca="1" ref="O114" ca="1">IF($A114="S",VTOTALBM,IF($A114=0,0,ROUND(SomaAgrupBM,15-13*ORÇAMENTO!$AF$11)))</f>
        <v>0</v>
      </c>
      <c r="Q114" s="337"/>
      <c r="R114" s="338"/>
      <c r="T114" s="117" t="str">
        <f t="shared" ca="1" si="5"/>
        <v/>
      </c>
      <c r="U114" s="163" t="str">
        <f t="shared" ca="1" si="6"/>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7"/>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51" x14ac:dyDescent="0.2">
      <c r="A115" t="str">
        <f ca="1">ORÇAMENTO!C115</f>
        <v>S</v>
      </c>
      <c r="B115">
        <f ca="1">ORÇAMENTO!D115</f>
        <v>0</v>
      </c>
      <c r="C115" s="114" t="str">
        <f t="shared" ca="1" si="1"/>
        <v>F</v>
      </c>
      <c r="D115" s="117" t="str">
        <f ca="1">ORÇAMENTO!O115</f>
        <v>1.6.1.0.3.</v>
      </c>
      <c r="E115" s="163" t="str">
        <f t="shared" ca="1" si="2"/>
        <v>TRAMA DE MADEIRA COMPOSTA POR TERÇAS PARA TELHADOS DE ATÉ 2 ÁGUAS PARA TELHA ONDULADA DE FIBROCIMENTO, METÁLICA, PLÁSTICA OU TERMOACÚSTICA, INCLUSO TRANSPORTE VERTICAL. AF_10/2025</v>
      </c>
      <c r="F115" s="164" t="str" cm="1">
        <f t="array" aca="1" ref="F115" ca="1">IF(RegimeExecucao="Global","",ORÇAMENTO.Unidade)</f>
        <v>M2</v>
      </c>
      <c r="G115" s="122" cm="1">
        <f t="array" aca="1" ref="G115" ca="1">IF(RegimeExecucao="Global","",ORÇAMENTO!T115)</f>
        <v>1534.2</v>
      </c>
      <c r="H115" s="122" cm="1">
        <f t="array" aca="1" ref="H115" ca="1">IF(RegimeExecucao="Global","",ORÇAMENTO!W115)</f>
        <v>31.76</v>
      </c>
      <c r="I115" s="125">
        <f ca="1">ORÇAMENTO!X115</f>
        <v>48726.19</v>
      </c>
      <c r="J115" s="333" cm="1">
        <f t="array" aca="1" ref="J115" ca="1">IF($A115="S",IF(CAIXA.Modo,BM.AFAnterior,BM.MEDAnterior),IF(AND(RegimeExecucao="Global",$I115&gt;0,COUNTIF($AB$13:$AM$13,BM.medicao-1)&gt;0),M115/$I115*100,0))</f>
        <v>0</v>
      </c>
      <c r="K115" s="122">
        <f t="shared" ca="1" si="3"/>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4"/>
        <v>0</v>
      </c>
      <c r="O115" s="125" cm="1">
        <f t="array" aca="1" ref="O115" ca="1">IF($A115="S",VTOTALBM,IF($A115=0,0,ROUND(SomaAgrupBM,15-13*ORÇAMENTO!$AF$11)))</f>
        <v>0</v>
      </c>
      <c r="Q115" s="337"/>
      <c r="R115" s="338"/>
      <c r="T115" s="117" t="str">
        <f t="shared" ca="1" si="5"/>
        <v/>
      </c>
      <c r="U115" s="163" t="str">
        <f t="shared" ca="1" si="6"/>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7"/>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x14ac:dyDescent="0.2">
      <c r="A116">
        <f ca="1">ORÇAMENTO!C116</f>
        <v>3</v>
      </c>
      <c r="B116">
        <f ca="1">ORÇAMENTO!D116</f>
        <v>5</v>
      </c>
      <c r="C116" s="114" t="str">
        <f t="shared" ca="1" si="1"/>
        <v>F</v>
      </c>
      <c r="D116" s="117" t="str">
        <f ca="1">ORÇAMENTO!O116</f>
        <v>1.6.2.</v>
      </c>
      <c r="E116" s="163" t="str">
        <f t="shared" si="2"/>
        <v>TELHAMENTO</v>
      </c>
      <c r="F116" s="164" t="str" cm="1">
        <f t="array" aca="1" ref="F116" ca="1">IF(RegimeExecucao="Global","",ORÇAMENTO.Unidade)</f>
        <v>-</v>
      </c>
      <c r="G116" s="122" cm="1">
        <f t="array" aca="1" ref="G116" ca="1">IF(RegimeExecucao="Global","",ORÇAMENTO!T116)</f>
        <v>0</v>
      </c>
      <c r="H116" s="122" cm="1">
        <f t="array" aca="1" ref="H116" ca="1">IF(RegimeExecucao="Global","",ORÇAMENTO!W116)</f>
        <v>0</v>
      </c>
      <c r="I116" s="125">
        <f ca="1">ORÇAMENTO!X116</f>
        <v>150707.70000000001</v>
      </c>
      <c r="J116" s="333" cm="1">
        <f t="array" aca="1" ref="J116" ca="1">IF($A116="S",IF(CAIXA.Modo,BM.AFAnterior,BM.MEDAnterior),IF(AND(RegimeExecucao="Global",$I116&gt;0,COUNTIF($AB$13:$AM$13,BM.medicao-1)&gt;0),M116/$I116*100,0))</f>
        <v>0</v>
      </c>
      <c r="K116" s="122">
        <f t="shared" ca="1" si="3"/>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4"/>
        <v>0</v>
      </c>
      <c r="O116" s="125" cm="1">
        <f t="array" aca="1" ref="O116" ca="1">IF($A116="S",VTOTALBM,IF($A116=0,0,ROUND(SomaAgrupBM,15-13*ORÇAMENTO!$AF$11)))</f>
        <v>0</v>
      </c>
      <c r="Q116" s="337"/>
      <c r="R116" s="338"/>
      <c r="T116" s="117" t="str">
        <f t="shared" ca="1" si="5"/>
        <v/>
      </c>
      <c r="U116" s="163" t="str">
        <f t="shared" ca="1" si="6"/>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7"/>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51" x14ac:dyDescent="0.2">
      <c r="A117" t="str">
        <f ca="1">ORÇAMENTO!C117</f>
        <v>S</v>
      </c>
      <c r="B117">
        <f ca="1">ORÇAMENTO!D117</f>
        <v>0</v>
      </c>
      <c r="C117" s="114" t="str">
        <f t="shared" ca="1" si="1"/>
        <v>F</v>
      </c>
      <c r="D117" s="117" t="str">
        <f ca="1">ORÇAMENTO!O117</f>
        <v>1.6.2.0.1.</v>
      </c>
      <c r="E117" s="163" t="str">
        <f t="shared" ca="1" si="2"/>
        <v>TELHAMENTO COM TELHA ONDULADA DE FIBROCIMENTO E = 6 MM, COM RECOBRIMENTO LATERAL DE 1/4 DE ONDA PARA TELHADO COM INCLINAÇÃO MAIOR QUE 10°, COM ATÉ 2 ÁGUAS, INCLUSO IÇAMENTO. AF_07/2019</v>
      </c>
      <c r="F117" s="164" t="str" cm="1">
        <f t="array" aca="1" ref="F117" ca="1">IF(RegimeExecucao="Global","",ORÇAMENTO.Unidade)</f>
        <v>M2</v>
      </c>
      <c r="G117" s="122" cm="1">
        <f t="array" aca="1" ref="G117" ca="1">IF(RegimeExecucao="Global","",ORÇAMENTO!T117)</f>
        <v>1665.9</v>
      </c>
      <c r="H117" s="122" cm="1">
        <f t="array" aca="1" ref="H117" ca="1">IF(RegimeExecucao="Global","",ORÇAMENTO!W117)</f>
        <v>60.76</v>
      </c>
      <c r="I117" s="125">
        <f ca="1">ORÇAMENTO!X117</f>
        <v>101220.08</v>
      </c>
      <c r="J117" s="333" cm="1">
        <f t="array" aca="1" ref="J117" ca="1">IF($A117="S",IF(CAIXA.Modo,BM.AFAnterior,BM.MEDAnterior),IF(AND(RegimeExecucao="Global",$I117&gt;0,COUNTIF($AB$13:$AM$13,BM.medicao-1)&gt;0),M117/$I117*100,0))</f>
        <v>0</v>
      </c>
      <c r="K117" s="122">
        <f t="shared" ca="1" si="3"/>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4"/>
        <v>0</v>
      </c>
      <c r="O117" s="125" cm="1">
        <f t="array" aca="1" ref="O117" ca="1">IF($A117="S",VTOTALBM,IF($A117=0,0,ROUND(SomaAgrupBM,15-13*ORÇAMENTO!$AF$11)))</f>
        <v>0</v>
      </c>
      <c r="Q117" s="337"/>
      <c r="R117" s="338"/>
      <c r="T117" s="117" t="str">
        <f t="shared" ca="1" si="5"/>
        <v/>
      </c>
      <c r="U117" s="163" t="str">
        <f t="shared" ca="1" si="6"/>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7"/>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4" t="str">
        <f t="shared" ca="1" si="1"/>
        <v>F</v>
      </c>
      <c r="D118" s="117" t="str">
        <f ca="1">ORÇAMENTO!O118</f>
        <v>1.6.2.0.2.</v>
      </c>
      <c r="E118" s="163" t="str">
        <f t="shared" ca="1" si="2"/>
        <v>CUMEEIRA PARA TELHA DE FIBROCIMENTO ONDULADA E = 6 MM, INCLUSO ACESSÓRIOS DE FIXAÇÃO E IÇAMENTO. AF_07/2019</v>
      </c>
      <c r="F118" s="164" t="str" cm="1">
        <f t="array" aca="1" ref="F118" ca="1">IF(RegimeExecucao="Global","",ORÇAMENTO.Unidade)</f>
        <v>M</v>
      </c>
      <c r="G118" s="122" cm="1">
        <f t="array" aca="1" ref="G118" ca="1">IF(RegimeExecucao="Global","",ORÇAMENTO!T118)</f>
        <v>126</v>
      </c>
      <c r="H118" s="122" cm="1">
        <f t="array" aca="1" ref="H118" ca="1">IF(RegimeExecucao="Global","",ORÇAMENTO!W118)</f>
        <v>101.74</v>
      </c>
      <c r="I118" s="125">
        <f ca="1">ORÇAMENTO!X118</f>
        <v>12819.24</v>
      </c>
      <c r="J118" s="333" cm="1">
        <f t="array" aca="1" ref="J118" ca="1">IF($A118="S",IF(CAIXA.Modo,BM.AFAnterior,BM.MEDAnterior),IF(AND(RegimeExecucao="Global",$I118&gt;0,COUNTIF($AB$13:$AM$13,BM.medicao-1)&gt;0),M118/$I118*100,0))</f>
        <v>0</v>
      </c>
      <c r="K118" s="122">
        <f t="shared" ca="1" si="3"/>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4"/>
        <v>0</v>
      </c>
      <c r="O118" s="125" cm="1">
        <f t="array" aca="1" ref="O118" ca="1">IF($A118="S",VTOTALBM,IF($A118=0,0,ROUND(SomaAgrupBM,15-13*ORÇAMENTO!$AF$11)))</f>
        <v>0</v>
      </c>
      <c r="Q118" s="337"/>
      <c r="R118" s="338"/>
      <c r="T118" s="117" t="str">
        <f t="shared" ca="1" si="5"/>
        <v/>
      </c>
      <c r="U118" s="163" t="str">
        <f t="shared" ca="1" si="6"/>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7"/>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25.5" x14ac:dyDescent="0.2">
      <c r="A119" t="str">
        <f ca="1">ORÇAMENTO!C119</f>
        <v>S</v>
      </c>
      <c r="B119">
        <f ca="1">ORÇAMENTO!D119</f>
        <v>0</v>
      </c>
      <c r="C119" s="114" t="str">
        <f t="shared" ca="1" si="1"/>
        <v>F</v>
      </c>
      <c r="D119" s="117" t="str">
        <f ca="1">ORÇAMENTO!O119</f>
        <v>1.6.2.0.3.</v>
      </c>
      <c r="E119" s="163" t="str">
        <f t="shared" ca="1" si="2"/>
        <v>RUFO EM CHAPA DE AÇO GALVANIZADO NÚMERO 24, CORTE DE 25 CM, INCLUSO TRANSPORTE VERTICAL. AF_07/2019</v>
      </c>
      <c r="F119" s="164" t="str" cm="1">
        <f t="array" aca="1" ref="F119" ca="1">IF(RegimeExecucao="Global","",ORÇAMENTO.Unidade)</f>
        <v>M</v>
      </c>
      <c r="G119" s="122" cm="1">
        <f t="array" aca="1" ref="G119" ca="1">IF(RegimeExecucao="Global","",ORÇAMENTO!T119)</f>
        <v>256.2</v>
      </c>
      <c r="H119" s="122" cm="1">
        <f t="array" aca="1" ref="H119" ca="1">IF(RegimeExecucao="Global","",ORÇAMENTO!W119)</f>
        <v>72.64</v>
      </c>
      <c r="I119" s="125">
        <f ca="1">ORÇAMENTO!X119</f>
        <v>18610.37</v>
      </c>
      <c r="J119" s="333" cm="1">
        <f t="array" aca="1" ref="J119" ca="1">IF($A119="S",IF(CAIXA.Modo,BM.AFAnterior,BM.MEDAnterior),IF(AND(RegimeExecucao="Global",$I119&gt;0,COUNTIF($AB$13:$AM$13,BM.medicao-1)&gt;0),M119/$I119*100,0))</f>
        <v>0</v>
      </c>
      <c r="K119" s="122">
        <f t="shared" ca="1" si="3"/>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4"/>
        <v>0</v>
      </c>
      <c r="O119" s="125" cm="1">
        <f t="array" aca="1" ref="O119" ca="1">IF($A119="S",VTOTALBM,IF($A119=0,0,ROUND(SomaAgrupBM,15-13*ORÇAMENTO!$AF$11)))</f>
        <v>0</v>
      </c>
      <c r="Q119" s="337"/>
      <c r="R119" s="338"/>
      <c r="T119" s="117" t="str">
        <f t="shared" ca="1" si="5"/>
        <v/>
      </c>
      <c r="U119" s="163" t="str">
        <f t="shared" ca="1" si="6"/>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7"/>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114" t="str">
        <f ca="1">IF(OR($I120&gt;0,$A120=1,$A120=2,$A120=3,$A120=4),"F","")</f>
        <v>F</v>
      </c>
      <c r="D120" s="117" t="str">
        <f ca="1">ORÇAMENTO!O120</f>
        <v>1.6.2.0.4.</v>
      </c>
      <c r="E120" s="163" t="str">
        <f ca="1">ORÇAMENTO.Descricao</f>
        <v>RUFO EXTERNO/INTERNO EM CHAPA DE AÇO GALVANIZADO NÚMERO 26, CORTE DE 33 CM, INCLUSO IÇAMENTO. AF_07/2019</v>
      </c>
      <c r="F120" s="164" t="str" cm="1">
        <f t="array" aca="1" ref="F120" ca="1">IF(RegimeExecucao="Global","",ORÇAMENTO.Unidade)</f>
        <v>M</v>
      </c>
      <c r="G120" s="122" cm="1">
        <f t="array" aca="1" ref="G120" ca="1">IF(RegimeExecucao="Global","",ORÇAMENTO!T120)</f>
        <v>217.2</v>
      </c>
      <c r="H120" s="122" cm="1">
        <f t="array" aca="1" ref="H120" ca="1">IF(RegimeExecucao="Global","",ORÇAMENTO!W120)</f>
        <v>83.14</v>
      </c>
      <c r="I120" s="125">
        <f ca="1">ORÇAMENTO!X120</f>
        <v>18058.009999999998</v>
      </c>
      <c r="J120" s="333" cm="1">
        <f t="array" aca="1" ref="J120" ca="1">IF($A120="S",IF(CAIXA.Modo,BM.AFAnterior,BM.MEDAnterior),IF(AND(RegimeExecucao="Global",$I120&gt;0,COUNTIF($AB$13:$AM$13,BM.medicao-1)&gt;0),M120/$I120*100,0))</f>
        <v>0</v>
      </c>
      <c r="K120" s="122">
        <f ca="1">L120-J120</f>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ca="1">O120-M120</f>
        <v>0</v>
      </c>
      <c r="O120" s="125" cm="1">
        <f t="array" aca="1" ref="O120" ca="1">IF($A120="S",VTOTALBM,IF($A120=0,0,ROUND(SomaAgrupBM,15-13*ORÇAMENTO!$AF$11)))</f>
        <v>0</v>
      </c>
      <c r="Q120" s="337"/>
      <c r="R120" s="338"/>
      <c r="T120" s="117" t="str">
        <f ca="1">IF($W120&gt;0,$D120,"")</f>
        <v/>
      </c>
      <c r="U120" s="163" t="str">
        <f ca="1">IF($W120&gt;0,$E120,"")</f>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ca="1">AO120-O120</f>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x14ac:dyDescent="0.2">
      <c r="A121">
        <f ca="1">ORÇAMENTO!C121</f>
        <v>2</v>
      </c>
      <c r="B121">
        <f ca="1">ORÇAMENTO!D121</f>
        <v>11</v>
      </c>
      <c r="C121" s="114" t="str">
        <f t="shared" ca="1" si="1"/>
        <v>F</v>
      </c>
      <c r="D121" s="117" t="str">
        <f ca="1">ORÇAMENTO!O121</f>
        <v>1.7.</v>
      </c>
      <c r="E121" s="163" t="str">
        <f t="shared" si="2"/>
        <v>ESQUADRIAS</v>
      </c>
      <c r="F121" s="164" t="str" cm="1">
        <f t="array" aca="1" ref="F121" ca="1">IF(RegimeExecucao="Global","",ORÇAMENTO.Unidade)</f>
        <v>-</v>
      </c>
      <c r="G121" s="122" cm="1">
        <f t="array" aca="1" ref="G121" ca="1">IF(RegimeExecucao="Global","",ORÇAMENTO!T121)</f>
        <v>0</v>
      </c>
      <c r="H121" s="122" cm="1">
        <f t="array" aca="1" ref="H121" ca="1">IF(RegimeExecucao="Global","",ORÇAMENTO!W121)</f>
        <v>0</v>
      </c>
      <c r="I121" s="125">
        <f ca="1">ORÇAMENTO!X121</f>
        <v>417408.74</v>
      </c>
      <c r="J121" s="333" cm="1">
        <f t="array" aca="1" ref="J121" ca="1">IF($A121="S",IF(CAIXA.Modo,BM.AFAnterior,BM.MEDAnterior),IF(AND(RegimeExecucao="Global",$I121&gt;0,COUNTIF($AB$13:$AM$13,BM.medicao-1)&gt;0),M121/$I121*100,0))</f>
        <v>0</v>
      </c>
      <c r="K121" s="122">
        <f t="shared" ca="1" si="3"/>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4"/>
        <v>0</v>
      </c>
      <c r="O121" s="125" cm="1">
        <f t="array" aca="1" ref="O121" ca="1">IF($A121="S",VTOTALBM,IF($A121=0,0,ROUND(SomaAgrupBM,15-13*ORÇAMENTO!$AF$11)))</f>
        <v>0</v>
      </c>
      <c r="Q121" s="337"/>
      <c r="R121" s="338"/>
      <c r="T121" s="117" t="str">
        <f t="shared" ca="1" si="5"/>
        <v/>
      </c>
      <c r="U121" s="163" t="str">
        <f t="shared" ca="1" si="6"/>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7"/>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x14ac:dyDescent="0.2">
      <c r="A122">
        <f ca="1">ORÇAMENTO!C122</f>
        <v>3</v>
      </c>
      <c r="B122">
        <f ca="1">ORÇAMENTO!D122</f>
        <v>5</v>
      </c>
      <c r="C122" s="114" t="str">
        <f t="shared" ca="1" si="1"/>
        <v>F</v>
      </c>
      <c r="D122" s="117" t="str">
        <f ca="1">ORÇAMENTO!O122</f>
        <v>1.7.1.</v>
      </c>
      <c r="E122" s="163" t="str">
        <f t="shared" si="2"/>
        <v>PORTAS</v>
      </c>
      <c r="F122" s="164" t="str" cm="1">
        <f t="array" aca="1" ref="F122" ca="1">IF(RegimeExecucao="Global","",ORÇAMENTO.Unidade)</f>
        <v>-</v>
      </c>
      <c r="G122" s="122" cm="1">
        <f t="array" aca="1" ref="G122" ca="1">IF(RegimeExecucao="Global","",ORÇAMENTO!T122)</f>
        <v>0</v>
      </c>
      <c r="H122" s="122" cm="1">
        <f t="array" aca="1" ref="H122" ca="1">IF(RegimeExecucao="Global","",ORÇAMENTO!W122)</f>
        <v>0</v>
      </c>
      <c r="I122" s="125">
        <f ca="1">ORÇAMENTO!X122</f>
        <v>266860.46000000002</v>
      </c>
      <c r="J122" s="333" cm="1">
        <f t="array" aca="1" ref="J122" ca="1">IF($A122="S",IF(CAIXA.Modo,BM.AFAnterior,BM.MEDAnterior),IF(AND(RegimeExecucao="Global",$I122&gt;0,COUNTIF($AB$13:$AM$13,BM.medicao-1)&gt;0),M122/$I122*100,0))</f>
        <v>0</v>
      </c>
      <c r="K122" s="122">
        <f t="shared" ca="1" si="3"/>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4"/>
        <v>0</v>
      </c>
      <c r="O122" s="125" cm="1">
        <f t="array" aca="1" ref="O122" ca="1">IF($A122="S",VTOTALBM,IF($A122=0,0,ROUND(SomaAgrupBM,15-13*ORÇAMENTO!$AF$11)))</f>
        <v>0</v>
      </c>
      <c r="Q122" s="337"/>
      <c r="R122" s="338"/>
      <c r="T122" s="117" t="str">
        <f t="shared" ca="1" si="5"/>
        <v/>
      </c>
      <c r="U122" s="163" t="str">
        <f t="shared" ca="1" si="6"/>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7"/>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63.75" x14ac:dyDescent="0.2">
      <c r="A123" t="str">
        <f ca="1">ORÇAMENTO!C123</f>
        <v>S</v>
      </c>
      <c r="B123">
        <f ca="1">ORÇAMENTO!D123</f>
        <v>0</v>
      </c>
      <c r="C123" s="114" t="str">
        <f t="shared" ca="1" si="1"/>
        <v>F</v>
      </c>
      <c r="D123" s="117" t="str">
        <f ca="1">ORÇAMENTO!O123</f>
        <v>1.7.1.0.1.</v>
      </c>
      <c r="E123" s="163" t="str">
        <f t="shared" ca="1" si="2"/>
        <v>KIT DE PORTA DE MADEIRA PARA PINTURA, SEMI-OCA (LEVE OU MÉDIA), PADRÃO POPULAR, 80X210CM, ESPESSURA DE 3,5CM, ITENS INCLUSOS: DOBRADIÇAS, MONTAGEM E INSTALAÇÃO DO BATENTE, FECHADURA COM EXECUÇÃO DO FURO - FORNECIMENTO E INSTALAÇÃO. AF_10/2025</v>
      </c>
      <c r="F123" s="164" t="str" cm="1">
        <f t="array" aca="1" ref="F123" ca="1">IF(RegimeExecucao="Global","",ORÇAMENTO.Unidade)</f>
        <v>UN</v>
      </c>
      <c r="G123" s="122" cm="1">
        <f t="array" aca="1" ref="G123" ca="1">IF(RegimeExecucao="Global","",ORÇAMENTO!T123)</f>
        <v>90</v>
      </c>
      <c r="H123" s="122" cm="1">
        <f t="array" aca="1" ref="H123" ca="1">IF(RegimeExecucao="Global","",ORÇAMENTO!W123)</f>
        <v>1449.48</v>
      </c>
      <c r="I123" s="125">
        <f ca="1">ORÇAMENTO!X123</f>
        <v>130453.2</v>
      </c>
      <c r="J123" s="333" cm="1">
        <f t="array" aca="1" ref="J123" ca="1">IF($A123="S",IF(CAIXA.Modo,BM.AFAnterior,BM.MEDAnterior),IF(AND(RegimeExecucao="Global",$I123&gt;0,COUNTIF($AB$13:$AM$13,BM.medicao-1)&gt;0),M123/$I123*100,0))</f>
        <v>0</v>
      </c>
      <c r="K123" s="122">
        <f t="shared" ca="1" si="3"/>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4"/>
        <v>0</v>
      </c>
      <c r="O123" s="125" cm="1">
        <f t="array" aca="1" ref="O123" ca="1">IF($A123="S",VTOTALBM,IF($A123=0,0,ROUND(SomaAgrupBM,15-13*ORÇAMENTO!$AF$11)))</f>
        <v>0</v>
      </c>
      <c r="Q123" s="337"/>
      <c r="R123" s="338"/>
      <c r="T123" s="117" t="str">
        <f t="shared" ca="1" si="5"/>
        <v/>
      </c>
      <c r="U123" s="163" t="str">
        <f t="shared" ca="1" si="6"/>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7"/>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38.25" x14ac:dyDescent="0.2">
      <c r="A124" t="str">
        <f ca="1">ORÇAMENTO!C124</f>
        <v>S</v>
      </c>
      <c r="B124">
        <f ca="1">ORÇAMENTO!D124</f>
        <v>0</v>
      </c>
      <c r="C124" s="114" t="str">
        <f t="shared" ca="1" si="1"/>
        <v>F</v>
      </c>
      <c r="D124" s="117" t="str">
        <f ca="1">ORÇAMENTO!O124</f>
        <v>1.7.1.0.2.</v>
      </c>
      <c r="E124" s="163" t="str">
        <f t="shared" ca="1" si="2"/>
        <v>PORTA DE ALUMÍNIO DE ABRIR PARA VIDRO SEM GUARNIÇÃO, 87X210CM, FIXAÇÃO COM PARAFUSOS, INCLUSIVE VIDROS - FORNECIMENTO E INSTALAÇÃO. AF_10/2025</v>
      </c>
      <c r="F124" s="164" t="str" cm="1">
        <f t="array" aca="1" ref="F124" ca="1">IF(RegimeExecucao="Global","",ORÇAMENTO.Unidade)</f>
        <v>UN</v>
      </c>
      <c r="G124" s="122" cm="1">
        <f t="array" aca="1" ref="G124" ca="1">IF(RegimeExecucao="Global","",ORÇAMENTO!T124)</f>
        <v>30</v>
      </c>
      <c r="H124" s="122" cm="1">
        <f t="array" aca="1" ref="H124" ca="1">IF(RegimeExecucao="Global","",ORÇAMENTO!W124)</f>
        <v>1581.31</v>
      </c>
      <c r="I124" s="125">
        <f ca="1">ORÇAMENTO!X124</f>
        <v>47439.3</v>
      </c>
      <c r="J124" s="333" cm="1">
        <f t="array" aca="1" ref="J124" ca="1">IF($A124="S",IF(CAIXA.Modo,BM.AFAnterior,BM.MEDAnterior),IF(AND(RegimeExecucao="Global",$I124&gt;0,COUNTIF($AB$13:$AM$13,BM.medicao-1)&gt;0),M124/$I124*100,0))</f>
        <v>0</v>
      </c>
      <c r="K124" s="122">
        <f t="shared" ca="1" si="3"/>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4"/>
        <v>0</v>
      </c>
      <c r="O124" s="125" cm="1">
        <f t="array" aca="1" ref="O124" ca="1">IF($A124="S",VTOTALBM,IF($A124=0,0,ROUND(SomaAgrupBM,15-13*ORÇAMENTO!$AF$11)))</f>
        <v>0</v>
      </c>
      <c r="Q124" s="337"/>
      <c r="R124" s="338"/>
      <c r="T124" s="117" t="str">
        <f t="shared" ca="1" si="5"/>
        <v/>
      </c>
      <c r="U124" s="163" t="str">
        <f t="shared" ca="1" si="6"/>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7"/>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38.25" x14ac:dyDescent="0.2">
      <c r="A125" t="str">
        <f ca="1">ORÇAMENTO!C125</f>
        <v>S</v>
      </c>
      <c r="B125">
        <f ca="1">ORÇAMENTO!D125</f>
        <v>0</v>
      </c>
      <c r="C125" s="114" t="str">
        <f t="shared" ca="1" si="1"/>
        <v>F</v>
      </c>
      <c r="D125" s="117" t="str">
        <f ca="1">ORÇAMENTO!O125</f>
        <v>1.7.1.0.3.</v>
      </c>
      <c r="E125" s="163" t="str">
        <f t="shared" ca="1" si="2"/>
        <v>PORTA DE ABRIR EM ALUMINIO COM LAMBRI HORIZONTAL/LAMINADA, ACABAMENTO ANODIZADO NATURAL, SEM GUARNICAO/ALIZAR/VISTA</v>
      </c>
      <c r="F125" s="164" t="str" cm="1">
        <f t="array" aca="1" ref="F125" ca="1">IF(RegimeExecucao="Global","",ORÇAMENTO.Unidade)</f>
        <v>M2</v>
      </c>
      <c r="G125" s="122" cm="1">
        <f t="array" aca="1" ref="G125" ca="1">IF(RegimeExecucao="Global","",ORÇAMENTO!T125)</f>
        <v>69.900000000000006</v>
      </c>
      <c r="H125" s="122" cm="1">
        <f t="array" aca="1" ref="H125" ca="1">IF(RegimeExecucao="Global","",ORÇAMENTO!W125)</f>
        <v>1178.3900000000001</v>
      </c>
      <c r="I125" s="125">
        <f ca="1">ORÇAMENTO!X125</f>
        <v>82369.460000000006</v>
      </c>
      <c r="J125" s="333" cm="1">
        <f t="array" aca="1" ref="J125" ca="1">IF($A125="S",IF(CAIXA.Modo,BM.AFAnterior,BM.MEDAnterior),IF(AND(RegimeExecucao="Global",$I125&gt;0,COUNTIF($AB$13:$AM$13,BM.medicao-1)&gt;0),M125/$I125*100,0))</f>
        <v>0</v>
      </c>
      <c r="K125" s="122">
        <f t="shared" ca="1" si="3"/>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4"/>
        <v>0</v>
      </c>
      <c r="O125" s="125" cm="1">
        <f t="array" aca="1" ref="O125" ca="1">IF($A125="S",VTOTALBM,IF($A125=0,0,ROUND(SomaAgrupBM,15-13*ORÇAMENTO!$AF$11)))</f>
        <v>0</v>
      </c>
      <c r="Q125" s="337"/>
      <c r="R125" s="338"/>
      <c r="T125" s="117" t="str">
        <f t="shared" ca="1" si="5"/>
        <v/>
      </c>
      <c r="U125" s="163" t="str">
        <f t="shared" ca="1" si="6"/>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7"/>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38.25" x14ac:dyDescent="0.2">
      <c r="A126" t="str">
        <f ca="1">ORÇAMENTO!C126</f>
        <v>S</v>
      </c>
      <c r="B126">
        <f ca="1">ORÇAMENTO!D126</f>
        <v>0</v>
      </c>
      <c r="C126" s="114" t="str">
        <f t="shared" ca="1" si="1"/>
        <v>F</v>
      </c>
      <c r="D126" s="117" t="str">
        <f ca="1">ORÇAMENTO!O126</f>
        <v>1.7.1.0.4.</v>
      </c>
      <c r="E126" s="163" t="str">
        <f t="shared" ca="1" si="2"/>
        <v>GUARNICAO / MOLDURA / ARREMATE DE ACABAMENTO PARA ESQUADRIA, EM ALUMINIO PERFIL 25, ACABAMENTO ANODIZADO BRANCO OU BRILHANTE, PARA 1 FACE</v>
      </c>
      <c r="F126" s="164" t="str" cm="1">
        <f t="array" aca="1" ref="F126" ca="1">IF(RegimeExecucao="Global","",ORÇAMENTO.Unidade)</f>
        <v>M</v>
      </c>
      <c r="G126" s="122" cm="1">
        <f t="array" aca="1" ref="G126" ca="1">IF(RegimeExecucao="Global","",ORÇAMENTO!T126)</f>
        <v>150</v>
      </c>
      <c r="H126" s="122" cm="1">
        <f t="array" aca="1" ref="H126" ca="1">IF(RegimeExecucao="Global","",ORÇAMENTO!W126)</f>
        <v>43.99</v>
      </c>
      <c r="I126" s="125">
        <f ca="1">ORÇAMENTO!X126</f>
        <v>6598.5</v>
      </c>
      <c r="J126" s="333" cm="1">
        <f t="array" aca="1" ref="J126" ca="1">IF($A126="S",IF(CAIXA.Modo,BM.AFAnterior,BM.MEDAnterior),IF(AND(RegimeExecucao="Global",$I126&gt;0,COUNTIF($AB$13:$AM$13,BM.medicao-1)&gt;0),M126/$I126*100,0))</f>
        <v>0</v>
      </c>
      <c r="K126" s="122">
        <f t="shared" ca="1" si="3"/>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4"/>
        <v>0</v>
      </c>
      <c r="O126" s="125" cm="1">
        <f t="array" aca="1" ref="O126" ca="1">IF($A126="S",VTOTALBM,IF($A126=0,0,ROUND(SomaAgrupBM,15-13*ORÇAMENTO!$AF$11)))</f>
        <v>0</v>
      </c>
      <c r="Q126" s="337"/>
      <c r="R126" s="338"/>
      <c r="T126" s="117" t="str">
        <f t="shared" ca="1" si="5"/>
        <v/>
      </c>
      <c r="U126" s="163" t="str">
        <f t="shared" ca="1" si="6"/>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7"/>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x14ac:dyDescent="0.2">
      <c r="A127">
        <f ca="1">ORÇAMENTO!C127</f>
        <v>3</v>
      </c>
      <c r="B127">
        <f ca="1">ORÇAMENTO!D127</f>
        <v>5</v>
      </c>
      <c r="C127" s="114" t="str">
        <f t="shared" ca="1" si="1"/>
        <v>F</v>
      </c>
      <c r="D127" s="117" t="str">
        <f ca="1">ORÇAMENTO!O127</f>
        <v>1.7.2.</v>
      </c>
      <c r="E127" s="163" t="str">
        <f t="shared" si="2"/>
        <v>JANELAS</v>
      </c>
      <c r="F127" s="164" t="str" cm="1">
        <f t="array" aca="1" ref="F127" ca="1">IF(RegimeExecucao="Global","",ORÇAMENTO.Unidade)</f>
        <v>-</v>
      </c>
      <c r="G127" s="122" cm="1">
        <f t="array" aca="1" ref="G127" ca="1">IF(RegimeExecucao="Global","",ORÇAMENTO!T127)</f>
        <v>0</v>
      </c>
      <c r="H127" s="122" cm="1">
        <f t="array" aca="1" ref="H127" ca="1">IF(RegimeExecucao="Global","",ORÇAMENTO!W127)</f>
        <v>0</v>
      </c>
      <c r="I127" s="125">
        <f ca="1">ORÇAMENTO!X127</f>
        <v>150548.28</v>
      </c>
      <c r="J127" s="333" cm="1">
        <f t="array" aca="1" ref="J127" ca="1">IF($A127="S",IF(CAIXA.Modo,BM.AFAnterior,BM.MEDAnterior),IF(AND(RegimeExecucao="Global",$I127&gt;0,COUNTIF($AB$13:$AM$13,BM.medicao-1)&gt;0),M127/$I127*100,0))</f>
        <v>0</v>
      </c>
      <c r="K127" s="122">
        <f t="shared" ca="1" si="3"/>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4"/>
        <v>0</v>
      </c>
      <c r="O127" s="125" cm="1">
        <f t="array" aca="1" ref="O127" ca="1">IF($A127="S",VTOTALBM,IF($A127=0,0,ROUND(SomaAgrupBM,15-13*ORÇAMENTO!$AF$11)))</f>
        <v>0</v>
      </c>
      <c r="Q127" s="337"/>
      <c r="R127" s="338"/>
      <c r="T127" s="117" t="str">
        <f t="shared" ca="1" si="5"/>
        <v/>
      </c>
      <c r="U127" s="163" t="str">
        <f t="shared" ca="1" si="6"/>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7"/>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63.75" x14ac:dyDescent="0.2">
      <c r="A128" t="str">
        <f ca="1">ORÇAMENTO!C128</f>
        <v>S</v>
      </c>
      <c r="B128">
        <f ca="1">ORÇAMENTO!D128</f>
        <v>0</v>
      </c>
      <c r="C128" s="114" t="str">
        <f t="shared" ca="1" si="1"/>
        <v>F</v>
      </c>
      <c r="D128" s="117" t="str">
        <f ca="1">ORÇAMENTO!O128</f>
        <v>1.7.2.0.1.</v>
      </c>
      <c r="E128" s="163" t="str">
        <f t="shared" ca="1" si="2"/>
        <v>JANELA DE ALUMÍNIO TIPO MAXIM-AR, BATENTE/ REQUADRO 3 A 14 CM, VIDRO INCLUSO, FIXAÇÃO COM PARAFUSO, SEM GUARNIÇÃO/ ALIZAR, DIMENSÕES 60X80 (A X L) CM, SEM ACABAMENTO, VEDAÇÃO COM SILICONE, EXCLUSIVE CONTRAMARCO - FORNECIMENTO E INSTALAÇÃO. AF_11/2024</v>
      </c>
      <c r="F128" s="164" t="str" cm="1">
        <f t="array" aca="1" ref="F128" ca="1">IF(RegimeExecucao="Global","",ORÇAMENTO.Unidade)</f>
        <v>M2</v>
      </c>
      <c r="G128" s="122" cm="1">
        <f t="array" aca="1" ref="G128" ca="1">IF(RegimeExecucao="Global","",ORÇAMENTO!T128)</f>
        <v>10.8</v>
      </c>
      <c r="H128" s="122" cm="1">
        <f t="array" aca="1" ref="H128" ca="1">IF(RegimeExecucao="Global","",ORÇAMENTO!W128)</f>
        <v>1010.52</v>
      </c>
      <c r="I128" s="125">
        <f ca="1">ORÇAMENTO!X128</f>
        <v>10913.62</v>
      </c>
      <c r="J128" s="333" cm="1">
        <f t="array" aca="1" ref="J128" ca="1">IF($A128="S",IF(CAIXA.Modo,BM.AFAnterior,BM.MEDAnterior),IF(AND(RegimeExecucao="Global",$I128&gt;0,COUNTIF($AB$13:$AM$13,BM.medicao-1)&gt;0),M128/$I128*100,0))</f>
        <v>0</v>
      </c>
      <c r="K128" s="122">
        <f t="shared" ca="1" si="3"/>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4"/>
        <v>0</v>
      </c>
      <c r="O128" s="125" cm="1">
        <f t="array" aca="1" ref="O128" ca="1">IF($A128="S",VTOTALBM,IF($A128=0,0,ROUND(SomaAgrupBM,15-13*ORÇAMENTO!$AF$11)))</f>
        <v>0</v>
      </c>
      <c r="Q128" s="337"/>
      <c r="R128" s="338"/>
      <c r="T128" s="117" t="str">
        <f t="shared" ca="1" si="5"/>
        <v/>
      </c>
      <c r="U128" s="163" t="str">
        <f t="shared" ca="1" si="6"/>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7"/>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76.5" x14ac:dyDescent="0.2">
      <c r="A129" t="str">
        <f ca="1">ORÇAMENTO!C129</f>
        <v>S</v>
      </c>
      <c r="B129">
        <f ca="1">ORÇAMENTO!D129</f>
        <v>0</v>
      </c>
      <c r="C129" s="114" t="str">
        <f ca="1">IF(OR($I129&gt;0,$A129=1,$A129=2,$A129=3,$A129=4),"F","")</f>
        <v>F</v>
      </c>
      <c r="D129" s="117" t="str">
        <f ca="1">ORÇAMENTO!O129</f>
        <v>1.7.2.0.2.</v>
      </c>
      <c r="E129" s="163" t="str">
        <f ca="1">ORÇAMENTO.Descricao</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F129" s="164" t="str" cm="1">
        <f t="array" aca="1" ref="F129" ca="1">IF(RegimeExecucao="Global","",ORÇAMENTO.Unidade)</f>
        <v>M2</v>
      </c>
      <c r="G129" s="122" cm="1">
        <f t="array" aca="1" ref="G129" ca="1">IF(RegimeExecucao="Global","",ORÇAMENTO!T129)</f>
        <v>24</v>
      </c>
      <c r="H129" s="122" cm="1">
        <f t="array" aca="1" ref="H129" ca="1">IF(RegimeExecucao="Global","",ORÇAMENTO!W129)</f>
        <v>536.79999999999995</v>
      </c>
      <c r="I129" s="125">
        <f ca="1">ORÇAMENTO!X129</f>
        <v>12883.2</v>
      </c>
      <c r="J129" s="333" cm="1">
        <f t="array" aca="1" ref="J129" ca="1">IF($A129="S",IF(CAIXA.Modo,BM.AFAnterior,BM.MEDAnterior),IF(AND(RegimeExecucao="Global",$I129&gt;0,COUNTIF($AB$13:$AM$13,BM.medicao-1)&gt;0),M129/$I129*100,0))</f>
        <v>0</v>
      </c>
      <c r="K129" s="122">
        <f ca="1">L129-J129</f>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ca="1">O129-M129</f>
        <v>0</v>
      </c>
      <c r="O129" s="125" cm="1">
        <f t="array" aca="1" ref="O129" ca="1">IF($A129="S",VTOTALBM,IF($A129=0,0,ROUND(SomaAgrupBM,15-13*ORÇAMENTO!$AF$11)))</f>
        <v>0</v>
      </c>
      <c r="Q129" s="337"/>
      <c r="R129" s="338"/>
      <c r="T129" s="117" t="str">
        <f ca="1">IF($W129&gt;0,$D129,"")</f>
        <v/>
      </c>
      <c r="U129" s="163" t="str">
        <f ca="1">IF($W129&gt;0,$E129,"")</f>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ca="1">AO129-O129</f>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76.5" x14ac:dyDescent="0.2">
      <c r="A130" t="str">
        <f ca="1">ORÇAMENTO!C130</f>
        <v>S</v>
      </c>
      <c r="B130">
        <f ca="1">ORÇAMENTO!D130</f>
        <v>0</v>
      </c>
      <c r="C130" s="114" t="str">
        <f t="shared" ca="1" si="1"/>
        <v>F</v>
      </c>
      <c r="D130" s="117" t="str">
        <f ca="1">ORÇAMENTO!O130</f>
        <v>1.7.2.0.3.</v>
      </c>
      <c r="E130" s="163" t="str">
        <f t="shared" ca="1" si="2"/>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F130" s="164" t="str" cm="1">
        <f t="array" aca="1" ref="F130" ca="1">IF(RegimeExecucao="Global","",ORÇAMENTO.Unidade)</f>
        <v>M2</v>
      </c>
      <c r="G130" s="122" cm="1">
        <f t="array" aca="1" ref="G130" ca="1">IF(RegimeExecucao="Global","",ORÇAMENTO!T130)</f>
        <v>129.6</v>
      </c>
      <c r="H130" s="122" cm="1">
        <f t="array" aca="1" ref="H130" ca="1">IF(RegimeExecucao="Global","",ORÇAMENTO!W130)</f>
        <v>770.29</v>
      </c>
      <c r="I130" s="125">
        <f ca="1">ORÇAMENTO!X130</f>
        <v>99829.58</v>
      </c>
      <c r="J130" s="333" cm="1">
        <f t="array" aca="1" ref="J130" ca="1">IF($A130="S",IF(CAIXA.Modo,BM.AFAnterior,BM.MEDAnterior),IF(AND(RegimeExecucao="Global",$I130&gt;0,COUNTIF($AB$13:$AM$13,BM.medicao-1)&gt;0),M130/$I130*100,0))</f>
        <v>0</v>
      </c>
      <c r="K130" s="122">
        <f t="shared" ca="1" si="3"/>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4"/>
        <v>0</v>
      </c>
      <c r="O130" s="125" cm="1">
        <f t="array" aca="1" ref="O130" ca="1">IF($A130="S",VTOTALBM,IF($A130=0,0,ROUND(SomaAgrupBM,15-13*ORÇAMENTO!$AF$11)))</f>
        <v>0</v>
      </c>
      <c r="Q130" s="337"/>
      <c r="R130" s="338"/>
      <c r="T130" s="117" t="str">
        <f t="shared" ca="1" si="5"/>
        <v/>
      </c>
      <c r="U130" s="163" t="str">
        <f t="shared" ca="1" si="6"/>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7"/>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38.25" x14ac:dyDescent="0.2">
      <c r="A131" t="str">
        <f ca="1">ORÇAMENTO!C131</f>
        <v>S</v>
      </c>
      <c r="B131">
        <f ca="1">ORÇAMENTO!D131</f>
        <v>0</v>
      </c>
      <c r="C131" s="114" t="str">
        <f t="shared" ca="1" si="1"/>
        <v>F</v>
      </c>
      <c r="D131" s="117" t="str">
        <f ca="1">ORÇAMENTO!O131</f>
        <v>1.7.2.0.4.</v>
      </c>
      <c r="E131" s="163" t="str">
        <f t="shared" ca="1" si="2"/>
        <v>GUARNICAO / MOLDURA / ARREMATE DE ACABAMENTO PARA ESQUADRIA, EM ALUMINIO PERFIL 25, ACABAMENTO ANODIZADO BRANCO OU BRILHANTE, PARA 1 FACE</v>
      </c>
      <c r="F131" s="164" t="str" cm="1">
        <f t="array" aca="1" ref="F131" ca="1">IF(RegimeExecucao="Global","",ORÇAMENTO.Unidade)</f>
        <v>M</v>
      </c>
      <c r="G131" s="122" cm="1">
        <f t="array" aca="1" ref="G131" ca="1">IF(RegimeExecucao="Global","",ORÇAMENTO!T131)</f>
        <v>612</v>
      </c>
      <c r="H131" s="122" cm="1">
        <f t="array" aca="1" ref="H131" ca="1">IF(RegimeExecucao="Global","",ORÇAMENTO!W131)</f>
        <v>43.99</v>
      </c>
      <c r="I131" s="125">
        <f ca="1">ORÇAMENTO!X131</f>
        <v>26921.88</v>
      </c>
      <c r="J131" s="333" cm="1">
        <f t="array" aca="1" ref="J131" ca="1">IF($A131="S",IF(CAIXA.Modo,BM.AFAnterior,BM.MEDAnterior),IF(AND(RegimeExecucao="Global",$I131&gt;0,COUNTIF($AB$13:$AM$13,BM.medicao-1)&gt;0),M131/$I131*100,0))</f>
        <v>0</v>
      </c>
      <c r="K131" s="122">
        <f t="shared" ca="1" si="3"/>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4"/>
        <v>0</v>
      </c>
      <c r="O131" s="125" cm="1">
        <f t="array" aca="1" ref="O131" ca="1">IF($A131="S",VTOTALBM,IF($A131=0,0,ROUND(SomaAgrupBM,15-13*ORÇAMENTO!$AF$11)))</f>
        <v>0</v>
      </c>
      <c r="Q131" s="337"/>
      <c r="R131" s="338"/>
      <c r="T131" s="117" t="str">
        <f t="shared" ca="1" si="5"/>
        <v/>
      </c>
      <c r="U131" s="163" t="str">
        <f t="shared" ca="1" si="6"/>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7"/>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x14ac:dyDescent="0.2">
      <c r="A132">
        <f ca="1">ORÇAMENTO!C132</f>
        <v>2</v>
      </c>
      <c r="B132">
        <f ca="1">ORÇAMENTO!D132</f>
        <v>43</v>
      </c>
      <c r="C132" s="114" t="str">
        <f t="shared" ca="1" si="1"/>
        <v>F</v>
      </c>
      <c r="D132" s="117" t="str">
        <f ca="1">ORÇAMENTO!O132</f>
        <v>1.8.</v>
      </c>
      <c r="E132" s="163" t="str">
        <f t="shared" si="2"/>
        <v>INSTALAÇÕES HIDROSSANITARIAS</v>
      </c>
      <c r="F132" s="164" t="str" cm="1">
        <f t="array" aca="1" ref="F132" ca="1">IF(RegimeExecucao="Global","",ORÇAMENTO.Unidade)</f>
        <v>-</v>
      </c>
      <c r="G132" s="122" cm="1">
        <f t="array" aca="1" ref="G132" ca="1">IF(RegimeExecucao="Global","",ORÇAMENTO!T132)</f>
        <v>0</v>
      </c>
      <c r="H132" s="122" cm="1">
        <f t="array" aca="1" ref="H132" ca="1">IF(RegimeExecucao="Global","",ORÇAMENTO!W132)</f>
        <v>0</v>
      </c>
      <c r="I132" s="125">
        <f ca="1">ORÇAMENTO!X132</f>
        <v>615007.78</v>
      </c>
      <c r="J132" s="333" cm="1">
        <f t="array" aca="1" ref="J132" ca="1">IF($A132="S",IF(CAIXA.Modo,BM.AFAnterior,BM.MEDAnterior),IF(AND(RegimeExecucao="Global",$I132&gt;0,COUNTIF($AB$13:$AM$13,BM.medicao-1)&gt;0),M132/$I132*100,0))</f>
        <v>0</v>
      </c>
      <c r="K132" s="122">
        <f t="shared" ca="1" si="3"/>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4"/>
        <v>0</v>
      </c>
      <c r="O132" s="125" cm="1">
        <f t="array" aca="1" ref="O132" ca="1">IF($A132="S",VTOTALBM,IF($A132=0,0,ROUND(SomaAgrupBM,15-13*ORÇAMENTO!$AF$11)))</f>
        <v>0</v>
      </c>
      <c r="Q132" s="337"/>
      <c r="R132" s="338"/>
      <c r="T132" s="117" t="str">
        <f t="shared" ca="1" si="5"/>
        <v/>
      </c>
      <c r="U132" s="163" t="str">
        <f t="shared" ca="1" si="6"/>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7"/>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x14ac:dyDescent="0.2">
      <c r="A133">
        <f ca="1">ORÇAMENTO!C133</f>
        <v>3</v>
      </c>
      <c r="B133">
        <f ca="1">ORÇAMENTO!D133</f>
        <v>7</v>
      </c>
      <c r="C133" s="114" t="str">
        <f t="shared" ca="1" si="1"/>
        <v>F</v>
      </c>
      <c r="D133" s="117" t="str">
        <f ca="1">ORÇAMENTO!O133</f>
        <v>1.8.1.</v>
      </c>
      <c r="E133" s="163" t="str">
        <f t="shared" si="2"/>
        <v>FOSSA, FILTRO E SUMIDOURO</v>
      </c>
      <c r="F133" s="164" t="str" cm="1">
        <f t="array" aca="1" ref="F133" ca="1">IF(RegimeExecucao="Global","",ORÇAMENTO.Unidade)</f>
        <v>-</v>
      </c>
      <c r="G133" s="122" cm="1">
        <f t="array" aca="1" ref="G133" ca="1">IF(RegimeExecucao="Global","",ORÇAMENTO!T133)</f>
        <v>0</v>
      </c>
      <c r="H133" s="122" cm="1">
        <f t="array" aca="1" ref="H133" ca="1">IF(RegimeExecucao="Global","",ORÇAMENTO!W133)</f>
        <v>0</v>
      </c>
      <c r="I133" s="125">
        <f ca="1">ORÇAMENTO!X133</f>
        <v>321292.96000000002</v>
      </c>
      <c r="J133" s="333" cm="1">
        <f t="array" aca="1" ref="J133" ca="1">IF($A133="S",IF(CAIXA.Modo,BM.AFAnterior,BM.MEDAnterior),IF(AND(RegimeExecucao="Global",$I133&gt;0,COUNTIF($AB$13:$AM$13,BM.medicao-1)&gt;0),M133/$I133*100,0))</f>
        <v>0</v>
      </c>
      <c r="K133" s="122">
        <f t="shared" ca="1" si="3"/>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4"/>
        <v>0</v>
      </c>
      <c r="O133" s="125" cm="1">
        <f t="array" aca="1" ref="O133" ca="1">IF($A133="S",VTOTALBM,IF($A133=0,0,ROUND(SomaAgrupBM,15-13*ORÇAMENTO!$AF$11)))</f>
        <v>0</v>
      </c>
      <c r="Q133" s="337"/>
      <c r="R133" s="338"/>
      <c r="T133" s="117" t="str">
        <f t="shared" ca="1" si="5"/>
        <v/>
      </c>
      <c r="U133" s="163" t="str">
        <f t="shared" ca="1" si="6"/>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7"/>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x14ac:dyDescent="0.2">
      <c r="A134" t="str">
        <f ca="1">ORÇAMENTO!C134</f>
        <v>S</v>
      </c>
      <c r="B134">
        <f ca="1">ORÇAMENTO!D134</f>
        <v>0</v>
      </c>
      <c r="C134" s="114" t="str">
        <f t="shared" ca="1" si="1"/>
        <v>F</v>
      </c>
      <c r="D134" s="117" t="str">
        <f ca="1">ORÇAMENTO!O134</f>
        <v>1.8.1.0.1.</v>
      </c>
      <c r="E134" s="163" t="str">
        <f t="shared" ca="1" si="2"/>
        <v>ESCAVAÇÃO MANUAL DE VALA. AF_09/2024</v>
      </c>
      <c r="F134" s="164" t="str" cm="1">
        <f t="array" aca="1" ref="F134" ca="1">IF(RegimeExecucao="Global","",ORÇAMENTO.Unidade)</f>
        <v>M3</v>
      </c>
      <c r="G134" s="122" cm="1">
        <f t="array" aca="1" ref="G134" ca="1">IF(RegimeExecucao="Global","",ORÇAMENTO!T134)</f>
        <v>384</v>
      </c>
      <c r="H134" s="122" cm="1">
        <f t="array" aca="1" ref="H134" ca="1">IF(RegimeExecucao="Global","",ORÇAMENTO!W134)</f>
        <v>120.29</v>
      </c>
      <c r="I134" s="125">
        <f ca="1">ORÇAMENTO!X134</f>
        <v>46191.360000000001</v>
      </c>
      <c r="J134" s="333" cm="1">
        <f t="array" aca="1" ref="J134" ca="1">IF($A134="S",IF(CAIXA.Modo,BM.AFAnterior,BM.MEDAnterior),IF(AND(RegimeExecucao="Global",$I134&gt;0,COUNTIF($AB$13:$AM$13,BM.medicao-1)&gt;0),M134/$I134*100,0))</f>
        <v>0</v>
      </c>
      <c r="K134" s="122">
        <f t="shared" ca="1" si="3"/>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4"/>
        <v>0</v>
      </c>
      <c r="O134" s="125" cm="1">
        <f t="array" aca="1" ref="O134" ca="1">IF($A134="S",VTOTALBM,IF($A134=0,0,ROUND(SomaAgrupBM,15-13*ORÇAMENTO!$AF$11)))</f>
        <v>0</v>
      </c>
      <c r="Q134" s="337"/>
      <c r="R134" s="338"/>
      <c r="T134" s="117" t="str">
        <f t="shared" ca="1" si="5"/>
        <v/>
      </c>
      <c r="U134" s="163" t="str">
        <f t="shared" ca="1" si="6"/>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7"/>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38.25" x14ac:dyDescent="0.2">
      <c r="A135" t="str">
        <f ca="1">ORÇAMENTO!C135</f>
        <v>S</v>
      </c>
      <c r="B135">
        <f ca="1">ORÇAMENTO!D135</f>
        <v>0</v>
      </c>
      <c r="C135" s="114" t="str">
        <f t="shared" ca="1" si="1"/>
        <v>F</v>
      </c>
      <c r="D135" s="117" t="str">
        <f ca="1">ORÇAMENTO!O135</f>
        <v>1.8.1.0.2.</v>
      </c>
      <c r="E135" s="163" t="str">
        <f t="shared" ca="1" si="2"/>
        <v>PREPARO DE FUNDO DE VALA COM LARGURA MENOR QUE 1,5 M (ACERTO DO SOLO NATURAL), EM LOCAL COM NÍVEL BAIXO DE INTERFERÊNCIA. AF_01/2026</v>
      </c>
      <c r="F135" s="164" t="str" cm="1">
        <f t="array" aca="1" ref="F135" ca="1">IF(RegimeExecucao="Global","",ORÇAMENTO.Unidade)</f>
        <v>M2</v>
      </c>
      <c r="G135" s="122" cm="1">
        <f t="array" aca="1" ref="G135" ca="1">IF(RegimeExecucao="Global","",ORÇAMENTO!T135)</f>
        <v>180</v>
      </c>
      <c r="H135" s="122" cm="1">
        <f t="array" aca="1" ref="H135" ca="1">IF(RegimeExecucao="Global","",ORÇAMENTO!W135)</f>
        <v>10.26</v>
      </c>
      <c r="I135" s="125">
        <f ca="1">ORÇAMENTO!X135</f>
        <v>1846.8</v>
      </c>
      <c r="J135" s="333" cm="1">
        <f t="array" aca="1" ref="J135" ca="1">IF($A135="S",IF(CAIXA.Modo,BM.AFAnterior,BM.MEDAnterior),IF(AND(RegimeExecucao="Global",$I135&gt;0,COUNTIF($AB$13:$AM$13,BM.medicao-1)&gt;0),M135/$I135*100,0))</f>
        <v>0</v>
      </c>
      <c r="K135" s="122">
        <f t="shared" ca="1" si="3"/>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4"/>
        <v>0</v>
      </c>
      <c r="O135" s="125" cm="1">
        <f t="array" aca="1" ref="O135" ca="1">IF($A135="S",VTOTALBM,IF($A135=0,0,ROUND(SomaAgrupBM,15-13*ORÇAMENTO!$AF$11)))</f>
        <v>0</v>
      </c>
      <c r="Q135" s="337"/>
      <c r="R135" s="338"/>
      <c r="T135" s="117" t="str">
        <f t="shared" ca="1" si="5"/>
        <v/>
      </c>
      <c r="U135" s="163" t="str">
        <f t="shared" ca="1" si="6"/>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7"/>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25.5" x14ac:dyDescent="0.2">
      <c r="A136" t="str">
        <f ca="1">ORÇAMENTO!C136</f>
        <v>S</v>
      </c>
      <c r="B136">
        <f ca="1">ORÇAMENTO!D136</f>
        <v>0</v>
      </c>
      <c r="C136" s="114" t="str">
        <f t="shared" ca="1" si="1"/>
        <v>F</v>
      </c>
      <c r="D136" s="117" t="str">
        <f ca="1">ORÇAMENTO!O136</f>
        <v>1.8.1.0.3.</v>
      </c>
      <c r="E136" s="163" t="str">
        <f t="shared" ca="1" si="2"/>
        <v>REATERRO MANUAL DE VALAS, COM COMPACTADOR DE SOLOS DE PERCUSSÃO. AF_08/2023</v>
      </c>
      <c r="F136" s="164" t="str" cm="1">
        <f t="array" aca="1" ref="F136" ca="1">IF(RegimeExecucao="Global","",ORÇAMENTO.Unidade)</f>
        <v>M3</v>
      </c>
      <c r="G136" s="122" cm="1">
        <f t="array" aca="1" ref="G136" ca="1">IF(RegimeExecucao="Global","",ORÇAMENTO!T136)</f>
        <v>40</v>
      </c>
      <c r="H136" s="122" cm="1">
        <f t="array" aca="1" ref="H136" ca="1">IF(RegimeExecucao="Global","",ORÇAMENTO!W136)</f>
        <v>37.840000000000003</v>
      </c>
      <c r="I136" s="125">
        <f ca="1">ORÇAMENTO!X136</f>
        <v>1513.6</v>
      </c>
      <c r="J136" s="333" cm="1">
        <f t="array" aca="1" ref="J136" ca="1">IF($A136="S",IF(CAIXA.Modo,BM.AFAnterior,BM.MEDAnterior),IF(AND(RegimeExecucao="Global",$I136&gt;0,COUNTIF($AB$13:$AM$13,BM.medicao-1)&gt;0),M136/$I136*100,0))</f>
        <v>0</v>
      </c>
      <c r="K136" s="122">
        <f t="shared" ca="1" si="3"/>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4"/>
        <v>0</v>
      </c>
      <c r="O136" s="125" cm="1">
        <f t="array" aca="1" ref="O136" ca="1">IF($A136="S",VTOTALBM,IF($A136=0,0,ROUND(SomaAgrupBM,15-13*ORÇAMENTO!$AF$11)))</f>
        <v>0</v>
      </c>
      <c r="Q136" s="337"/>
      <c r="R136" s="338"/>
      <c r="T136" s="117" t="str">
        <f t="shared" ca="1" si="5"/>
        <v/>
      </c>
      <c r="U136" s="163" t="str">
        <f t="shared" ca="1" si="6"/>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7"/>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38.25" x14ac:dyDescent="0.2">
      <c r="A137" t="str">
        <f ca="1">ORÇAMENTO!C137</f>
        <v>S</v>
      </c>
      <c r="B137">
        <f ca="1">ORÇAMENTO!D137</f>
        <v>0</v>
      </c>
      <c r="C137" s="114" t="str">
        <f t="shared" ca="1" si="1"/>
        <v>F</v>
      </c>
      <c r="D137" s="117" t="str">
        <f ca="1">ORÇAMENTO!O137</f>
        <v>1.8.1.0.4.</v>
      </c>
      <c r="E137" s="163" t="str">
        <f t="shared" ca="1" si="2"/>
        <v>TANQUE SÉPTICO CIRCULAR, EM CONCRETO PRÉ-MOLDADO, DIÂMETRO INTERNO = 1,10 M, ALTURA INTERNA = 2,50 M, VOLUME ÚTIL: 2138,2 L (PARA 5 CONTRIBUINTES). AF_12/2020</v>
      </c>
      <c r="F137" s="164" t="str" cm="1">
        <f t="array" aca="1" ref="F137" ca="1">IF(RegimeExecucao="Global","",ORÇAMENTO.Unidade)</f>
        <v>UN</v>
      </c>
      <c r="G137" s="122" cm="1">
        <f t="array" aca="1" ref="G137" ca="1">IF(RegimeExecucao="Global","",ORÇAMENTO!T137)</f>
        <v>30</v>
      </c>
      <c r="H137" s="122" cm="1">
        <f t="array" aca="1" ref="H137" ca="1">IF(RegimeExecucao="Global","",ORÇAMENTO!W137)</f>
        <v>2717.19</v>
      </c>
      <c r="I137" s="125">
        <f ca="1">ORÇAMENTO!X137</f>
        <v>81515.7</v>
      </c>
      <c r="J137" s="333" cm="1">
        <f t="array" aca="1" ref="J137" ca="1">IF($A137="S",IF(CAIXA.Modo,BM.AFAnterior,BM.MEDAnterior),IF(AND(RegimeExecucao="Global",$I137&gt;0,COUNTIF($AB$13:$AM$13,BM.medicao-1)&gt;0),M137/$I137*100,0))</f>
        <v>0</v>
      </c>
      <c r="K137" s="122">
        <f t="shared" ca="1" si="3"/>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4"/>
        <v>0</v>
      </c>
      <c r="O137" s="125" cm="1">
        <f t="array" aca="1" ref="O137" ca="1">IF($A137="S",VTOTALBM,IF($A137=0,0,ROUND(SomaAgrupBM,15-13*ORÇAMENTO!$AF$11)))</f>
        <v>0</v>
      </c>
      <c r="Q137" s="337"/>
      <c r="R137" s="338"/>
      <c r="T137" s="117" t="str">
        <f t="shared" ca="1" si="5"/>
        <v/>
      </c>
      <c r="U137" s="163" t="str">
        <f t="shared" ca="1" si="6"/>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7"/>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38.25" x14ac:dyDescent="0.2">
      <c r="A138" t="str">
        <f ca="1">ORÇAMENTO!C138</f>
        <v>S</v>
      </c>
      <c r="B138">
        <f ca="1">ORÇAMENTO!D138</f>
        <v>0</v>
      </c>
      <c r="C138" s="114" t="str">
        <f t="shared" ca="1" si="1"/>
        <v>F</v>
      </c>
      <c r="D138" s="117" t="str">
        <f ca="1">ORÇAMENTO!O138</f>
        <v>1.8.1.0.5.</v>
      </c>
      <c r="E138" s="163" t="str">
        <f t="shared" ca="1" si="2"/>
        <v>FILTRO ANAERÓBIO CIRCULAR, EM CONCRETO PRÉ-MOLDADO, DIÂMETRO INTERNO = 1,10 M, ALTURA INTERNA = 1,50 M, VOLUME ÚTIL: 1140,4 L (PARA 5 CONTRIBUINTES). AF_12/2020</v>
      </c>
      <c r="F138" s="164" t="str" cm="1">
        <f t="array" aca="1" ref="F138" ca="1">IF(RegimeExecucao="Global","",ORÇAMENTO.Unidade)</f>
        <v>UN</v>
      </c>
      <c r="G138" s="122" cm="1">
        <f t="array" aca="1" ref="G138" ca="1">IF(RegimeExecucao="Global","",ORÇAMENTO!T138)</f>
        <v>30</v>
      </c>
      <c r="H138" s="122" cm="1">
        <f t="array" aca="1" ref="H138" ca="1">IF(RegimeExecucao="Global","",ORÇAMENTO!W138)</f>
        <v>2315.96</v>
      </c>
      <c r="I138" s="125">
        <f ca="1">ORÇAMENTO!X138</f>
        <v>69478.8</v>
      </c>
      <c r="J138" s="333" cm="1">
        <f t="array" aca="1" ref="J138" ca="1">IF($A138="S",IF(CAIXA.Modo,BM.AFAnterior,BM.MEDAnterior),IF(AND(RegimeExecucao="Global",$I138&gt;0,COUNTIF($AB$13:$AM$13,BM.medicao-1)&gt;0),M138/$I138*100,0))</f>
        <v>0</v>
      </c>
      <c r="K138" s="122">
        <f t="shared" ca="1" si="3"/>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4"/>
        <v>0</v>
      </c>
      <c r="O138" s="125" cm="1">
        <f t="array" aca="1" ref="O138" ca="1">IF($A138="S",VTOTALBM,IF($A138=0,0,ROUND(SomaAgrupBM,15-13*ORÇAMENTO!$AF$11)))</f>
        <v>0</v>
      </c>
      <c r="Q138" s="337"/>
      <c r="R138" s="338"/>
      <c r="T138" s="117" t="str">
        <f t="shared" ca="1" si="5"/>
        <v/>
      </c>
      <c r="U138" s="163" t="str">
        <f t="shared" ca="1" si="6"/>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7"/>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38.25" x14ac:dyDescent="0.2">
      <c r="A139" t="str">
        <f ca="1">ORÇAMENTO!C139</f>
        <v>S</v>
      </c>
      <c r="B139">
        <f ca="1">ORÇAMENTO!D139</f>
        <v>0</v>
      </c>
      <c r="C139" s="114" t="str">
        <f t="shared" ca="1" si="1"/>
        <v>F</v>
      </c>
      <c r="D139" s="117" t="str">
        <f ca="1">ORÇAMENTO!O139</f>
        <v>1.8.1.0.6.</v>
      </c>
      <c r="E139" s="163" t="str">
        <f t="shared" ca="1" si="2"/>
        <v>SUMIDOURO CIRCULAR, EM CONCRETO PRÉ-MOLDADO, DIÂMETRO INTERNO = 1,88 M, ALTURA INTERNA = 2,00 M, ÁREA DE INFILTRAÇÃO: 13,1 M² (PARA 5 CONTRIBUINTES). AF_12/2020</v>
      </c>
      <c r="F139" s="164" t="str" cm="1">
        <f t="array" aca="1" ref="F139" ca="1">IF(RegimeExecucao="Global","",ORÇAMENTO.Unidade)</f>
        <v>UN</v>
      </c>
      <c r="G139" s="122" cm="1">
        <f t="array" aca="1" ref="G139" ca="1">IF(RegimeExecucao="Global","",ORÇAMENTO!T139)</f>
        <v>30</v>
      </c>
      <c r="H139" s="122" cm="1">
        <f t="array" aca="1" ref="H139" ca="1">IF(RegimeExecucao="Global","",ORÇAMENTO!W139)</f>
        <v>4024.89</v>
      </c>
      <c r="I139" s="125">
        <f ca="1">ORÇAMENTO!X139</f>
        <v>120746.7</v>
      </c>
      <c r="J139" s="333" cm="1">
        <f t="array" aca="1" ref="J139" ca="1">IF($A139="S",IF(CAIXA.Modo,BM.AFAnterior,BM.MEDAnterior),IF(AND(RegimeExecucao="Global",$I139&gt;0,COUNTIF($AB$13:$AM$13,BM.medicao-1)&gt;0),M139/$I139*100,0))</f>
        <v>0</v>
      </c>
      <c r="K139" s="122">
        <f t="shared" ca="1" si="3"/>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4"/>
        <v>0</v>
      </c>
      <c r="O139" s="125" cm="1">
        <f t="array" aca="1" ref="O139" ca="1">IF($A139="S",VTOTALBM,IF($A139=0,0,ROUND(SomaAgrupBM,15-13*ORÇAMENTO!$AF$11)))</f>
        <v>0</v>
      </c>
      <c r="Q139" s="337"/>
      <c r="R139" s="338"/>
      <c r="T139" s="117" t="str">
        <f t="shared" ca="1" si="5"/>
        <v/>
      </c>
      <c r="U139" s="163" t="str">
        <f t="shared" ca="1" si="6"/>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7"/>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x14ac:dyDescent="0.2">
      <c r="A140">
        <f ca="1">ORÇAMENTO!C140</f>
        <v>3</v>
      </c>
      <c r="B140">
        <f ca="1">ORÇAMENTO!D140</f>
        <v>13</v>
      </c>
      <c r="C140" s="114" t="str">
        <f t="shared" ca="1" si="1"/>
        <v>F</v>
      </c>
      <c r="D140" s="117" t="str">
        <f ca="1">ORÇAMENTO!O140</f>
        <v>1.8.2.</v>
      </c>
      <c r="E140" s="163" t="str">
        <f t="shared" si="2"/>
        <v>ESGOTO - TUBOS E CONEXÕES</v>
      </c>
      <c r="F140" s="164" t="str" cm="1">
        <f t="array" aca="1" ref="F140" ca="1">IF(RegimeExecucao="Global","",ORÇAMENTO.Unidade)</f>
        <v>-</v>
      </c>
      <c r="G140" s="122" cm="1">
        <f t="array" aca="1" ref="G140" ca="1">IF(RegimeExecucao="Global","",ORÇAMENTO!T140)</f>
        <v>0</v>
      </c>
      <c r="H140" s="122" cm="1">
        <f t="array" aca="1" ref="H140" ca="1">IF(RegimeExecucao="Global","",ORÇAMENTO!W140)</f>
        <v>0</v>
      </c>
      <c r="I140" s="125">
        <f ca="1">ORÇAMENTO!X140</f>
        <v>46112.22</v>
      </c>
      <c r="J140" s="333" cm="1">
        <f t="array" aca="1" ref="J140" ca="1">IF($A140="S",IF(CAIXA.Modo,BM.AFAnterior,BM.MEDAnterior),IF(AND(RegimeExecucao="Global",$I140&gt;0,COUNTIF($AB$13:$AM$13,BM.medicao-1)&gt;0),M140/$I140*100,0))</f>
        <v>0</v>
      </c>
      <c r="K140" s="122">
        <f t="shared" ca="1" si="3"/>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4"/>
        <v>0</v>
      </c>
      <c r="O140" s="125" cm="1">
        <f t="array" aca="1" ref="O140" ca="1">IF($A140="S",VTOTALBM,IF($A140=0,0,ROUND(SomaAgrupBM,15-13*ORÇAMENTO!$AF$11)))</f>
        <v>0</v>
      </c>
      <c r="Q140" s="337"/>
      <c r="R140" s="338"/>
      <c r="T140" s="117" t="str">
        <f t="shared" ca="1" si="5"/>
        <v/>
      </c>
      <c r="U140" s="163" t="str">
        <f t="shared" ca="1" si="6"/>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7"/>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38.25" x14ac:dyDescent="0.2">
      <c r="A141" t="str">
        <f ca="1">ORÇAMENTO!C141</f>
        <v>S</v>
      </c>
      <c r="B141">
        <f ca="1">ORÇAMENTO!D141</f>
        <v>0</v>
      </c>
      <c r="C141" s="114" t="str">
        <f t="shared" ca="1" si="1"/>
        <v>F</v>
      </c>
      <c r="D141" s="117" t="str">
        <f ca="1">ORÇAMENTO!O141</f>
        <v>1.8.2.0.1.</v>
      </c>
      <c r="E141" s="163" t="str">
        <f t="shared" ca="1" si="2"/>
        <v>TUBO PVC, SERIE NORMAL, ESGOTO PREDIAL, DN 40 MM, FORNECIDO E INSTALADO EM RAMAL DE DESCARGA OU RAMAL DE ESGOTO SANITÁRIO. AF_08/2022</v>
      </c>
      <c r="F141" s="164" t="str" cm="1">
        <f t="array" aca="1" ref="F141" ca="1">IF(RegimeExecucao="Global","",ORÇAMENTO.Unidade)</f>
        <v>M</v>
      </c>
      <c r="G141" s="122" cm="1">
        <f t="array" aca="1" ref="G141" ca="1">IF(RegimeExecucao="Global","",ORÇAMENTO!T141)</f>
        <v>55.2</v>
      </c>
      <c r="H141" s="122" cm="1">
        <f t="array" aca="1" ref="H141" ca="1">IF(RegimeExecucao="Global","",ORÇAMENTO!W141)</f>
        <v>30.13</v>
      </c>
      <c r="I141" s="125">
        <f ca="1">ORÇAMENTO!X141</f>
        <v>1663.18</v>
      </c>
      <c r="J141" s="333" cm="1">
        <f t="array" aca="1" ref="J141" ca="1">IF($A141="S",IF(CAIXA.Modo,BM.AFAnterior,BM.MEDAnterior),IF(AND(RegimeExecucao="Global",$I141&gt;0,COUNTIF($AB$13:$AM$13,BM.medicao-1)&gt;0),M141/$I141*100,0))</f>
        <v>0</v>
      </c>
      <c r="K141" s="122">
        <f t="shared" ca="1" si="3"/>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4"/>
        <v>0</v>
      </c>
      <c r="O141" s="125" cm="1">
        <f t="array" aca="1" ref="O141" ca="1">IF($A141="S",VTOTALBM,IF($A141=0,0,ROUND(SomaAgrupBM,15-13*ORÇAMENTO!$AF$11)))</f>
        <v>0</v>
      </c>
      <c r="Q141" s="337"/>
      <c r="R141" s="338"/>
      <c r="T141" s="117" t="str">
        <f t="shared" ca="1" si="5"/>
        <v/>
      </c>
      <c r="U141" s="163" t="str">
        <f t="shared" ca="1" si="6"/>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7"/>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38.25" x14ac:dyDescent="0.2">
      <c r="A142" t="str">
        <f ca="1">ORÇAMENTO!C142</f>
        <v>S</v>
      </c>
      <c r="B142">
        <f ca="1">ORÇAMENTO!D142</f>
        <v>0</v>
      </c>
      <c r="C142" s="114" t="str">
        <f t="shared" ca="1" si="1"/>
        <v>F</v>
      </c>
      <c r="D142" s="117" t="str">
        <f ca="1">ORÇAMENTO!O142</f>
        <v>1.8.2.0.2.</v>
      </c>
      <c r="E142" s="163" t="str">
        <f t="shared" ca="1" si="2"/>
        <v>TUBO PVC, SERIE NORMAL, ESGOTO PREDIAL, DN 50 MM, FORNECIDO E INSTALADO EM RAMAL DE DESCARGA OU RAMAL DE ESGOTO SANITÁRIO. AF_08/2022</v>
      </c>
      <c r="F142" s="164" t="str" cm="1">
        <f t="array" aca="1" ref="F142" ca="1">IF(RegimeExecucao="Global","",ORÇAMENTO.Unidade)</f>
        <v>M</v>
      </c>
      <c r="G142" s="122" cm="1">
        <f t="array" aca="1" ref="G142" ca="1">IF(RegimeExecucao="Global","",ORÇAMENTO!T142)</f>
        <v>247.2</v>
      </c>
      <c r="H142" s="122" cm="1">
        <f t="array" aca="1" ref="H142" ca="1">IF(RegimeExecucao="Global","",ORÇAMENTO!W142)</f>
        <v>38.590000000000003</v>
      </c>
      <c r="I142" s="125">
        <f ca="1">ORÇAMENTO!X142</f>
        <v>9539.4500000000007</v>
      </c>
      <c r="J142" s="333" cm="1">
        <f t="array" aca="1" ref="J142" ca="1">IF($A142="S",IF(CAIXA.Modo,BM.AFAnterior,BM.MEDAnterior),IF(AND(RegimeExecucao="Global",$I142&gt;0,COUNTIF($AB$13:$AM$13,BM.medicao-1)&gt;0),M142/$I142*100,0))</f>
        <v>0</v>
      </c>
      <c r="K142" s="122">
        <f t="shared" ca="1" si="3"/>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4"/>
        <v>0</v>
      </c>
      <c r="O142" s="125" cm="1">
        <f t="array" aca="1" ref="O142" ca="1">IF($A142="S",VTOTALBM,IF($A142=0,0,ROUND(SomaAgrupBM,15-13*ORÇAMENTO!$AF$11)))</f>
        <v>0</v>
      </c>
      <c r="Q142" s="337"/>
      <c r="R142" s="338"/>
      <c r="T142" s="117" t="str">
        <f t="shared" ca="1" si="5"/>
        <v/>
      </c>
      <c r="U142" s="163" t="str">
        <f t="shared" ca="1" si="6"/>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7"/>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38.25" x14ac:dyDescent="0.2">
      <c r="A143" t="str">
        <f ca="1">ORÇAMENTO!C143</f>
        <v>S</v>
      </c>
      <c r="B143">
        <f ca="1">ORÇAMENTO!D143</f>
        <v>0</v>
      </c>
      <c r="C143" s="114" t="str">
        <f t="shared" ca="1" si="1"/>
        <v>F</v>
      </c>
      <c r="D143" s="117" t="str">
        <f ca="1">ORÇAMENTO!O143</f>
        <v>1.8.2.0.3.</v>
      </c>
      <c r="E143" s="163" t="str">
        <f t="shared" ca="1" si="2"/>
        <v>TUBO PVC, SERIE NORMAL, ESGOTO PREDIAL, DN 75 MM, FORNECIDO E INSTALADO EM RAMAL DE DESCARGA OU RAMAL DE ESGOTO SANITÁRIO. AF_08/2022</v>
      </c>
      <c r="F143" s="164" t="str" cm="1">
        <f t="array" aca="1" ref="F143" ca="1">IF(RegimeExecucao="Global","",ORÇAMENTO.Unidade)</f>
        <v>M</v>
      </c>
      <c r="G143" s="122" cm="1">
        <f t="array" aca="1" ref="G143" ca="1">IF(RegimeExecucao="Global","",ORÇAMENTO!T143)</f>
        <v>10.5</v>
      </c>
      <c r="H143" s="122" cm="1">
        <f t="array" aca="1" ref="H143" ca="1">IF(RegimeExecucao="Global","",ORÇAMENTO!W143)</f>
        <v>48.18</v>
      </c>
      <c r="I143" s="125">
        <f ca="1">ORÇAMENTO!X143</f>
        <v>505.89</v>
      </c>
      <c r="J143" s="333" cm="1">
        <f t="array" aca="1" ref="J143" ca="1">IF($A143="S",IF(CAIXA.Modo,BM.AFAnterior,BM.MEDAnterior),IF(AND(RegimeExecucao="Global",$I143&gt;0,COUNTIF($AB$13:$AM$13,BM.medicao-1)&gt;0),M143/$I143*100,0))</f>
        <v>0</v>
      </c>
      <c r="K143" s="122">
        <f t="shared" ca="1" si="3"/>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4"/>
        <v>0</v>
      </c>
      <c r="O143" s="125" cm="1">
        <f t="array" aca="1" ref="O143" ca="1">IF($A143="S",VTOTALBM,IF($A143=0,0,ROUND(SomaAgrupBM,15-13*ORÇAMENTO!$AF$11)))</f>
        <v>0</v>
      </c>
      <c r="Q143" s="337"/>
      <c r="R143" s="338"/>
      <c r="T143" s="117" t="str">
        <f t="shared" ca="1" si="5"/>
        <v/>
      </c>
      <c r="U143" s="163" t="str">
        <f t="shared" ca="1" si="6"/>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7"/>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38.25" x14ac:dyDescent="0.2">
      <c r="A144" t="str">
        <f ca="1">ORÇAMENTO!C144</f>
        <v>S</v>
      </c>
      <c r="B144">
        <f ca="1">ORÇAMENTO!D144</f>
        <v>0</v>
      </c>
      <c r="C144" s="114" t="str">
        <f t="shared" ca="1" si="1"/>
        <v>F</v>
      </c>
      <c r="D144" s="117" t="str">
        <f ca="1">ORÇAMENTO!O144</f>
        <v>1.8.2.0.4.</v>
      </c>
      <c r="E144" s="163" t="str">
        <f t="shared" ca="1" si="2"/>
        <v>TUBO PVC, SERIE NORMAL, ESGOTO PREDIAL, DN 100 MM, FORNECIDO E INSTALADO EM RAMAL DE DESCARGA OU RAMAL DE ESGOTO SANITÁRIO. AF_08/2022</v>
      </c>
      <c r="F144" s="164" t="str" cm="1">
        <f t="array" aca="1" ref="F144" ca="1">IF(RegimeExecucao="Global","",ORÇAMENTO.Unidade)</f>
        <v>M</v>
      </c>
      <c r="G144" s="122" cm="1">
        <f t="array" aca="1" ref="G144" ca="1">IF(RegimeExecucao="Global","",ORÇAMENTO!T144)</f>
        <v>444</v>
      </c>
      <c r="H144" s="122" cm="1">
        <f t="array" aca="1" ref="H144" ca="1">IF(RegimeExecucao="Global","",ORÇAMENTO!W144)</f>
        <v>53.7</v>
      </c>
      <c r="I144" s="125">
        <f ca="1">ORÇAMENTO!X144</f>
        <v>23842.799999999999</v>
      </c>
      <c r="J144" s="333" cm="1">
        <f t="array" aca="1" ref="J144" ca="1">IF($A144="S",IF(CAIXA.Modo,BM.AFAnterior,BM.MEDAnterior),IF(AND(RegimeExecucao="Global",$I144&gt;0,COUNTIF($AB$13:$AM$13,BM.medicao-1)&gt;0),M144/$I144*100,0))</f>
        <v>0</v>
      </c>
      <c r="K144" s="122">
        <f t="shared" ca="1" si="3"/>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4"/>
        <v>0</v>
      </c>
      <c r="O144" s="125" cm="1">
        <f t="array" aca="1" ref="O144" ca="1">IF($A144="S",VTOTALBM,IF($A144=0,0,ROUND(SomaAgrupBM,15-13*ORÇAMENTO!$AF$11)))</f>
        <v>0</v>
      </c>
      <c r="Q144" s="337"/>
      <c r="R144" s="338"/>
      <c r="T144" s="117" t="str">
        <f t="shared" ca="1" si="5"/>
        <v/>
      </c>
      <c r="U144" s="163" t="str">
        <f t="shared" ca="1" si="6"/>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7"/>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38.25" x14ac:dyDescent="0.2">
      <c r="A145" t="str">
        <f ca="1">ORÇAMENTO!C145</f>
        <v>S</v>
      </c>
      <c r="B145">
        <f ca="1">ORÇAMENTO!D145</f>
        <v>0</v>
      </c>
      <c r="C145" s="114" t="str">
        <f t="shared" ca="1" si="1"/>
        <v>F</v>
      </c>
      <c r="D145" s="117" t="str">
        <f ca="1">ORÇAMENTO!O145</f>
        <v>1.8.2.0.5.</v>
      </c>
      <c r="E145" s="163" t="str">
        <f t="shared" ca="1" si="2"/>
        <v>JOELHO 90 GRAUS, PVC, SERIE NORMAL, ESGOTO PREDIAL, DN 100 MM, JUNTA ELÁSTICA, FORNECIDO E INSTALADO EM RAMAL DE DESCARGA OU RAMAL DE ESGOTO SANITÁRIO. AF_08/2022</v>
      </c>
      <c r="F145" s="164" t="str" cm="1">
        <f t="array" aca="1" ref="F145" ca="1">IF(RegimeExecucao="Global","",ORÇAMENTO.Unidade)</f>
        <v>UN</v>
      </c>
      <c r="G145" s="122" cm="1">
        <f t="array" aca="1" ref="G145" ca="1">IF(RegimeExecucao="Global","",ORÇAMENTO!T145)</f>
        <v>30</v>
      </c>
      <c r="H145" s="122" cm="1">
        <f t="array" aca="1" ref="H145" ca="1">IF(RegimeExecucao="Global","",ORÇAMENTO!W145)</f>
        <v>37.549999999999997</v>
      </c>
      <c r="I145" s="125">
        <f ca="1">ORÇAMENTO!X145</f>
        <v>1126.5</v>
      </c>
      <c r="J145" s="333" cm="1">
        <f t="array" aca="1" ref="J145" ca="1">IF($A145="S",IF(CAIXA.Modo,BM.AFAnterior,BM.MEDAnterior),IF(AND(RegimeExecucao="Global",$I145&gt;0,COUNTIF($AB$13:$AM$13,BM.medicao-1)&gt;0),M145/$I145*100,0))</f>
        <v>0</v>
      </c>
      <c r="K145" s="122">
        <f t="shared" ca="1" si="3"/>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4"/>
        <v>0</v>
      </c>
      <c r="O145" s="125" cm="1">
        <f t="array" aca="1" ref="O145" ca="1">IF($A145="S",VTOTALBM,IF($A145=0,0,ROUND(SomaAgrupBM,15-13*ORÇAMENTO!$AF$11)))</f>
        <v>0</v>
      </c>
      <c r="Q145" s="337"/>
      <c r="R145" s="338"/>
      <c r="T145" s="117" t="str">
        <f t="shared" ca="1" si="5"/>
        <v/>
      </c>
      <c r="U145" s="163" t="str">
        <f t="shared" ca="1" si="6"/>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7"/>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38.25" x14ac:dyDescent="0.2">
      <c r="A146" t="str">
        <f ca="1">ORÇAMENTO!C146</f>
        <v>S</v>
      </c>
      <c r="B146">
        <f ca="1">ORÇAMENTO!D146</f>
        <v>0</v>
      </c>
      <c r="C146" s="114" t="str">
        <f t="shared" ca="1" si="1"/>
        <v>F</v>
      </c>
      <c r="D146" s="117" t="str">
        <f ca="1">ORÇAMENTO!O146</f>
        <v>1.8.2.0.6.</v>
      </c>
      <c r="E146" s="163" t="str">
        <f t="shared" ca="1" si="2"/>
        <v>JOELHO 90 GRAUS, PVC, SERIE NORMAL, ESGOTO PREDIAL, DN 40 MM, JUNTA SOLDÁVEL, FORNECIDO E INSTALADO EM RAMAL DE DESCARGA OU RAMAL DE ESGOTO SANITÁRIO. AF_08/2022</v>
      </c>
      <c r="F146" s="164" t="str" cm="1">
        <f t="array" aca="1" ref="F146" ca="1">IF(RegimeExecucao="Global","",ORÇAMENTO.Unidade)</f>
        <v>UN</v>
      </c>
      <c r="G146" s="122" cm="1">
        <f t="array" aca="1" ref="G146" ca="1">IF(RegimeExecucao="Global","",ORÇAMENTO!T146)</f>
        <v>60</v>
      </c>
      <c r="H146" s="122" cm="1">
        <f t="array" aca="1" ref="H146" ca="1">IF(RegimeExecucao="Global","",ORÇAMENTO!W146)</f>
        <v>14.55</v>
      </c>
      <c r="I146" s="125">
        <f ca="1">ORÇAMENTO!X146</f>
        <v>873</v>
      </c>
      <c r="J146" s="333" cm="1">
        <f t="array" aca="1" ref="J146" ca="1">IF($A146="S",IF(CAIXA.Modo,BM.AFAnterior,BM.MEDAnterior),IF(AND(RegimeExecucao="Global",$I146&gt;0,COUNTIF($AB$13:$AM$13,BM.medicao-1)&gt;0),M146/$I146*100,0))</f>
        <v>0</v>
      </c>
      <c r="K146" s="122">
        <f t="shared" ca="1" si="3"/>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4"/>
        <v>0</v>
      </c>
      <c r="O146" s="125" cm="1">
        <f t="array" aca="1" ref="O146" ca="1">IF($A146="S",VTOTALBM,IF($A146=0,0,ROUND(SomaAgrupBM,15-13*ORÇAMENTO!$AF$11)))</f>
        <v>0</v>
      </c>
      <c r="Q146" s="337"/>
      <c r="R146" s="338"/>
      <c r="T146" s="117" t="str">
        <f t="shared" ca="1" si="5"/>
        <v/>
      </c>
      <c r="U146" s="163" t="str">
        <f t="shared" ca="1" si="6"/>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7"/>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38.25" x14ac:dyDescent="0.2">
      <c r="A147" t="str">
        <f ca="1">ORÇAMENTO!C147</f>
        <v>S</v>
      </c>
      <c r="B147">
        <f ca="1">ORÇAMENTO!D147</f>
        <v>0</v>
      </c>
      <c r="C147" s="114" t="str">
        <f t="shared" ca="1" si="1"/>
        <v>F</v>
      </c>
      <c r="D147" s="117" t="str">
        <f ca="1">ORÇAMENTO!O147</f>
        <v>1.8.2.0.7.</v>
      </c>
      <c r="E147" s="163" t="str">
        <f t="shared" ca="1" si="2"/>
        <v>JOELHO 45 GRAUS, PVC, SERIE NORMAL, ESGOTO PREDIAL, DN 40 MM, JUNTA SOLDÁVEL, FORNECIDO E INSTALADO EM RAMAL DE DESCARGA OU RAMAL DE ESGOTO SANITÁRIO. AF_08/2022</v>
      </c>
      <c r="F147" s="164" t="str" cm="1">
        <f t="array" aca="1" ref="F147" ca="1">IF(RegimeExecucao="Global","",ORÇAMENTO.Unidade)</f>
        <v>UN</v>
      </c>
      <c r="G147" s="122" cm="1">
        <f t="array" aca="1" ref="G147" ca="1">IF(RegimeExecucao="Global","",ORÇAMENTO!T147)</f>
        <v>30</v>
      </c>
      <c r="H147" s="122" cm="1">
        <f t="array" aca="1" ref="H147" ca="1">IF(RegimeExecucao="Global","",ORÇAMENTO!W147)</f>
        <v>14.89</v>
      </c>
      <c r="I147" s="125">
        <f ca="1">ORÇAMENTO!X147</f>
        <v>446.7</v>
      </c>
      <c r="J147" s="333" cm="1">
        <f t="array" aca="1" ref="J147" ca="1">IF($A147="S",IF(CAIXA.Modo,BM.AFAnterior,BM.MEDAnterior),IF(AND(RegimeExecucao="Global",$I147&gt;0,COUNTIF($AB$13:$AM$13,BM.medicao-1)&gt;0),M147/$I147*100,0))</f>
        <v>0</v>
      </c>
      <c r="K147" s="122">
        <f t="shared" ca="1" si="3"/>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4"/>
        <v>0</v>
      </c>
      <c r="O147" s="125" cm="1">
        <f t="array" aca="1" ref="O147" ca="1">IF($A147="S",VTOTALBM,IF($A147=0,0,ROUND(SomaAgrupBM,15-13*ORÇAMENTO!$AF$11)))</f>
        <v>0</v>
      </c>
      <c r="Q147" s="337"/>
      <c r="R147" s="338"/>
      <c r="T147" s="117" t="str">
        <f t="shared" ca="1" si="5"/>
        <v/>
      </c>
      <c r="U147" s="163" t="str">
        <f t="shared" ca="1" si="6"/>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7"/>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38.25" x14ac:dyDescent="0.2">
      <c r="A148" t="str">
        <f ca="1">ORÇAMENTO!C148</f>
        <v>S</v>
      </c>
      <c r="B148">
        <f ca="1">ORÇAMENTO!D148</f>
        <v>0</v>
      </c>
      <c r="C148" s="114" t="str">
        <f t="shared" ca="1" si="1"/>
        <v>F</v>
      </c>
      <c r="D148" s="117" t="str">
        <f ca="1">ORÇAMENTO!O148</f>
        <v>1.8.2.0.8.</v>
      </c>
      <c r="E148" s="163" t="str">
        <f t="shared" ca="1" si="2"/>
        <v>JOELHO 90 GRAUS, PVC, SERIE NORMAL, ESGOTO PREDIAL, DN 50 MM, JUNTA ELÁSTICA, FORNECIDO E INSTALADO EM RAMAL DE DESCARGA OU RAMAL DE ESGOTO SANITÁRIO. AF_08/2022</v>
      </c>
      <c r="F148" s="164" t="str" cm="1">
        <f t="array" aca="1" ref="F148" ca="1">IF(RegimeExecucao="Global","",ORÇAMENTO.Unidade)</f>
        <v>UN</v>
      </c>
      <c r="G148" s="122" cm="1">
        <f t="array" aca="1" ref="G148" ca="1">IF(RegimeExecucao="Global","",ORÇAMENTO!T148)</f>
        <v>180</v>
      </c>
      <c r="H148" s="122" cm="1">
        <f t="array" aca="1" ref="H148" ca="1">IF(RegimeExecucao="Global","",ORÇAMENTO!W148)</f>
        <v>20.059999999999999</v>
      </c>
      <c r="I148" s="125">
        <f ca="1">ORÇAMENTO!X148</f>
        <v>3610.8</v>
      </c>
      <c r="J148" s="333" cm="1">
        <f t="array" aca="1" ref="J148" ca="1">IF($A148="S",IF(CAIXA.Modo,BM.AFAnterior,BM.MEDAnterior),IF(AND(RegimeExecucao="Global",$I148&gt;0,COUNTIF($AB$13:$AM$13,BM.medicao-1)&gt;0),M148/$I148*100,0))</f>
        <v>0</v>
      </c>
      <c r="K148" s="122">
        <f t="shared" ca="1" si="3"/>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4"/>
        <v>0</v>
      </c>
      <c r="O148" s="125" cm="1">
        <f t="array" aca="1" ref="O148" ca="1">IF($A148="S",VTOTALBM,IF($A148=0,0,ROUND(SomaAgrupBM,15-13*ORÇAMENTO!$AF$11)))</f>
        <v>0</v>
      </c>
      <c r="Q148" s="337"/>
      <c r="R148" s="338"/>
      <c r="T148" s="117" t="str">
        <f t="shared" ca="1" si="5"/>
        <v/>
      </c>
      <c r="U148" s="163" t="str">
        <f t="shared" ca="1" si="6"/>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7"/>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38.25" x14ac:dyDescent="0.2">
      <c r="A149" t="str">
        <f ca="1">ORÇAMENTO!C149</f>
        <v>S</v>
      </c>
      <c r="B149">
        <f ca="1">ORÇAMENTO!D149</f>
        <v>0</v>
      </c>
      <c r="C149" s="114" t="str">
        <f t="shared" ca="1" si="1"/>
        <v>F</v>
      </c>
      <c r="D149" s="117" t="str">
        <f ca="1">ORÇAMENTO!O149</f>
        <v>1.8.2.0.9.</v>
      </c>
      <c r="E149" s="163" t="str">
        <f t="shared" ca="1" si="2"/>
        <v>JOELHO 45 GRAUS, PVC, SERIE NORMAL, ESGOTO PREDIAL, DN 50 MM, JUNTA ELÁSTICA, FORNECIDO E INSTALADO EM RAMAL DE DESCARGA OU RAMAL DE ESGOTO SANITÁRIO. AF_08/2022</v>
      </c>
      <c r="F149" s="164" t="str" cm="1">
        <f t="array" aca="1" ref="F149" ca="1">IF(RegimeExecucao="Global","",ORÇAMENTO.Unidade)</f>
        <v>UN</v>
      </c>
      <c r="G149" s="122" cm="1">
        <f t="array" aca="1" ref="G149" ca="1">IF(RegimeExecucao="Global","",ORÇAMENTO!T149)</f>
        <v>30</v>
      </c>
      <c r="H149" s="122" cm="1">
        <f t="array" aca="1" ref="H149" ca="1">IF(RegimeExecucao="Global","",ORÇAMENTO!W149)</f>
        <v>21.16</v>
      </c>
      <c r="I149" s="125">
        <f ca="1">ORÇAMENTO!X149</f>
        <v>634.79999999999995</v>
      </c>
      <c r="J149" s="333" cm="1">
        <f t="array" aca="1" ref="J149" ca="1">IF($A149="S",IF(CAIXA.Modo,BM.AFAnterior,BM.MEDAnterior),IF(AND(RegimeExecucao="Global",$I149&gt;0,COUNTIF($AB$13:$AM$13,BM.medicao-1)&gt;0),M149/$I149*100,0))</f>
        <v>0</v>
      </c>
      <c r="K149" s="122">
        <f t="shared" ca="1" si="3"/>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4"/>
        <v>0</v>
      </c>
      <c r="O149" s="125" cm="1">
        <f t="array" aca="1" ref="O149" ca="1">IF($A149="S",VTOTALBM,IF($A149=0,0,ROUND(SomaAgrupBM,15-13*ORÇAMENTO!$AF$11)))</f>
        <v>0</v>
      </c>
      <c r="Q149" s="337"/>
      <c r="R149" s="338"/>
      <c r="T149" s="117" t="str">
        <f t="shared" ca="1" si="5"/>
        <v/>
      </c>
      <c r="U149" s="163" t="str">
        <f t="shared" ca="1" si="6"/>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7"/>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38.25" x14ac:dyDescent="0.2">
      <c r="A150" t="str">
        <f ca="1">ORÇAMENTO!C150</f>
        <v>S</v>
      </c>
      <c r="B150">
        <f ca="1">ORÇAMENTO!D150</f>
        <v>0</v>
      </c>
      <c r="C150" s="114" t="str">
        <f t="shared" ca="1" si="1"/>
        <v>F</v>
      </c>
      <c r="D150" s="117" t="str">
        <f ca="1">ORÇAMENTO!O150</f>
        <v>1.8.2.0.10.</v>
      </c>
      <c r="E150" s="163" t="str">
        <f t="shared" ca="1" si="2"/>
        <v>JUNÇÃO SIMPLES, PVC, SERIE NORMAL, ESGOTO PREDIAL, DN 50 X 50 MM, JUNTA ELÁSTICA, FORNECIDO E INSTALADO EM RAMAL DE DESCARGA OU RAMAL DE ESGOTO SANITÁRIO. AF_08/2022</v>
      </c>
      <c r="F150" s="164" t="str" cm="1">
        <f t="array" aca="1" ref="F150" ca="1">IF(RegimeExecucao="Global","",ORÇAMENTO.Unidade)</f>
        <v>UN</v>
      </c>
      <c r="G150" s="122" cm="1">
        <f t="array" aca="1" ref="G150" ca="1">IF(RegimeExecucao="Global","",ORÇAMENTO!T150)</f>
        <v>30</v>
      </c>
      <c r="H150" s="122" cm="1">
        <f t="array" aca="1" ref="H150" ca="1">IF(RegimeExecucao="Global","",ORÇAMENTO!W150)</f>
        <v>36.479999999999997</v>
      </c>
      <c r="I150" s="125">
        <f ca="1">ORÇAMENTO!X150</f>
        <v>1094.4000000000001</v>
      </c>
      <c r="J150" s="333" cm="1">
        <f t="array" aca="1" ref="J150" ca="1">IF($A150="S",IF(CAIXA.Modo,BM.AFAnterior,BM.MEDAnterior),IF(AND(RegimeExecucao="Global",$I150&gt;0,COUNTIF($AB$13:$AM$13,BM.medicao-1)&gt;0),M150/$I150*100,0))</f>
        <v>0</v>
      </c>
      <c r="K150" s="122">
        <f t="shared" ca="1" si="3"/>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4"/>
        <v>0</v>
      </c>
      <c r="O150" s="125" cm="1">
        <f t="array" aca="1" ref="O150" ca="1">IF($A150="S",VTOTALBM,IF($A150=0,0,ROUND(SomaAgrupBM,15-13*ORÇAMENTO!$AF$11)))</f>
        <v>0</v>
      </c>
      <c r="Q150" s="337"/>
      <c r="R150" s="338"/>
      <c r="T150" s="117" t="str">
        <f t="shared" ca="1" si="5"/>
        <v/>
      </c>
      <c r="U150" s="163" t="str">
        <f t="shared" ca="1" si="6"/>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7"/>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51" x14ac:dyDescent="0.2">
      <c r="A151" t="str">
        <f ca="1">ORÇAMENTO!C151</f>
        <v>S</v>
      </c>
      <c r="B151">
        <f ca="1">ORÇAMENTO!D151</f>
        <v>0</v>
      </c>
      <c r="C151" s="114" t="str">
        <f t="shared" ca="1" si="1"/>
        <v>F</v>
      </c>
      <c r="D151" s="117" t="str">
        <f ca="1">ORÇAMENTO!O151</f>
        <v>1.8.2.0.11.</v>
      </c>
      <c r="E151" s="163" t="str">
        <f t="shared" ca="1" si="2"/>
        <v>JUNÇÃO DE REDUÇÃO INVERTIDA, PVC, SÉRIE NORMAL, ESGOTO PREDIAL, DN 100 X 50 MM, JUNTA ELÁSTICA, FORNECIDO E INSTALADO EM RAMAL DE DESCARGA OU RAMAL DE ESGOTO SANITÁRIO. AF_08/2022</v>
      </c>
      <c r="F151" s="164" t="str" cm="1">
        <f t="array" aca="1" ref="F151" ca="1">IF(RegimeExecucao="Global","",ORÇAMENTO.Unidade)</f>
        <v>UN</v>
      </c>
      <c r="G151" s="122" cm="1">
        <f t="array" aca="1" ref="G151" ca="1">IF(RegimeExecucao="Global","",ORÇAMENTO!T151)</f>
        <v>30</v>
      </c>
      <c r="H151" s="122" cm="1">
        <f t="array" aca="1" ref="H151" ca="1">IF(RegimeExecucao="Global","",ORÇAMENTO!W151)</f>
        <v>59.53</v>
      </c>
      <c r="I151" s="125">
        <f ca="1">ORÇAMENTO!X151</f>
        <v>1785.9</v>
      </c>
      <c r="J151" s="333" cm="1">
        <f t="array" aca="1" ref="J151" ca="1">IF($A151="S",IF(CAIXA.Modo,BM.AFAnterior,BM.MEDAnterior),IF(AND(RegimeExecucao="Global",$I151&gt;0,COUNTIF($AB$13:$AM$13,BM.medicao-1)&gt;0),M151/$I151*100,0))</f>
        <v>0</v>
      </c>
      <c r="K151" s="122">
        <f t="shared" ca="1" si="3"/>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4"/>
        <v>0</v>
      </c>
      <c r="O151" s="125" cm="1">
        <f t="array" aca="1" ref="O151" ca="1">IF($A151="S",VTOTALBM,IF($A151=0,0,ROUND(SomaAgrupBM,15-13*ORÇAMENTO!$AF$11)))</f>
        <v>0</v>
      </c>
      <c r="Q151" s="337"/>
      <c r="R151" s="338"/>
      <c r="T151" s="117" t="str">
        <f t="shared" ca="1" si="5"/>
        <v/>
      </c>
      <c r="U151" s="163" t="str">
        <f t="shared" ca="1" si="6"/>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7"/>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38.25" x14ac:dyDescent="0.2">
      <c r="A152" t="str">
        <f ca="1">ORÇAMENTO!C152</f>
        <v>S</v>
      </c>
      <c r="B152">
        <f ca="1">ORÇAMENTO!D152</f>
        <v>0</v>
      </c>
      <c r="C152" s="114" t="str">
        <f ca="1">IF(OR($I152&gt;0,$A152=1,$A152=2,$A152=3,$A152=4),"F","")</f>
        <v>F</v>
      </c>
      <c r="D152" s="117" t="str">
        <f ca="1">ORÇAMENTO!O152</f>
        <v>1.8.2.0.12.</v>
      </c>
      <c r="E152" s="163" t="str">
        <f ca="1">ORÇAMENTO.Descricao</f>
        <v>TE, PVC, SERIE NORMAL, ESGOTO PREDIAL, DN 50 X 50 MM, JUNTA ELÁSTICA, FORNECIDO E INSTALADO EM RAMAL DE DESCARGA OU RAMAL DE ESGOTO SANITÁRIO. AF_08/2022</v>
      </c>
      <c r="F152" s="164" t="str" cm="1">
        <f t="array" aca="1" ref="F152" ca="1">IF(RegimeExecucao="Global","",ORÇAMENTO.Unidade)</f>
        <v>UN</v>
      </c>
      <c r="G152" s="122" cm="1">
        <f t="array" aca="1" ref="G152" ca="1">IF(RegimeExecucao="Global","",ORÇAMENTO!T152)</f>
        <v>30</v>
      </c>
      <c r="H152" s="122" cm="1">
        <f t="array" aca="1" ref="H152" ca="1">IF(RegimeExecucao="Global","",ORÇAMENTO!W152)</f>
        <v>32.96</v>
      </c>
      <c r="I152" s="125">
        <f ca="1">ORÇAMENTO!X152</f>
        <v>988.8</v>
      </c>
      <c r="J152" s="333" cm="1">
        <f t="array" aca="1" ref="J152" ca="1">IF($A152="S",IF(CAIXA.Modo,BM.AFAnterior,BM.MEDAnterior),IF(AND(RegimeExecucao="Global",$I152&gt;0,COUNTIF($AB$13:$AM$13,BM.medicao-1)&gt;0),M152/$I152*100,0))</f>
        <v>0</v>
      </c>
      <c r="K152" s="122">
        <f ca="1">L152-J152</f>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ca="1">O152-M152</f>
        <v>0</v>
      </c>
      <c r="O152" s="125" cm="1">
        <f t="array" aca="1" ref="O152" ca="1">IF($A152="S",VTOTALBM,IF($A152=0,0,ROUND(SomaAgrupBM,15-13*ORÇAMENTO!$AF$11)))</f>
        <v>0</v>
      </c>
      <c r="Q152" s="337"/>
      <c r="R152" s="338"/>
      <c r="T152" s="117" t="str">
        <f ca="1">IF($W152&gt;0,$D152,"")</f>
        <v/>
      </c>
      <c r="U152" s="163" t="str">
        <f ca="1">IF($W152&gt;0,$E152,"")</f>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ca="1">AO152-O152</f>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x14ac:dyDescent="0.2">
      <c r="A153">
        <f ca="1">ORÇAMENTO!C153</f>
        <v>3</v>
      </c>
      <c r="B153">
        <f ca="1">ORÇAMENTO!D153</f>
        <v>5</v>
      </c>
      <c r="C153" s="114" t="str">
        <f t="shared" ca="1" si="1"/>
        <v>F</v>
      </c>
      <c r="D153" s="117" t="str">
        <f ca="1">ORÇAMENTO!O153</f>
        <v>1.8.3.</v>
      </c>
      <c r="E153" s="163" t="str">
        <f t="shared" si="2"/>
        <v>ESGOTO - RALOS E CAIXAS</v>
      </c>
      <c r="F153" s="164" t="str" cm="1">
        <f t="array" aca="1" ref="F153" ca="1">IF(RegimeExecucao="Global","",ORÇAMENTO.Unidade)</f>
        <v>-</v>
      </c>
      <c r="G153" s="122" cm="1">
        <f t="array" aca="1" ref="G153" ca="1">IF(RegimeExecucao="Global","",ORÇAMENTO!T153)</f>
        <v>0</v>
      </c>
      <c r="H153" s="122" cm="1">
        <f t="array" aca="1" ref="H153" ca="1">IF(RegimeExecucao="Global","",ORÇAMENTO!W153)</f>
        <v>0</v>
      </c>
      <c r="I153" s="125">
        <f ca="1">ORÇAMENTO!X153</f>
        <v>77599.8</v>
      </c>
      <c r="J153" s="333" cm="1">
        <f t="array" aca="1" ref="J153" ca="1">IF($A153="S",IF(CAIXA.Modo,BM.AFAnterior,BM.MEDAnterior),IF(AND(RegimeExecucao="Global",$I153&gt;0,COUNTIF($AB$13:$AM$13,BM.medicao-1)&gt;0),M153/$I153*100,0))</f>
        <v>0</v>
      </c>
      <c r="K153" s="122">
        <f t="shared" ca="1" si="3"/>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4"/>
        <v>0</v>
      </c>
      <c r="O153" s="125" cm="1">
        <f t="array" aca="1" ref="O153" ca="1">IF($A153="S",VTOTALBM,IF($A153=0,0,ROUND(SomaAgrupBM,15-13*ORÇAMENTO!$AF$11)))</f>
        <v>0</v>
      </c>
      <c r="Q153" s="337"/>
      <c r="R153" s="338"/>
      <c r="T153" s="117" t="str">
        <f t="shared" ca="1" si="5"/>
        <v/>
      </c>
      <c r="U153" s="163" t="str">
        <f t="shared" ca="1" si="6"/>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7"/>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38.25" x14ac:dyDescent="0.2">
      <c r="A154" t="str">
        <f ca="1">ORÇAMENTO!C154</f>
        <v>S</v>
      </c>
      <c r="B154">
        <f ca="1">ORÇAMENTO!D154</f>
        <v>0</v>
      </c>
      <c r="C154" s="114" t="str">
        <f t="shared" ca="1" si="1"/>
        <v>F</v>
      </c>
      <c r="D154" s="117" t="str">
        <f ca="1">ORÇAMENTO!O154</f>
        <v>1.8.3.0.1.</v>
      </c>
      <c r="E154" s="163" t="str">
        <f t="shared" ca="1" si="2"/>
        <v>CAIXA SIFONADA, COM GRELHA QUADRADA, PVC, DN 150 X 150 X 50 MM, JUNTA SOLDÁVEL, FORNECIDA E INSTALADA EM RAMAL DE DESCARGA OU EM RAMAL DE ESGOTO SANITÁRIO. AF_08/2022</v>
      </c>
      <c r="F154" s="164" t="str" cm="1">
        <f t="array" aca="1" ref="F154" ca="1">IF(RegimeExecucao="Global","",ORÇAMENTO.Unidade)</f>
        <v>UN</v>
      </c>
      <c r="G154" s="122" cm="1">
        <f t="array" aca="1" ref="G154" ca="1">IF(RegimeExecucao="Global","",ORÇAMENTO!T154)</f>
        <v>30</v>
      </c>
      <c r="H154" s="122" cm="1">
        <f t="array" aca="1" ref="H154" ca="1">IF(RegimeExecucao="Global","",ORÇAMENTO!W154)</f>
        <v>111.1</v>
      </c>
      <c r="I154" s="125">
        <f ca="1">ORÇAMENTO!X154</f>
        <v>3333</v>
      </c>
      <c r="J154" s="333" cm="1">
        <f t="array" aca="1" ref="J154" ca="1">IF($A154="S",IF(CAIXA.Modo,BM.AFAnterior,BM.MEDAnterior),IF(AND(RegimeExecucao="Global",$I154&gt;0,COUNTIF($AB$13:$AM$13,BM.medicao-1)&gt;0),M154/$I154*100,0))</f>
        <v>0</v>
      </c>
      <c r="K154" s="122">
        <f t="shared" ca="1" si="3"/>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4"/>
        <v>0</v>
      </c>
      <c r="O154" s="125" cm="1">
        <f t="array" aca="1" ref="O154" ca="1">IF($A154="S",VTOTALBM,IF($A154=0,0,ROUND(SomaAgrupBM,15-13*ORÇAMENTO!$AF$11)))</f>
        <v>0</v>
      </c>
      <c r="Q154" s="337"/>
      <c r="R154" s="338"/>
      <c r="T154" s="117" t="str">
        <f t="shared" ca="1" si="5"/>
        <v/>
      </c>
      <c r="U154" s="163" t="str">
        <f t="shared" ca="1" si="6"/>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7"/>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38.25" x14ac:dyDescent="0.2">
      <c r="A155" t="str">
        <f ca="1">ORÇAMENTO!C155</f>
        <v>S</v>
      </c>
      <c r="B155">
        <f ca="1">ORÇAMENTO!D155</f>
        <v>0</v>
      </c>
      <c r="C155" s="114" t="str">
        <f t="shared" ca="1" si="1"/>
        <v>F</v>
      </c>
      <c r="D155" s="117" t="str">
        <f ca="1">ORÇAMENTO!O155</f>
        <v>1.8.3.0.2.</v>
      </c>
      <c r="E155" s="163" t="str">
        <f t="shared" ca="1" si="2"/>
        <v>RALO SECO, PVC, DN 100 X 40 MM, JUNTA SOLDÁVEL, FORNECIDO E INSTALADO EM RAMAL DE DESCARGA OU EM RAMAL DE ESGOTO SANITÁRIO. AF_08/2022</v>
      </c>
      <c r="F155" s="164" t="str" cm="1">
        <f t="array" aca="1" ref="F155" ca="1">IF(RegimeExecucao="Global","",ORÇAMENTO.Unidade)</f>
        <v>UN</v>
      </c>
      <c r="G155" s="122" cm="1">
        <f t="array" aca="1" ref="G155" ca="1">IF(RegimeExecucao="Global","",ORÇAMENTO!T155)</f>
        <v>30</v>
      </c>
      <c r="H155" s="122" cm="1">
        <f t="array" aca="1" ref="H155" ca="1">IF(RegimeExecucao="Global","",ORÇAMENTO!W155)</f>
        <v>28.25</v>
      </c>
      <c r="I155" s="125">
        <f ca="1">ORÇAMENTO!X155</f>
        <v>847.5</v>
      </c>
      <c r="J155" s="333" cm="1">
        <f t="array" aca="1" ref="J155" ca="1">IF($A155="S",IF(CAIXA.Modo,BM.AFAnterior,BM.MEDAnterior),IF(AND(RegimeExecucao="Global",$I155&gt;0,COUNTIF($AB$13:$AM$13,BM.medicao-1)&gt;0),M155/$I155*100,0))</f>
        <v>0</v>
      </c>
      <c r="K155" s="122">
        <f t="shared" ca="1" si="3"/>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4"/>
        <v>0</v>
      </c>
      <c r="O155" s="125" cm="1">
        <f t="array" aca="1" ref="O155" ca="1">IF($A155="S",VTOTALBM,IF($A155=0,0,ROUND(SomaAgrupBM,15-13*ORÇAMENTO!$AF$11)))</f>
        <v>0</v>
      </c>
      <c r="Q155" s="337"/>
      <c r="R155" s="338"/>
      <c r="T155" s="117" t="str">
        <f t="shared" ca="1" si="5"/>
        <v/>
      </c>
      <c r="U155" s="163" t="str">
        <f t="shared" ca="1" si="6"/>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7"/>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38.25" x14ac:dyDescent="0.2">
      <c r="A156" t="str">
        <f ca="1">ORÇAMENTO!C156</f>
        <v>S</v>
      </c>
      <c r="B156">
        <f ca="1">ORÇAMENTO!D156</f>
        <v>0</v>
      </c>
      <c r="C156" s="114" t="str">
        <f t="shared" ca="1" si="1"/>
        <v>F</v>
      </c>
      <c r="D156" s="117" t="str">
        <f ca="1">ORÇAMENTO!O156</f>
        <v>1.8.3.0.3.</v>
      </c>
      <c r="E156" s="163" t="str">
        <f t="shared" ca="1" si="2"/>
        <v>CAIXA ENTERRADA HIDRÁULICA RETANGULAR EM ALVENARIA COM TIJOLOS CERÂMICOS MACIÇOS, DIMENSÕES INTERNAS: 0,6X0,6X0,6 M PARA REDE DE ESGOTO. AF_12/2020</v>
      </c>
      <c r="F156" s="164" t="str" cm="1">
        <f t="array" aca="1" ref="F156" ca="1">IF(RegimeExecucao="Global","",ORÇAMENTO.Unidade)</f>
        <v>UN</v>
      </c>
      <c r="G156" s="122" cm="1">
        <f t="array" aca="1" ref="G156" ca="1">IF(RegimeExecucao="Global","",ORÇAMENTO!T156)</f>
        <v>90</v>
      </c>
      <c r="H156" s="122" cm="1">
        <f t="array" aca="1" ref="H156" ca="1">IF(RegimeExecucao="Global","",ORÇAMENTO!W156)</f>
        <v>737.78</v>
      </c>
      <c r="I156" s="125">
        <f ca="1">ORÇAMENTO!X156</f>
        <v>66400.2</v>
      </c>
      <c r="J156" s="333" cm="1">
        <f t="array" aca="1" ref="J156" ca="1">IF($A156="S",IF(CAIXA.Modo,BM.AFAnterior,BM.MEDAnterior),IF(AND(RegimeExecucao="Global",$I156&gt;0,COUNTIF($AB$13:$AM$13,BM.medicao-1)&gt;0),M156/$I156*100,0))</f>
        <v>0</v>
      </c>
      <c r="K156" s="122">
        <f t="shared" ca="1" si="3"/>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4"/>
        <v>0</v>
      </c>
      <c r="O156" s="125" cm="1">
        <f t="array" aca="1" ref="O156" ca="1">IF($A156="S",VTOTALBM,IF($A156=0,0,ROUND(SomaAgrupBM,15-13*ORÇAMENTO!$AF$11)))</f>
        <v>0</v>
      </c>
      <c r="Q156" s="337"/>
      <c r="R156" s="338"/>
      <c r="T156" s="117" t="str">
        <f t="shared" ca="1" si="5"/>
        <v/>
      </c>
      <c r="U156" s="163" t="str">
        <f t="shared" ca="1" si="6"/>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7"/>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38.25" x14ac:dyDescent="0.2">
      <c r="A157" t="str">
        <f ca="1">ORÇAMENTO!C157</f>
        <v>S</v>
      </c>
      <c r="B157">
        <f ca="1">ORÇAMENTO!D157</f>
        <v>0</v>
      </c>
      <c r="C157" s="114" t="str">
        <f t="shared" ca="1" si="1"/>
        <v>F</v>
      </c>
      <c r="D157" s="117" t="str">
        <f ca="1">ORÇAMENTO!O157</f>
        <v>1.8.3.0.4.</v>
      </c>
      <c r="E157" s="163" t="str">
        <f t="shared" ca="1" si="2"/>
        <v>CAIXA DE GORDURA SIMPLES, CIRCULAR, EM CONCRETO PRÉ-MOLDADO, DIÂMETRO INTERNO = 0,4 M, ALTURA INTERNA = 0,4 M. AF_12/2020</v>
      </c>
      <c r="F157" s="164" t="str" cm="1">
        <f t="array" aca="1" ref="F157" ca="1">IF(RegimeExecucao="Global","",ORÇAMENTO.Unidade)</f>
        <v>UN</v>
      </c>
      <c r="G157" s="122" cm="1">
        <f t="array" aca="1" ref="G157" ca="1">IF(RegimeExecucao="Global","",ORÇAMENTO!T157)</f>
        <v>30</v>
      </c>
      <c r="H157" s="122" cm="1">
        <f t="array" aca="1" ref="H157" ca="1">IF(RegimeExecucao="Global","",ORÇAMENTO!W157)</f>
        <v>233.97</v>
      </c>
      <c r="I157" s="125">
        <f ca="1">ORÇAMENTO!X157</f>
        <v>7019.1</v>
      </c>
      <c r="J157" s="333" cm="1">
        <f t="array" aca="1" ref="J157" ca="1">IF($A157="S",IF(CAIXA.Modo,BM.AFAnterior,BM.MEDAnterior),IF(AND(RegimeExecucao="Global",$I157&gt;0,COUNTIF($AB$13:$AM$13,BM.medicao-1)&gt;0),M157/$I157*100,0))</f>
        <v>0</v>
      </c>
      <c r="K157" s="122">
        <f t="shared" ca="1" si="3"/>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4"/>
        <v>0</v>
      </c>
      <c r="O157" s="125" cm="1">
        <f t="array" aca="1" ref="O157" ca="1">IF($A157="S",VTOTALBM,IF($A157=0,0,ROUND(SomaAgrupBM,15-13*ORÇAMENTO!$AF$11)))</f>
        <v>0</v>
      </c>
      <c r="Q157" s="337"/>
      <c r="R157" s="338"/>
      <c r="T157" s="117" t="str">
        <f t="shared" ca="1" si="5"/>
        <v/>
      </c>
      <c r="U157" s="163" t="str">
        <f t="shared" ca="1" si="6"/>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7"/>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x14ac:dyDescent="0.2">
      <c r="A158">
        <f ca="1">ORÇAMENTO!C158</f>
        <v>3</v>
      </c>
      <c r="B158">
        <f ca="1">ORÇAMENTO!D158</f>
        <v>2</v>
      </c>
      <c r="C158" s="114" t="str">
        <f t="shared" ca="1" si="1"/>
        <v>F</v>
      </c>
      <c r="D158" s="117" t="str">
        <f ca="1">ORÇAMENTO!O158</f>
        <v>1.8.4.</v>
      </c>
      <c r="E158" s="163" t="str">
        <f t="shared" si="2"/>
        <v>ENTRADA DE ÁGUA - CORSAN</v>
      </c>
      <c r="F158" s="164" t="str" cm="1">
        <f t="array" aca="1" ref="F158" ca="1">IF(RegimeExecucao="Global","",ORÇAMENTO.Unidade)</f>
        <v>-</v>
      </c>
      <c r="G158" s="122" cm="1">
        <f t="array" aca="1" ref="G158" ca="1">IF(RegimeExecucao="Global","",ORÇAMENTO!T158)</f>
        <v>0</v>
      </c>
      <c r="H158" s="122" cm="1">
        <f t="array" aca="1" ref="H158" ca="1">IF(RegimeExecucao="Global","",ORÇAMENTO!W158)</f>
        <v>0</v>
      </c>
      <c r="I158" s="125">
        <f ca="1">ORÇAMENTO!X158</f>
        <v>7522.8</v>
      </c>
      <c r="J158" s="333" cm="1">
        <f t="array" aca="1" ref="J158" ca="1">IF($A158="S",IF(CAIXA.Modo,BM.AFAnterior,BM.MEDAnterior),IF(AND(RegimeExecucao="Global",$I158&gt;0,COUNTIF($AB$13:$AM$13,BM.medicao-1)&gt;0),M158/$I158*100,0))</f>
        <v>0</v>
      </c>
      <c r="K158" s="122">
        <f t="shared" ca="1" si="3"/>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4"/>
        <v>0</v>
      </c>
      <c r="O158" s="125" cm="1">
        <f t="array" aca="1" ref="O158" ca="1">IF($A158="S",VTOTALBM,IF($A158=0,0,ROUND(SomaAgrupBM,15-13*ORÇAMENTO!$AF$11)))</f>
        <v>0</v>
      </c>
      <c r="Q158" s="337"/>
      <c r="R158" s="338"/>
      <c r="T158" s="117" t="str">
        <f t="shared" ca="1" si="5"/>
        <v/>
      </c>
      <c r="U158" s="163" t="str">
        <f t="shared" ca="1" si="6"/>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7"/>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51" x14ac:dyDescent="0.2">
      <c r="A159" t="str">
        <f ca="1">ORÇAMENTO!C159</f>
        <v>S</v>
      </c>
      <c r="B159">
        <f ca="1">ORÇAMENTO!D159</f>
        <v>0</v>
      </c>
      <c r="C159" s="114" t="str">
        <f t="shared" ca="1" si="1"/>
        <v>F</v>
      </c>
      <c r="D159" s="117" t="str">
        <f ca="1">ORÇAMENTO!O159</f>
        <v>1.8.4.0.1.</v>
      </c>
      <c r="E159" s="163" t="str">
        <f t="shared" ca="1" si="2"/>
        <v>KIT CAVALETE PARA MEDIÇÃO DE ÁGUA - ENTRADA INDIVIDUALIZADA, EM PVC 25 MM (3/4"), PARA 1 MEDIDOR - FORNECIMENTO E INSTALAÇÃO (EXCLUSIVE HIDRÔMETRO). AF_03/2024</v>
      </c>
      <c r="F159" s="164" t="str" cm="1">
        <f t="array" aca="1" ref="F159" ca="1">IF(RegimeExecucao="Global","",ORÇAMENTO.Unidade)</f>
        <v>UN</v>
      </c>
      <c r="G159" s="122" cm="1">
        <f t="array" aca="1" ref="G159" ca="1">IF(RegimeExecucao="Global","",ORÇAMENTO!T159)</f>
        <v>30</v>
      </c>
      <c r="H159" s="122" cm="1">
        <f t="array" aca="1" ref="H159" ca="1">IF(RegimeExecucao="Global","",ORÇAMENTO!W159)</f>
        <v>250.76</v>
      </c>
      <c r="I159" s="125">
        <f ca="1">ORÇAMENTO!X159</f>
        <v>7522.8</v>
      </c>
      <c r="J159" s="333" cm="1">
        <f t="array" aca="1" ref="J159" ca="1">IF($A159="S",IF(CAIXA.Modo,BM.AFAnterior,BM.MEDAnterior),IF(AND(RegimeExecucao="Global",$I159&gt;0,COUNTIF($AB$13:$AM$13,BM.medicao-1)&gt;0),M159/$I159*100,0))</f>
        <v>0</v>
      </c>
      <c r="K159" s="122">
        <f t="shared" ca="1" si="3"/>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4"/>
        <v>0</v>
      </c>
      <c r="O159" s="125" cm="1">
        <f t="array" aca="1" ref="O159" ca="1">IF($A159="S",VTOTALBM,IF($A159=0,0,ROUND(SomaAgrupBM,15-13*ORÇAMENTO!$AF$11)))</f>
        <v>0</v>
      </c>
      <c r="Q159" s="337"/>
      <c r="R159" s="338"/>
      <c r="T159" s="117" t="str">
        <f t="shared" ca="1" si="5"/>
        <v/>
      </c>
      <c r="U159" s="163" t="str">
        <f t="shared" ca="1" si="6"/>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7"/>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x14ac:dyDescent="0.2">
      <c r="A160">
        <f ca="1">ORÇAMENTO!C160</f>
        <v>3</v>
      </c>
      <c r="B160">
        <f ca="1">ORÇAMENTO!D160</f>
        <v>2</v>
      </c>
      <c r="C160" s="114" t="str">
        <f t="shared" ca="1" si="1"/>
        <v>F</v>
      </c>
      <c r="D160" s="117" t="str">
        <f ca="1">ORÇAMENTO!O160</f>
        <v>1.8.5.</v>
      </c>
      <c r="E160" s="163" t="str">
        <f t="shared" si="2"/>
        <v>ÁGUA FRIA - TUBOS E CONEXÕES</v>
      </c>
      <c r="F160" s="164" t="str" cm="1">
        <f t="array" aca="1" ref="F160" ca="1">IF(RegimeExecucao="Global","",ORÇAMENTO.Unidade)</f>
        <v>-</v>
      </c>
      <c r="G160" s="122" cm="1">
        <f t="array" aca="1" ref="G160" ca="1">IF(RegimeExecucao="Global","",ORÇAMENTO!T160)</f>
        <v>0</v>
      </c>
      <c r="H160" s="122" cm="1">
        <f t="array" aca="1" ref="H160" ca="1">IF(RegimeExecucao="Global","",ORÇAMENTO!W160)</f>
        <v>0</v>
      </c>
      <c r="I160" s="125">
        <f ca="1">ORÇAMENTO!X160</f>
        <v>34516.800000000003</v>
      </c>
      <c r="J160" s="333" cm="1">
        <f t="array" aca="1" ref="J160" ca="1">IF($A160="S",IF(CAIXA.Modo,BM.AFAnterior,BM.MEDAnterior),IF(AND(RegimeExecucao="Global",$I160&gt;0,COUNTIF($AB$13:$AM$13,BM.medicao-1)&gt;0),M160/$I160*100,0))</f>
        <v>0</v>
      </c>
      <c r="K160" s="122">
        <f t="shared" ca="1" si="3"/>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4"/>
        <v>0</v>
      </c>
      <c r="O160" s="125" cm="1">
        <f t="array" aca="1" ref="O160" ca="1">IF($A160="S",VTOTALBM,IF($A160=0,0,ROUND(SomaAgrupBM,15-13*ORÇAMENTO!$AF$11)))</f>
        <v>0</v>
      </c>
      <c r="Q160" s="337"/>
      <c r="R160" s="338"/>
      <c r="T160" s="117" t="str">
        <f t="shared" ca="1" si="5"/>
        <v/>
      </c>
      <c r="U160" s="163" t="str">
        <f t="shared" ca="1" si="6"/>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7"/>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ht="38.25" x14ac:dyDescent="0.2">
      <c r="A161" t="str">
        <f ca="1">ORÇAMENTO!C161</f>
        <v>S</v>
      </c>
      <c r="B161">
        <f ca="1">ORÇAMENTO!D161</f>
        <v>0</v>
      </c>
      <c r="C161" s="114" t="str">
        <f t="shared" ca="1" si="1"/>
        <v>F</v>
      </c>
      <c r="D161" s="117" t="str">
        <f ca="1">ORÇAMENTO!O161</f>
        <v>1.8.5.0.1.</v>
      </c>
      <c r="E161" s="163" t="str">
        <f t="shared" ca="1" si="2"/>
        <v>PONTO DE CONSUMO TERMINAL DE ÁGUA FRIA (SUBRAMAL) COM TUBULAÇÃO DE PVC, DN 25 MM, INSTALADO EM RAMAL DE ÁGUA, INCLUSOS RASGO E CHUMBAMENTO EM ALVENARIA. AF_12/2014</v>
      </c>
      <c r="F161" s="164" t="str" cm="1">
        <f t="array" aca="1" ref="F161" ca="1">IF(RegimeExecucao="Global","",ORÇAMENTO.Unidade)</f>
        <v>UN</v>
      </c>
      <c r="G161" s="122" cm="1">
        <f t="array" aca="1" ref="G161" ca="1">IF(RegimeExecucao="Global","",ORÇAMENTO!T161)</f>
        <v>180</v>
      </c>
      <c r="H161" s="122" cm="1">
        <f t="array" aca="1" ref="H161" ca="1">IF(RegimeExecucao="Global","",ORÇAMENTO!W161)</f>
        <v>191.76</v>
      </c>
      <c r="I161" s="125">
        <f ca="1">ORÇAMENTO!X161</f>
        <v>34516.800000000003</v>
      </c>
      <c r="J161" s="333" cm="1">
        <f t="array" aca="1" ref="J161" ca="1">IF($A161="S",IF(CAIXA.Modo,BM.AFAnterior,BM.MEDAnterior),IF(AND(RegimeExecucao="Global",$I161&gt;0,COUNTIF($AB$13:$AM$13,BM.medicao-1)&gt;0),M161/$I161*100,0))</f>
        <v>0</v>
      </c>
      <c r="K161" s="122">
        <f t="shared" ca="1" si="3"/>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4"/>
        <v>0</v>
      </c>
      <c r="O161" s="125" cm="1">
        <f t="array" aca="1" ref="O161" ca="1">IF($A161="S",VTOTALBM,IF($A161=0,0,ROUND(SomaAgrupBM,15-13*ORÇAMENTO!$AF$11)))</f>
        <v>0</v>
      </c>
      <c r="Q161" s="337"/>
      <c r="R161" s="338"/>
      <c r="T161" s="117" t="str">
        <f t="shared" ca="1" si="5"/>
        <v/>
      </c>
      <c r="U161" s="163" t="str">
        <f t="shared" ca="1" si="6"/>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7"/>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x14ac:dyDescent="0.2">
      <c r="A162">
        <f ca="1">ORÇAMENTO!C162</f>
        <v>3</v>
      </c>
      <c r="B162">
        <f ca="1">ORÇAMENTO!D162</f>
        <v>4</v>
      </c>
      <c r="C162" s="114" t="str">
        <f t="shared" ca="1" si="1"/>
        <v>F</v>
      </c>
      <c r="D162" s="117" t="str">
        <f ca="1">ORÇAMENTO!O162</f>
        <v>1.8.6.</v>
      </c>
      <c r="E162" s="163" t="str">
        <f t="shared" si="2"/>
        <v>ÁGUA FRIA - REGISTROS E VÁLVULAS</v>
      </c>
      <c r="F162" s="164" t="str" cm="1">
        <f t="array" aca="1" ref="F162" ca="1">IF(RegimeExecucao="Global","",ORÇAMENTO.Unidade)</f>
        <v>-</v>
      </c>
      <c r="G162" s="122" cm="1">
        <f t="array" aca="1" ref="G162" ca="1">IF(RegimeExecucao="Global","",ORÇAMENTO!T162)</f>
        <v>0</v>
      </c>
      <c r="H162" s="122" cm="1">
        <f t="array" aca="1" ref="H162" ca="1">IF(RegimeExecucao="Global","",ORÇAMENTO!W162)</f>
        <v>0</v>
      </c>
      <c r="I162" s="125">
        <f ca="1">ORÇAMENTO!X162</f>
        <v>15266.7</v>
      </c>
      <c r="J162" s="333" cm="1">
        <f t="array" aca="1" ref="J162" ca="1">IF($A162="S",IF(CAIXA.Modo,BM.AFAnterior,BM.MEDAnterior),IF(AND(RegimeExecucao="Global",$I162&gt;0,COUNTIF($AB$13:$AM$13,BM.medicao-1)&gt;0),M162/$I162*100,0))</f>
        <v>0</v>
      </c>
      <c r="K162" s="122">
        <f t="shared" ca="1" si="3"/>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4"/>
        <v>0</v>
      </c>
      <c r="O162" s="125" cm="1">
        <f t="array" aca="1" ref="O162" ca="1">IF($A162="S",VTOTALBM,IF($A162=0,0,ROUND(SomaAgrupBM,15-13*ORÇAMENTO!$AF$11)))</f>
        <v>0</v>
      </c>
      <c r="Q162" s="337"/>
      <c r="R162" s="338"/>
      <c r="T162" s="117" t="str">
        <f t="shared" ca="1" si="5"/>
        <v/>
      </c>
      <c r="U162" s="163" t="str">
        <f t="shared" ca="1" si="6"/>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7"/>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25.5" x14ac:dyDescent="0.2">
      <c r="A163" t="str">
        <f ca="1">ORÇAMENTO!C163</f>
        <v>S</v>
      </c>
      <c r="B163">
        <f ca="1">ORÇAMENTO!D163</f>
        <v>0</v>
      </c>
      <c r="C163" s="114" t="str">
        <f t="shared" ca="1" si="1"/>
        <v>F</v>
      </c>
      <c r="D163" s="117" t="str">
        <f ca="1">ORÇAMENTO!O163</f>
        <v>1.8.6.0.1.</v>
      </c>
      <c r="E163" s="163" t="str">
        <f t="shared" ca="1" si="2"/>
        <v>REGISTRO DE ESFERA, PVC, SOLDÁVEL, COM VOLANTE, DN 25 MM - FORNECIMENTO E INSTALAÇÃO. AF_08/2021</v>
      </c>
      <c r="F163" s="164" t="str" cm="1">
        <f t="array" aca="1" ref="F163" ca="1">IF(RegimeExecucao="Global","",ORÇAMENTO.Unidade)</f>
        <v>UN</v>
      </c>
      <c r="G163" s="122" cm="1">
        <f t="array" aca="1" ref="G163" ca="1">IF(RegimeExecucao="Global","",ORÇAMENTO!T163)</f>
        <v>90</v>
      </c>
      <c r="H163" s="122" cm="1">
        <f t="array" aca="1" ref="H163" ca="1">IF(RegimeExecucao="Global","",ORÇAMENTO!W163)</f>
        <v>51.82</v>
      </c>
      <c r="I163" s="125">
        <f ca="1">ORÇAMENTO!X163</f>
        <v>4663.8</v>
      </c>
      <c r="J163" s="333" cm="1">
        <f t="array" aca="1" ref="J163" ca="1">IF($A163="S",IF(CAIXA.Modo,BM.AFAnterior,BM.MEDAnterior),IF(AND(RegimeExecucao="Global",$I163&gt;0,COUNTIF($AB$13:$AM$13,BM.medicao-1)&gt;0),M163/$I163*100,0))</f>
        <v>0</v>
      </c>
      <c r="K163" s="122">
        <f t="shared" ca="1" si="3"/>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4"/>
        <v>0</v>
      </c>
      <c r="O163" s="125" cm="1">
        <f t="array" aca="1" ref="O163" ca="1">IF($A163="S",VTOTALBM,IF($A163=0,0,ROUND(SomaAgrupBM,15-13*ORÇAMENTO!$AF$11)))</f>
        <v>0</v>
      </c>
      <c r="Q163" s="337"/>
      <c r="R163" s="338"/>
      <c r="T163" s="117" t="str">
        <f t="shared" ca="1" si="5"/>
        <v/>
      </c>
      <c r="U163" s="163" t="str">
        <f t="shared" ca="1" si="6"/>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7"/>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38.25" x14ac:dyDescent="0.2">
      <c r="A164" t="str">
        <f ca="1">ORÇAMENTO!C164</f>
        <v>S</v>
      </c>
      <c r="B164">
        <f ca="1">ORÇAMENTO!D164</f>
        <v>0</v>
      </c>
      <c r="C164" s="114" t="str">
        <f t="shared" ca="1" si="1"/>
        <v>F</v>
      </c>
      <c r="D164" s="117" t="str">
        <f ca="1">ORÇAMENTO!O164</f>
        <v>1.8.6.0.2.</v>
      </c>
      <c r="E164" s="163" t="str">
        <f t="shared" ca="1" si="2"/>
        <v>REGISTRO DE PRESSÃO BRUTO, LATÃO, ROSCÁVEL, 3/4", COM ACABAMENTO E CANOPLA CROMADOS - FORNECIMENTO E INSTALAÇÃO. AF_08/2021</v>
      </c>
      <c r="F164" s="164" t="str" cm="1">
        <f t="array" aca="1" ref="F164" ca="1">IF(RegimeExecucao="Global","",ORÇAMENTO.Unidade)</f>
        <v>UN</v>
      </c>
      <c r="G164" s="122" cm="1">
        <f t="array" aca="1" ref="G164" ca="1">IF(RegimeExecucao="Global","",ORÇAMENTO!T164)</f>
        <v>30</v>
      </c>
      <c r="H164" s="122" cm="1">
        <f t="array" aca="1" ref="H164" ca="1">IF(RegimeExecucao="Global","",ORÇAMENTO!W164)</f>
        <v>149.11000000000001</v>
      </c>
      <c r="I164" s="125">
        <f ca="1">ORÇAMENTO!X164</f>
        <v>4473.3</v>
      </c>
      <c r="J164" s="333" cm="1">
        <f t="array" aca="1" ref="J164" ca="1">IF($A164="S",IF(CAIXA.Modo,BM.AFAnterior,BM.MEDAnterior),IF(AND(RegimeExecucao="Global",$I164&gt;0,COUNTIF($AB$13:$AM$13,BM.medicao-1)&gt;0),M164/$I164*100,0))</f>
        <v>0</v>
      </c>
      <c r="K164" s="122">
        <f t="shared" ca="1" si="3"/>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4"/>
        <v>0</v>
      </c>
      <c r="O164" s="125" cm="1">
        <f t="array" aca="1" ref="O164" ca="1">IF($A164="S",VTOTALBM,IF($A164=0,0,ROUND(SomaAgrupBM,15-13*ORÇAMENTO!$AF$11)))</f>
        <v>0</v>
      </c>
      <c r="Q164" s="337"/>
      <c r="R164" s="338"/>
      <c r="T164" s="117" t="str">
        <f t="shared" ca="1" si="5"/>
        <v/>
      </c>
      <c r="U164" s="163" t="str">
        <f t="shared" ca="1" si="6"/>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7"/>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25.5" x14ac:dyDescent="0.2">
      <c r="A165" t="str">
        <f ca="1">ORÇAMENTO!C165</f>
        <v>S</v>
      </c>
      <c r="B165">
        <f ca="1">ORÇAMENTO!D165</f>
        <v>0</v>
      </c>
      <c r="C165" s="114" t="str">
        <f t="shared" ca="1" si="1"/>
        <v>F</v>
      </c>
      <c r="D165" s="117" t="str">
        <f ca="1">ORÇAMENTO!O165</f>
        <v>1.8.6.0.3.</v>
      </c>
      <c r="E165" s="163" t="str">
        <f t="shared" ca="1" si="2"/>
        <v>REGISTRO DE GAVETA BRUTO, LATÃO, ROSCÁVEL, 1" - FORNECIMENTO E INSTALAÇÃO. AF_08/2021</v>
      </c>
      <c r="F165" s="164" t="str" cm="1">
        <f t="array" aca="1" ref="F165" ca="1">IF(RegimeExecucao="Global","",ORÇAMENTO.Unidade)</f>
        <v>UN</v>
      </c>
      <c r="G165" s="122" cm="1">
        <f t="array" aca="1" ref="G165" ca="1">IF(RegimeExecucao="Global","",ORÇAMENTO!T165)</f>
        <v>60</v>
      </c>
      <c r="H165" s="122" cm="1">
        <f t="array" aca="1" ref="H165" ca="1">IF(RegimeExecucao="Global","",ORÇAMENTO!W165)</f>
        <v>102.16</v>
      </c>
      <c r="I165" s="125">
        <f ca="1">ORÇAMENTO!X165</f>
        <v>6129.6</v>
      </c>
      <c r="J165" s="333" cm="1">
        <f t="array" aca="1" ref="J165" ca="1">IF($A165="S",IF(CAIXA.Modo,BM.AFAnterior,BM.MEDAnterior),IF(AND(RegimeExecucao="Global",$I165&gt;0,COUNTIF($AB$13:$AM$13,BM.medicao-1)&gt;0),M165/$I165*100,0))</f>
        <v>0</v>
      </c>
      <c r="K165" s="122">
        <f t="shared" ca="1" si="3"/>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4"/>
        <v>0</v>
      </c>
      <c r="O165" s="125" cm="1">
        <f t="array" aca="1" ref="O165" ca="1">IF($A165="S",VTOTALBM,IF($A165=0,0,ROUND(SomaAgrupBM,15-13*ORÇAMENTO!$AF$11)))</f>
        <v>0</v>
      </c>
      <c r="Q165" s="337"/>
      <c r="R165" s="338"/>
      <c r="T165" s="117" t="str">
        <f t="shared" ca="1" si="5"/>
        <v/>
      </c>
      <c r="U165" s="163" t="str">
        <f t="shared" ca="1" si="6"/>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7"/>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x14ac:dyDescent="0.2">
      <c r="A166">
        <f ca="1">ORÇAMENTO!C166</f>
        <v>3</v>
      </c>
      <c r="B166">
        <f ca="1">ORÇAMENTO!D166</f>
        <v>6</v>
      </c>
      <c r="C166" s="114" t="str">
        <f t="shared" ca="1" si="1"/>
        <v>F</v>
      </c>
      <c r="D166" s="117" t="str">
        <f ca="1">ORÇAMENTO!O166</f>
        <v>1.8.7.</v>
      </c>
      <c r="E166" s="163" t="str">
        <f t="shared" si="2"/>
        <v>APARELHOS SANITÁRIOS, LOUÇAS E METAIS</v>
      </c>
      <c r="F166" s="164" t="str" cm="1">
        <f t="array" aca="1" ref="F166" ca="1">IF(RegimeExecucao="Global","",ORÇAMENTO.Unidade)</f>
        <v>-</v>
      </c>
      <c r="G166" s="122" cm="1">
        <f t="array" aca="1" ref="G166" ca="1">IF(RegimeExecucao="Global","",ORÇAMENTO!T166)</f>
        <v>0</v>
      </c>
      <c r="H166" s="122" cm="1">
        <f t="array" aca="1" ref="H166" ca="1">IF(RegimeExecucao="Global","",ORÇAMENTO!W166)</f>
        <v>0</v>
      </c>
      <c r="I166" s="125">
        <f ca="1">ORÇAMENTO!X166</f>
        <v>97484.4</v>
      </c>
      <c r="J166" s="333" cm="1">
        <f t="array" aca="1" ref="J166" ca="1">IF($A166="S",IF(CAIXA.Modo,BM.AFAnterior,BM.MEDAnterior),IF(AND(RegimeExecucao="Global",$I166&gt;0,COUNTIF($AB$13:$AM$13,BM.medicao-1)&gt;0),M166/$I166*100,0))</f>
        <v>0</v>
      </c>
      <c r="K166" s="122">
        <f t="shared" ca="1" si="3"/>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4"/>
        <v>0</v>
      </c>
      <c r="O166" s="125" cm="1">
        <f t="array" aca="1" ref="O166" ca="1">IF($A166="S",VTOTALBM,IF($A166=0,0,ROUND(SomaAgrupBM,15-13*ORÇAMENTO!$AF$11)))</f>
        <v>0</v>
      </c>
      <c r="Q166" s="337"/>
      <c r="R166" s="338"/>
      <c r="T166" s="117" t="str">
        <f t="shared" ca="1" si="5"/>
        <v/>
      </c>
      <c r="U166" s="163" t="str">
        <f t="shared" ca="1" si="6"/>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7"/>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ht="38.25" x14ac:dyDescent="0.2">
      <c r="A167" t="str">
        <f ca="1">ORÇAMENTO!C167</f>
        <v>S</v>
      </c>
      <c r="B167">
        <f ca="1">ORÇAMENTO!D167</f>
        <v>0</v>
      </c>
      <c r="C167" s="114" t="str">
        <f t="shared" ca="1" si="1"/>
        <v>F</v>
      </c>
      <c r="D167" s="117" t="str">
        <f ca="1">ORÇAMENTO!O167</f>
        <v>1.8.7.0.1.</v>
      </c>
      <c r="E167" s="163" t="str">
        <f t="shared" ca="1" si="2"/>
        <v>BACIA SANITÁRIA COM CAIXA ACOPLADA LOUÇA BRANCA, INCLUSO ENGATE FLEXÍVEL EM PLÁSTICO BRANCO, 1/2" X 40 CM - FORNECIMENTO E INSTALAÇÃO. AF_02/2026</v>
      </c>
      <c r="F167" s="164" t="str" cm="1">
        <f t="array" aca="1" ref="F167" ca="1">IF(RegimeExecucao="Global","",ORÇAMENTO.Unidade)</f>
        <v>UN</v>
      </c>
      <c r="G167" s="122" cm="1">
        <f t="array" aca="1" ref="G167" ca="1">IF(RegimeExecucao="Global","",ORÇAMENTO!T167)</f>
        <v>30</v>
      </c>
      <c r="H167" s="122" cm="1">
        <f t="array" aca="1" ref="H167" ca="1">IF(RegimeExecucao="Global","",ORÇAMENTO!W167)</f>
        <v>719.44</v>
      </c>
      <c r="I167" s="125">
        <f ca="1">ORÇAMENTO!X167</f>
        <v>21583.200000000001</v>
      </c>
      <c r="J167" s="333" cm="1">
        <f t="array" aca="1" ref="J167" ca="1">IF($A167="S",IF(CAIXA.Modo,BM.AFAnterior,BM.MEDAnterior),IF(AND(RegimeExecucao="Global",$I167&gt;0,COUNTIF($AB$13:$AM$13,BM.medicao-1)&gt;0),M167/$I167*100,0))</f>
        <v>0</v>
      </c>
      <c r="K167" s="122">
        <f t="shared" ca="1" si="3"/>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4"/>
        <v>0</v>
      </c>
      <c r="O167" s="125" cm="1">
        <f t="array" aca="1" ref="O167" ca="1">IF($A167="S",VTOTALBM,IF($A167=0,0,ROUND(SomaAgrupBM,15-13*ORÇAMENTO!$AF$11)))</f>
        <v>0</v>
      </c>
      <c r="Q167" s="337"/>
      <c r="R167" s="338"/>
      <c r="T167" s="117" t="str">
        <f t="shared" ca="1" si="5"/>
        <v/>
      </c>
      <c r="U167" s="163" t="str">
        <f t="shared" ca="1" si="6"/>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7"/>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25.5" x14ac:dyDescent="0.2">
      <c r="A168" t="str">
        <f ca="1">ORÇAMENTO!C168</f>
        <v>S</v>
      </c>
      <c r="B168">
        <f ca="1">ORÇAMENTO!D168</f>
        <v>0</v>
      </c>
      <c r="C168" s="114" t="str">
        <f t="shared" ca="1" si="1"/>
        <v>F</v>
      </c>
      <c r="D168" s="117" t="str">
        <f ca="1">ORÇAMENTO!O168</f>
        <v>1.8.7.0.2.</v>
      </c>
      <c r="E168" s="163" t="str">
        <f t="shared" ca="1" si="2"/>
        <v>ASSENTO SANITÁRIO CONVENCIONAL - FORNECIMENTO E INSTALAÇÃO. AF_02/2026</v>
      </c>
      <c r="F168" s="164" t="str" cm="1">
        <f t="array" aca="1" ref="F168" ca="1">IF(RegimeExecucao="Global","",ORÇAMENTO.Unidade)</f>
        <v>UN</v>
      </c>
      <c r="G168" s="122" cm="1">
        <f t="array" aca="1" ref="G168" ca="1">IF(RegimeExecucao="Global","",ORÇAMENTO!T168)</f>
        <v>30</v>
      </c>
      <c r="H168" s="122" cm="1">
        <f t="array" aca="1" ref="H168" ca="1">IF(RegimeExecucao="Global","",ORÇAMENTO!W168)</f>
        <v>45.82</v>
      </c>
      <c r="I168" s="125">
        <f ca="1">ORÇAMENTO!X168</f>
        <v>1374.6</v>
      </c>
      <c r="J168" s="333" cm="1">
        <f t="array" aca="1" ref="J168" ca="1">IF($A168="S",IF(CAIXA.Modo,BM.AFAnterior,BM.MEDAnterior),IF(AND(RegimeExecucao="Global",$I168&gt;0,COUNTIF($AB$13:$AM$13,BM.medicao-1)&gt;0),M168/$I168*100,0))</f>
        <v>0</v>
      </c>
      <c r="K168" s="122">
        <f t="shared" ca="1" si="3"/>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4"/>
        <v>0</v>
      </c>
      <c r="O168" s="125" cm="1">
        <f t="array" aca="1" ref="O168" ca="1">IF($A168="S",VTOTALBM,IF($A168=0,0,ROUND(SomaAgrupBM,15-13*ORÇAMENTO!$AF$11)))</f>
        <v>0</v>
      </c>
      <c r="Q168" s="337"/>
      <c r="R168" s="338"/>
      <c r="T168" s="117" t="str">
        <f t="shared" ca="1" si="5"/>
        <v/>
      </c>
      <c r="U168" s="163" t="str">
        <f t="shared" ca="1" si="6"/>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7"/>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51" x14ac:dyDescent="0.2">
      <c r="A169" t="str">
        <f ca="1">ORÇAMENTO!C169</f>
        <v>S</v>
      </c>
      <c r="B169">
        <f ca="1">ORÇAMENTO!D169</f>
        <v>0</v>
      </c>
      <c r="C169" s="114" t="str">
        <f t="shared" ca="1" si="1"/>
        <v>F</v>
      </c>
      <c r="D169" s="117" t="str">
        <f ca="1">ORÇAMENTO!O169</f>
        <v>1.8.7.0.3.</v>
      </c>
      <c r="E169" s="163" t="str">
        <f t="shared" ca="1" si="2"/>
        <v>LAVATÓRIO LOUÇA BRANCA COM COLUNA, *44 X 35* CM, PADRÃO POPULAR, INCLUSO SIFÃO FLEXÍVEL EM PVC, VÁLVULA E ENGATE FLEXÍVEL 30 CM EM PLÁSTICO E COM TORNEIRA CROMADA PADRÃO POPULAR - FORNECIMENTO E INSTALAÇÃO. AF_02/2026</v>
      </c>
      <c r="F169" s="164" t="str" cm="1">
        <f t="array" aca="1" ref="F169" ca="1">IF(RegimeExecucao="Global","",ORÇAMENTO.Unidade)</f>
        <v>UN</v>
      </c>
      <c r="G169" s="122" cm="1">
        <f t="array" aca="1" ref="G169" ca="1">IF(RegimeExecucao="Global","",ORÇAMENTO!T169)</f>
        <v>30</v>
      </c>
      <c r="H169" s="122" cm="1">
        <f t="array" aca="1" ref="H169" ca="1">IF(RegimeExecucao="Global","",ORÇAMENTO!W169)</f>
        <v>608.69000000000005</v>
      </c>
      <c r="I169" s="125">
        <f ca="1">ORÇAMENTO!X169</f>
        <v>18260.7</v>
      </c>
      <c r="J169" s="333" cm="1">
        <f t="array" aca="1" ref="J169" ca="1">IF($A169="S",IF(CAIXA.Modo,BM.AFAnterior,BM.MEDAnterior),IF(AND(RegimeExecucao="Global",$I169&gt;0,COUNTIF($AB$13:$AM$13,BM.medicao-1)&gt;0),M169/$I169*100,0))</f>
        <v>0</v>
      </c>
      <c r="K169" s="122">
        <f t="shared" ca="1" si="3"/>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4"/>
        <v>0</v>
      </c>
      <c r="O169" s="125" cm="1">
        <f t="array" aca="1" ref="O169" ca="1">IF($A169="S",VTOTALBM,IF($A169=0,0,ROUND(SomaAgrupBM,15-13*ORÇAMENTO!$AF$11)))</f>
        <v>0</v>
      </c>
      <c r="Q169" s="337"/>
      <c r="R169" s="338"/>
      <c r="T169" s="117" t="str">
        <f t="shared" ca="1" si="5"/>
        <v/>
      </c>
      <c r="U169" s="163" t="str">
        <f t="shared" ca="1" si="6"/>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7"/>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51" x14ac:dyDescent="0.2">
      <c r="A170" t="str">
        <f ca="1">ORÇAMENTO!C170</f>
        <v>S</v>
      </c>
      <c r="B170">
        <f ca="1">ORÇAMENTO!D170</f>
        <v>0</v>
      </c>
      <c r="C170" s="114" t="str">
        <f t="shared" ca="1" si="1"/>
        <v>F</v>
      </c>
      <c r="D170" s="117" t="str">
        <f ca="1">ORÇAMENTO!O170</f>
        <v>1.8.7.0.4.</v>
      </c>
      <c r="E170" s="163" t="str">
        <f t="shared" ca="1" si="2"/>
        <v>TANQUE DE LOUÇA BRANCA COM COLUNA, 30L OU EQUIVALENTE, INCLUSO SIFÃO FLEXÍVEL EM PVC, VÁLVULA PLÁSTICA E TORNEIRA DE METAL CROMADO PADRÃO POPULAR - FORNECIMENTO E INSTALAÇÃO. AF_02/2026</v>
      </c>
      <c r="F170" s="164" t="str" cm="1">
        <f t="array" aca="1" ref="F170" ca="1">IF(RegimeExecucao="Global","",ORÇAMENTO.Unidade)</f>
        <v>UN</v>
      </c>
      <c r="G170" s="122" cm="1">
        <f t="array" aca="1" ref="G170" ca="1">IF(RegimeExecucao="Global","",ORÇAMENTO!T170)</f>
        <v>30</v>
      </c>
      <c r="H170" s="122" cm="1">
        <f t="array" aca="1" ref="H170" ca="1">IF(RegimeExecucao="Global","",ORÇAMENTO!W170)</f>
        <v>1168.51</v>
      </c>
      <c r="I170" s="125">
        <f ca="1">ORÇAMENTO!X170</f>
        <v>35055.300000000003</v>
      </c>
      <c r="J170" s="333" cm="1">
        <f t="array" aca="1" ref="J170" ca="1">IF($A170="S",IF(CAIXA.Modo,BM.AFAnterior,BM.MEDAnterior),IF(AND(RegimeExecucao="Global",$I170&gt;0,COUNTIF($AB$13:$AM$13,BM.medicao-1)&gt;0),M170/$I170*100,0))</f>
        <v>0</v>
      </c>
      <c r="K170" s="122">
        <f t="shared" ca="1" si="3"/>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4"/>
        <v>0</v>
      </c>
      <c r="O170" s="125" cm="1">
        <f t="array" aca="1" ref="O170" ca="1">IF($A170="S",VTOTALBM,IF($A170=0,0,ROUND(SomaAgrupBM,15-13*ORÇAMENTO!$AF$11)))</f>
        <v>0</v>
      </c>
      <c r="Q170" s="337"/>
      <c r="R170" s="338"/>
      <c r="T170" s="117" t="str">
        <f t="shared" ca="1" si="5"/>
        <v/>
      </c>
      <c r="U170" s="163" t="str">
        <f t="shared" ca="1" si="6"/>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7"/>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ht="63.75" x14ac:dyDescent="0.2">
      <c r="A171" t="str">
        <f ca="1">ORÇAMENTO!C171</f>
        <v>S</v>
      </c>
      <c r="B171">
        <f ca="1">ORÇAMENTO!D171</f>
        <v>0</v>
      </c>
      <c r="C171" s="114" t="str">
        <f t="shared" ca="1" si="1"/>
        <v>F</v>
      </c>
      <c r="D171" s="117" t="str">
        <f ca="1">ORÇAMENTO!O171</f>
        <v>1.8.7.0.5.</v>
      </c>
      <c r="E171" s="163" t="str">
        <f t="shared" ca="1" si="2"/>
        <v>BANCADA DE MÁRMORE SINTÉTICO 120 X 60CM, COM CUBA INTEGRADA, INCLUSO SIFÃO TIPO FLEXÍVEL EM PVC, VÁLVULA EM PLÁSTICO CROMADO TIPO AMERICANA E TORNEIRA CROMADA LONGA, DE PAREDE, PADRÃO POPULAR - FORNECIMENTO E INSTALAÇÃO. AF_02/2026</v>
      </c>
      <c r="F171" s="164" t="str" cm="1">
        <f t="array" aca="1" ref="F171" ca="1">IF(RegimeExecucao="Global","",ORÇAMENTO.Unidade)</f>
        <v>UN</v>
      </c>
      <c r="G171" s="122" cm="1">
        <f t="array" aca="1" ref="G171" ca="1">IF(RegimeExecucao="Global","",ORÇAMENTO!T171)</f>
        <v>30</v>
      </c>
      <c r="H171" s="122" cm="1">
        <f t="array" aca="1" ref="H171" ca="1">IF(RegimeExecucao="Global","",ORÇAMENTO!W171)</f>
        <v>707.02</v>
      </c>
      <c r="I171" s="125">
        <f ca="1">ORÇAMENTO!X171</f>
        <v>21210.6</v>
      </c>
      <c r="J171" s="333" cm="1">
        <f t="array" aca="1" ref="J171" ca="1">IF($A171="S",IF(CAIXA.Modo,BM.AFAnterior,BM.MEDAnterior),IF(AND(RegimeExecucao="Global",$I171&gt;0,COUNTIF($AB$13:$AM$13,BM.medicao-1)&gt;0),M171/$I171*100,0))</f>
        <v>0</v>
      </c>
      <c r="K171" s="122">
        <f t="shared" ca="1" si="3"/>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ca="1" si="4"/>
        <v>0</v>
      </c>
      <c r="O171" s="125" cm="1">
        <f t="array" aca="1" ref="O171" ca="1">IF($A171="S",VTOTALBM,IF($A171=0,0,ROUND(SomaAgrupBM,15-13*ORÇAMENTO!$AF$11)))</f>
        <v>0</v>
      </c>
      <c r="Q171" s="337"/>
      <c r="R171" s="338"/>
      <c r="T171" s="117" t="str">
        <f t="shared" ca="1" si="5"/>
        <v/>
      </c>
      <c r="U171" s="163" t="str">
        <f t="shared" ca="1" si="6"/>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ca="1" si="7"/>
        <v>0</v>
      </c>
      <c r="Z171" s="473"/>
      <c r="AB171" s="337"/>
      <c r="AC171" s="437"/>
      <c r="AD171" s="437"/>
      <c r="AE171" s="437"/>
      <c r="AF171" s="437"/>
      <c r="AG171" s="437"/>
      <c r="AH171" s="437"/>
      <c r="AI171" s="437"/>
      <c r="AJ171" s="437"/>
      <c r="AK171" s="437"/>
      <c r="AL171" s="437"/>
      <c r="AM171" s="338"/>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x14ac:dyDescent="0.2">
      <c r="A172">
        <f ca="1">ORÇAMENTO!C172</f>
        <v>3</v>
      </c>
      <c r="B172">
        <f ca="1">ORÇAMENTO!D172</f>
        <v>3</v>
      </c>
      <c r="C172" s="114" t="str">
        <f t="shared" ca="1" si="1"/>
        <v>F</v>
      </c>
      <c r="D172" s="117" t="str">
        <f ca="1">ORÇAMENTO!O172</f>
        <v>1.8.8.</v>
      </c>
      <c r="E172" s="163" t="str">
        <f t="shared" si="2"/>
        <v>RESERVATÓRIO</v>
      </c>
      <c r="F172" s="164" t="str" cm="1">
        <f t="array" aca="1" ref="F172" ca="1">IF(RegimeExecucao="Global","",ORÇAMENTO.Unidade)</f>
        <v>-</v>
      </c>
      <c r="G172" s="122" cm="1">
        <f t="array" aca="1" ref="G172" ca="1">IF(RegimeExecucao="Global","",ORÇAMENTO!T172)</f>
        <v>0</v>
      </c>
      <c r="H172" s="122" cm="1">
        <f t="array" aca="1" ref="H172" ca="1">IF(RegimeExecucao="Global","",ORÇAMENTO!W172)</f>
        <v>0</v>
      </c>
      <c r="I172" s="125">
        <f ca="1">ORÇAMENTO!X172</f>
        <v>15212.1</v>
      </c>
      <c r="J172" s="333" cm="1">
        <f t="array" aca="1" ref="J172" ca="1">IF($A172="S",IF(CAIXA.Modo,BM.AFAnterior,BM.MEDAnterior),IF(AND(RegimeExecucao="Global",$I172&gt;0,COUNTIF($AB$13:$AM$13,BM.medicao-1)&gt;0),M172/$I172*100,0))</f>
        <v>0</v>
      </c>
      <c r="K172" s="122">
        <f t="shared" ca="1" si="3"/>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4"/>
        <v>0</v>
      </c>
      <c r="O172" s="125" cm="1">
        <f t="array" aca="1" ref="O172" ca="1">IF($A172="S",VTOTALBM,IF($A172=0,0,ROUND(SomaAgrupBM,15-13*ORÇAMENTO!$AF$11)))</f>
        <v>0</v>
      </c>
      <c r="Q172" s="337"/>
      <c r="R172" s="338"/>
      <c r="T172" s="117" t="str">
        <f t="shared" ca="1" si="5"/>
        <v/>
      </c>
      <c r="U172" s="163" t="str">
        <f t="shared" ca="1" si="6"/>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7"/>
        <v>0</v>
      </c>
      <c r="Z172" s="473"/>
      <c r="AB172" s="337"/>
      <c r="AC172" s="437"/>
      <c r="AD172" s="437"/>
      <c r="AE172" s="437"/>
      <c r="AF172" s="437"/>
      <c r="AG172" s="437"/>
      <c r="AH172" s="437"/>
      <c r="AI172" s="437"/>
      <c r="AJ172" s="437"/>
      <c r="AK172" s="437"/>
      <c r="AL172" s="437"/>
      <c r="AM172" s="338"/>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ht="25.5" x14ac:dyDescent="0.2">
      <c r="A173" t="str">
        <f ca="1">ORÇAMENTO!C173</f>
        <v>S</v>
      </c>
      <c r="B173">
        <f ca="1">ORÇAMENTO!D173</f>
        <v>0</v>
      </c>
      <c r="C173" s="114" t="str">
        <f t="shared" ca="1" si="1"/>
        <v>F</v>
      </c>
      <c r="D173" s="117" t="str">
        <f ca="1">ORÇAMENTO!O173</f>
        <v>1.8.8.0.1.</v>
      </c>
      <c r="E173" s="163" t="str">
        <f t="shared" ca="1" si="2"/>
        <v>CAIXA D´ÁGUA EM POLIETILENO, 500 LITROS - FORNECIMENTO E INSTALAÇÃO. AF_06/2021</v>
      </c>
      <c r="F173" s="164" t="str" cm="1">
        <f t="array" aca="1" ref="F173" ca="1">IF(RegimeExecucao="Global","",ORÇAMENTO.Unidade)</f>
        <v>UN</v>
      </c>
      <c r="G173" s="122" cm="1">
        <f t="array" aca="1" ref="G173" ca="1">IF(RegimeExecucao="Global","",ORÇAMENTO!T173)</f>
        <v>30</v>
      </c>
      <c r="H173" s="122" cm="1">
        <f t="array" aca="1" ref="H173" ca="1">IF(RegimeExecucao="Global","",ORÇAMENTO!W173)</f>
        <v>344.83</v>
      </c>
      <c r="I173" s="125">
        <f ca="1">ORÇAMENTO!X173</f>
        <v>10344.9</v>
      </c>
      <c r="J173" s="333" cm="1">
        <f t="array" aca="1" ref="J173" ca="1">IF($A173="S",IF(CAIXA.Modo,BM.AFAnterior,BM.MEDAnterior),IF(AND(RegimeExecucao="Global",$I173&gt;0,COUNTIF($AB$13:$AM$13,BM.medicao-1)&gt;0),M173/$I173*100,0))</f>
        <v>0</v>
      </c>
      <c r="K173" s="122">
        <f t="shared" ca="1" si="3"/>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4"/>
        <v>0</v>
      </c>
      <c r="O173" s="125" cm="1">
        <f t="array" aca="1" ref="O173" ca="1">IF($A173="S",VTOTALBM,IF($A173=0,0,ROUND(SomaAgrupBM,15-13*ORÇAMENTO!$AF$11)))</f>
        <v>0</v>
      </c>
      <c r="Q173" s="337"/>
      <c r="R173" s="338"/>
      <c r="T173" s="117" t="str">
        <f t="shared" ca="1" si="5"/>
        <v/>
      </c>
      <c r="U173" s="163" t="str">
        <f t="shared" ca="1" si="6"/>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7"/>
        <v>0</v>
      </c>
      <c r="Z173" s="473"/>
      <c r="AB173" s="337"/>
      <c r="AC173" s="437"/>
      <c r="AD173" s="437"/>
      <c r="AE173" s="437"/>
      <c r="AF173" s="437"/>
      <c r="AG173" s="437"/>
      <c r="AH173" s="437"/>
      <c r="AI173" s="437"/>
      <c r="AJ173" s="437"/>
      <c r="AK173" s="437"/>
      <c r="AL173" s="437"/>
      <c r="AM173" s="338"/>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25.5" x14ac:dyDescent="0.2">
      <c r="A174" t="str">
        <f ca="1">ORÇAMENTO!C174</f>
        <v>S</v>
      </c>
      <c r="B174">
        <f ca="1">ORÇAMENTO!D174</f>
        <v>0</v>
      </c>
      <c r="C174" s="114" t="str">
        <f t="shared" ca="1" si="1"/>
        <v>F</v>
      </c>
      <c r="D174" s="117" t="str">
        <f ca="1">ORÇAMENTO!O174</f>
        <v>1.8.8.0.2.</v>
      </c>
      <c r="E174" s="163" t="str">
        <f t="shared" ca="1" si="2"/>
        <v>TORNEIRA DE BOIA PARA CAIXA D'ÁGUA, ROSCÁVEL, 1" - FORNECIMENTO E INSTALAÇÃO. AF_08/2021</v>
      </c>
      <c r="F174" s="164" t="str" cm="1">
        <f t="array" aca="1" ref="F174" ca="1">IF(RegimeExecucao="Global","",ORÇAMENTO.Unidade)</f>
        <v>UN</v>
      </c>
      <c r="G174" s="122" cm="1">
        <f t="array" aca="1" ref="G174" ca="1">IF(RegimeExecucao="Global","",ORÇAMENTO!T174)</f>
        <v>30</v>
      </c>
      <c r="H174" s="122" cm="1">
        <f t="array" aca="1" ref="H174" ca="1">IF(RegimeExecucao="Global","",ORÇAMENTO!W174)</f>
        <v>162.24</v>
      </c>
      <c r="I174" s="125">
        <f ca="1">ORÇAMENTO!X174</f>
        <v>4867.2</v>
      </c>
      <c r="J174" s="333" cm="1">
        <f t="array" aca="1" ref="J174" ca="1">IF($A174="S",IF(CAIXA.Modo,BM.AFAnterior,BM.MEDAnterior),IF(AND(RegimeExecucao="Global",$I174&gt;0,COUNTIF($AB$13:$AM$13,BM.medicao-1)&gt;0),M174/$I174*100,0))</f>
        <v>0</v>
      </c>
      <c r="K174" s="122">
        <f t="shared" ca="1" si="3"/>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4"/>
        <v>0</v>
      </c>
      <c r="O174" s="125" cm="1">
        <f t="array" aca="1" ref="O174" ca="1">IF($A174="S",VTOTALBM,IF($A174=0,0,ROUND(SomaAgrupBM,15-13*ORÇAMENTO!$AF$11)))</f>
        <v>0</v>
      </c>
      <c r="Q174" s="337"/>
      <c r="R174" s="338"/>
      <c r="T174" s="117" t="str">
        <f t="shared" ca="1" si="5"/>
        <v/>
      </c>
      <c r="U174" s="163" t="str">
        <f t="shared" ca="1" si="6"/>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7"/>
        <v>0</v>
      </c>
      <c r="Z174" s="473"/>
      <c r="AB174" s="337"/>
      <c r="AC174" s="437"/>
      <c r="AD174" s="437"/>
      <c r="AE174" s="437"/>
      <c r="AF174" s="437"/>
      <c r="AG174" s="437"/>
      <c r="AH174" s="437"/>
      <c r="AI174" s="437"/>
      <c r="AJ174" s="437"/>
      <c r="AK174" s="437"/>
      <c r="AL174" s="437"/>
      <c r="AM174" s="338"/>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x14ac:dyDescent="0.2">
      <c r="A175">
        <f ca="1">ORÇAMENTO!C175</f>
        <v>2</v>
      </c>
      <c r="B175">
        <f ca="1">ORÇAMENTO!D175</f>
        <v>18</v>
      </c>
      <c r="C175" s="114" t="str">
        <f t="shared" ca="1" si="1"/>
        <v>F</v>
      </c>
      <c r="D175" s="117" t="str">
        <f ca="1">ORÇAMENTO!O175</f>
        <v>1.9.</v>
      </c>
      <c r="E175" s="163" t="str">
        <f t="shared" si="2"/>
        <v>INSTALAÇÕES ELÉTRICAS</v>
      </c>
      <c r="F175" s="164" t="str" cm="1">
        <f t="array" aca="1" ref="F175" ca="1">IF(RegimeExecucao="Global","",ORÇAMENTO.Unidade)</f>
        <v>-</v>
      </c>
      <c r="G175" s="122" cm="1">
        <f t="array" aca="1" ref="G175" ca="1">IF(RegimeExecucao="Global","",ORÇAMENTO!T175)</f>
        <v>0</v>
      </c>
      <c r="H175" s="122" cm="1">
        <f t="array" aca="1" ref="H175" ca="1">IF(RegimeExecucao="Global","",ORÇAMENTO!W175)</f>
        <v>0</v>
      </c>
      <c r="I175" s="125">
        <f ca="1">ORÇAMENTO!X175</f>
        <v>291170.40000000002</v>
      </c>
      <c r="J175" s="333" cm="1">
        <f t="array" aca="1" ref="J175" ca="1">IF($A175="S",IF(CAIXA.Modo,BM.AFAnterior,BM.MEDAnterior),IF(AND(RegimeExecucao="Global",$I175&gt;0,COUNTIF($AB$13:$AM$13,BM.medicao-1)&gt;0),M175/$I175*100,0))</f>
        <v>0</v>
      </c>
      <c r="K175" s="122">
        <f t="shared" ca="1" si="3"/>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4"/>
        <v>0</v>
      </c>
      <c r="O175" s="125" cm="1">
        <f t="array" aca="1" ref="O175" ca="1">IF($A175="S",VTOTALBM,IF($A175=0,0,ROUND(SomaAgrupBM,15-13*ORÇAMENTO!$AF$11)))</f>
        <v>0</v>
      </c>
      <c r="Q175" s="337"/>
      <c r="R175" s="338"/>
      <c r="T175" s="117" t="str">
        <f t="shared" ca="1" si="5"/>
        <v/>
      </c>
      <c r="U175" s="163" t="str">
        <f t="shared" ca="1" si="6"/>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7"/>
        <v>0</v>
      </c>
      <c r="Z175" s="473"/>
      <c r="AB175" s="337"/>
      <c r="AC175" s="437"/>
      <c r="AD175" s="437"/>
      <c r="AE175" s="437"/>
      <c r="AF175" s="437"/>
      <c r="AG175" s="437"/>
      <c r="AH175" s="437"/>
      <c r="AI175" s="437"/>
      <c r="AJ175" s="437"/>
      <c r="AK175" s="437"/>
      <c r="AL175" s="437"/>
      <c r="AM175" s="338"/>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x14ac:dyDescent="0.2">
      <c r="A176">
        <f ca="1">ORÇAMENTO!C176</f>
        <v>3</v>
      </c>
      <c r="B176">
        <f ca="1">ORÇAMENTO!D176</f>
        <v>4</v>
      </c>
      <c r="C176" s="114" t="str">
        <f t="shared" ca="1" si="1"/>
        <v>F</v>
      </c>
      <c r="D176" s="117" t="str">
        <f ca="1">ORÇAMENTO!O176</f>
        <v>1.9.1.</v>
      </c>
      <c r="E176" s="163" t="str">
        <f t="shared" si="2"/>
        <v>ENTRADA DE ENERGIA</v>
      </c>
      <c r="F176" s="164" t="str" cm="1">
        <f t="array" aca="1" ref="F176" ca="1">IF(RegimeExecucao="Global","",ORÇAMENTO.Unidade)</f>
        <v>-</v>
      </c>
      <c r="G176" s="122" cm="1">
        <f t="array" aca="1" ref="G176" ca="1">IF(RegimeExecucao="Global","",ORÇAMENTO!T176)</f>
        <v>0</v>
      </c>
      <c r="H176" s="122" cm="1">
        <f t="array" aca="1" ref="H176" ca="1">IF(RegimeExecucao="Global","",ORÇAMENTO!W176)</f>
        <v>0</v>
      </c>
      <c r="I176" s="125">
        <f ca="1">ORÇAMENTO!X176</f>
        <v>108878.7</v>
      </c>
      <c r="J176" s="333" cm="1">
        <f t="array" aca="1" ref="J176" ca="1">IF($A176="S",IF(CAIXA.Modo,BM.AFAnterior,BM.MEDAnterior),IF(AND(RegimeExecucao="Global",$I176&gt;0,COUNTIF($AB$13:$AM$13,BM.medicao-1)&gt;0),M176/$I176*100,0))</f>
        <v>0</v>
      </c>
      <c r="K176" s="122">
        <f t="shared" ca="1" si="3"/>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4"/>
        <v>0</v>
      </c>
      <c r="O176" s="125" cm="1">
        <f t="array" aca="1" ref="O176" ca="1">IF($A176="S",VTOTALBM,IF($A176=0,0,ROUND(SomaAgrupBM,15-13*ORÇAMENTO!$AF$11)))</f>
        <v>0</v>
      </c>
      <c r="Q176" s="337"/>
      <c r="R176" s="338"/>
      <c r="T176" s="117" t="str">
        <f t="shared" ca="1" si="5"/>
        <v/>
      </c>
      <c r="U176" s="163" t="str">
        <f t="shared" ca="1" si="6"/>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7"/>
        <v>0</v>
      </c>
      <c r="Z176" s="473"/>
      <c r="AB176" s="337"/>
      <c r="AC176" s="437"/>
      <c r="AD176" s="437"/>
      <c r="AE176" s="437"/>
      <c r="AF176" s="437"/>
      <c r="AG176" s="437"/>
      <c r="AH176" s="437"/>
      <c r="AI176" s="437"/>
      <c r="AJ176" s="437"/>
      <c r="AK176" s="437"/>
      <c r="AL176" s="437"/>
      <c r="AM176" s="338"/>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38.25" x14ac:dyDescent="0.2">
      <c r="A177" t="str">
        <f ca="1">ORÇAMENTO!C177</f>
        <v>S</v>
      </c>
      <c r="B177">
        <f ca="1">ORÇAMENTO!D177</f>
        <v>0</v>
      </c>
      <c r="C177" s="114" t="str">
        <f t="shared" ca="1" si="1"/>
        <v>F</v>
      </c>
      <c r="D177" s="117" t="str">
        <f ca="1">ORÇAMENTO!O177</f>
        <v>1.9.1.0.1.</v>
      </c>
      <c r="E177" s="163" t="str">
        <f t="shared" ca="1" si="2"/>
        <v>ENTRADA DE ENERGIA ELÉTRICA, AÉREA, MONOFÁSICA, COM CAIXA DE SOBREPOR, CABO DE 10 MM2 E DISJUNTOR DIN 50A (NÃO INCLUSO O POSTE DE CONCRETO). AF_12/2025</v>
      </c>
      <c r="F177" s="164" t="str" cm="1">
        <f t="array" aca="1" ref="F177" ca="1">IF(RegimeExecucao="Global","",ORÇAMENTO.Unidade)</f>
        <v>UN</v>
      </c>
      <c r="G177" s="122" cm="1">
        <f t="array" aca="1" ref="G177" ca="1">IF(RegimeExecucao="Global","",ORÇAMENTO!T177)</f>
        <v>30</v>
      </c>
      <c r="H177" s="122" cm="1">
        <f t="array" aca="1" ref="H177" ca="1">IF(RegimeExecucao="Global","",ORÇAMENTO!W177)</f>
        <v>2064.8200000000002</v>
      </c>
      <c r="I177" s="125">
        <f ca="1">ORÇAMENTO!X177</f>
        <v>61944.6</v>
      </c>
      <c r="J177" s="333" cm="1">
        <f t="array" aca="1" ref="J177" ca="1">IF($A177="S",IF(CAIXA.Modo,BM.AFAnterior,BM.MEDAnterior),IF(AND(RegimeExecucao="Global",$I177&gt;0,COUNTIF($AB$13:$AM$13,BM.medicao-1)&gt;0),M177/$I177*100,0))</f>
        <v>0</v>
      </c>
      <c r="K177" s="122">
        <f t="shared" ca="1" si="3"/>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4"/>
        <v>0</v>
      </c>
      <c r="O177" s="125" cm="1">
        <f t="array" aca="1" ref="O177" ca="1">IF($A177="S",VTOTALBM,IF($A177=0,0,ROUND(SomaAgrupBM,15-13*ORÇAMENTO!$AF$11)))</f>
        <v>0</v>
      </c>
      <c r="Q177" s="337"/>
      <c r="R177" s="338"/>
      <c r="T177" s="117" t="str">
        <f t="shared" ca="1" si="5"/>
        <v/>
      </c>
      <c r="U177" s="163" t="str">
        <f t="shared" ca="1" si="6"/>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7"/>
        <v>0</v>
      </c>
      <c r="Z177" s="473"/>
      <c r="AB177" s="337"/>
      <c r="AC177" s="437"/>
      <c r="AD177" s="437"/>
      <c r="AE177" s="437"/>
      <c r="AF177" s="437"/>
      <c r="AG177" s="437"/>
      <c r="AH177" s="437"/>
      <c r="AI177" s="437"/>
      <c r="AJ177" s="437"/>
      <c r="AK177" s="437"/>
      <c r="AL177" s="437"/>
      <c r="AM177" s="338"/>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25.5" x14ac:dyDescent="0.2">
      <c r="A178" t="str">
        <f ca="1">ORÇAMENTO!C178</f>
        <v>S</v>
      </c>
      <c r="B178">
        <f ca="1">ORÇAMENTO!D178</f>
        <v>0</v>
      </c>
      <c r="C178" s="114" t="str">
        <f t="shared" ca="1" si="1"/>
        <v>F</v>
      </c>
      <c r="D178" s="117" t="str">
        <f ca="1">ORÇAMENTO!O178</f>
        <v>1.9.1.0.2.</v>
      </c>
      <c r="E178" s="163" t="str">
        <f t="shared" ca="1" si="2"/>
        <v>POSTE DE CONCRETO ARMADO DE SECAO DUPLO T, EXTENSAO DE 8,00 M, RESISTENCIA DE 150 DAN, TIPO D</v>
      </c>
      <c r="F178" s="164" t="str" cm="1">
        <f t="array" aca="1" ref="F178" ca="1">IF(RegimeExecucao="Global","",ORÇAMENTO.Unidade)</f>
        <v>UN</v>
      </c>
      <c r="G178" s="122" cm="1">
        <f t="array" aca="1" ref="G178" ca="1">IF(RegimeExecucao="Global","",ORÇAMENTO!T178)</f>
        <v>30</v>
      </c>
      <c r="H178" s="122" cm="1">
        <f t="array" aca="1" ref="H178" ca="1">IF(RegimeExecucao="Global","",ORÇAMENTO!W178)</f>
        <v>790.14</v>
      </c>
      <c r="I178" s="125">
        <f ca="1">ORÇAMENTO!X178</f>
        <v>23704.2</v>
      </c>
      <c r="J178" s="333" cm="1">
        <f t="array" aca="1" ref="J178" ca="1">IF($A178="S",IF(CAIXA.Modo,BM.AFAnterior,BM.MEDAnterior),IF(AND(RegimeExecucao="Global",$I178&gt;0,COUNTIF($AB$13:$AM$13,BM.medicao-1)&gt;0),M178/$I178*100,0))</f>
        <v>0</v>
      </c>
      <c r="K178" s="122">
        <f t="shared" ca="1" si="3"/>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4"/>
        <v>0</v>
      </c>
      <c r="O178" s="125" cm="1">
        <f t="array" aca="1" ref="O178" ca="1">IF($A178="S",VTOTALBM,IF($A178=0,0,ROUND(SomaAgrupBM,15-13*ORÇAMENTO!$AF$11)))</f>
        <v>0</v>
      </c>
      <c r="Q178" s="337"/>
      <c r="R178" s="338"/>
      <c r="T178" s="117" t="str">
        <f t="shared" ca="1" si="5"/>
        <v/>
      </c>
      <c r="U178" s="163" t="str">
        <f t="shared" ca="1" si="6"/>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7"/>
        <v>0</v>
      </c>
      <c r="Z178" s="473"/>
      <c r="AB178" s="337"/>
      <c r="AC178" s="437"/>
      <c r="AD178" s="437"/>
      <c r="AE178" s="437"/>
      <c r="AF178" s="437"/>
      <c r="AG178" s="437"/>
      <c r="AH178" s="437"/>
      <c r="AI178" s="437"/>
      <c r="AJ178" s="437"/>
      <c r="AK178" s="437"/>
      <c r="AL178" s="437"/>
      <c r="AM178" s="338"/>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51" x14ac:dyDescent="0.2">
      <c r="A179" t="str">
        <f ca="1">ORÇAMENTO!C179</f>
        <v>S</v>
      </c>
      <c r="B179">
        <f ca="1">ORÇAMENTO!D179</f>
        <v>0</v>
      </c>
      <c r="C179" s="114" t="str">
        <f t="shared" ca="1" si="1"/>
        <v>F</v>
      </c>
      <c r="D179" s="117" t="str">
        <f ca="1">ORÇAMENTO!O179</f>
        <v>1.9.1.0.3.</v>
      </c>
      <c r="E179" s="163" t="str">
        <f t="shared" ca="1" si="2"/>
        <v>ASSENTAMENTO DE POSTE DE CONCRETO COM COMPRIMENTO NOMINAL DE 9 M, CARGA NOMINAL MENOR OU IGUAL A 1000 DAN, ENGASTAMENTO SIMPLES COM 1,5 M DE SOLO (NÃO INCLUI FORNECIMENTO). AF_04/2025</v>
      </c>
      <c r="F179" s="164" t="str" cm="1">
        <f t="array" aca="1" ref="F179" ca="1">IF(RegimeExecucao="Global","",ORÇAMENTO.Unidade)</f>
        <v>UN</v>
      </c>
      <c r="G179" s="122" cm="1">
        <f t="array" aca="1" ref="G179" ca="1">IF(RegimeExecucao="Global","",ORÇAMENTO!T179)</f>
        <v>30</v>
      </c>
      <c r="H179" s="122" cm="1">
        <f t="array" aca="1" ref="H179" ca="1">IF(RegimeExecucao="Global","",ORÇAMENTO!W179)</f>
        <v>774.33</v>
      </c>
      <c r="I179" s="125">
        <f ca="1">ORÇAMENTO!X179</f>
        <v>23229.9</v>
      </c>
      <c r="J179" s="333" cm="1">
        <f t="array" aca="1" ref="J179" ca="1">IF($A179="S",IF(CAIXA.Modo,BM.AFAnterior,BM.MEDAnterior),IF(AND(RegimeExecucao="Global",$I179&gt;0,COUNTIF($AB$13:$AM$13,BM.medicao-1)&gt;0),M179/$I179*100,0))</f>
        <v>0</v>
      </c>
      <c r="K179" s="122">
        <f t="shared" ca="1" si="3"/>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4"/>
        <v>0</v>
      </c>
      <c r="O179" s="125" cm="1">
        <f t="array" aca="1" ref="O179" ca="1">IF($A179="S",VTOTALBM,IF($A179=0,0,ROUND(SomaAgrupBM,15-13*ORÇAMENTO!$AF$11)))</f>
        <v>0</v>
      </c>
      <c r="Q179" s="337"/>
      <c r="R179" s="338"/>
      <c r="T179" s="117" t="str">
        <f t="shared" ca="1" si="5"/>
        <v/>
      </c>
      <c r="U179" s="163" t="str">
        <f t="shared" ca="1" si="6"/>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7"/>
        <v>0</v>
      </c>
      <c r="Z179" s="473"/>
      <c r="AB179" s="337"/>
      <c r="AC179" s="437"/>
      <c r="AD179" s="437"/>
      <c r="AE179" s="437"/>
      <c r="AF179" s="437"/>
      <c r="AG179" s="437"/>
      <c r="AH179" s="437"/>
      <c r="AI179" s="437"/>
      <c r="AJ179" s="437"/>
      <c r="AK179" s="437"/>
      <c r="AL179" s="437"/>
      <c r="AM179" s="338"/>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x14ac:dyDescent="0.2">
      <c r="A180">
        <f ca="1">ORÇAMENTO!C180</f>
        <v>3</v>
      </c>
      <c r="B180">
        <f ca="1">ORÇAMENTO!D180</f>
        <v>5</v>
      </c>
      <c r="C180" s="114" t="str">
        <f t="shared" ca="1" si="1"/>
        <v>F</v>
      </c>
      <c r="D180" s="117" t="str">
        <f ca="1">ORÇAMENTO!O180</f>
        <v>1.9.2.</v>
      </c>
      <c r="E180" s="163" t="str">
        <f t="shared" si="2"/>
        <v>PONTOS ELÉTRICOS</v>
      </c>
      <c r="F180" s="164" t="str" cm="1">
        <f t="array" aca="1" ref="F180" ca="1">IF(RegimeExecucao="Global","",ORÇAMENTO.Unidade)</f>
        <v>-</v>
      </c>
      <c r="G180" s="122" cm="1">
        <f t="array" aca="1" ref="G180" ca="1">IF(RegimeExecucao="Global","",ORÇAMENTO!T180)</f>
        <v>0</v>
      </c>
      <c r="H180" s="122" cm="1">
        <f t="array" aca="1" ref="H180" ca="1">IF(RegimeExecucao="Global","",ORÇAMENTO!W180)</f>
        <v>0</v>
      </c>
      <c r="I180" s="125">
        <f ca="1">ORÇAMENTO!X180</f>
        <v>160608.9</v>
      </c>
      <c r="J180" s="333" cm="1">
        <f t="array" aca="1" ref="J180" ca="1">IF($A180="S",IF(CAIXA.Modo,BM.AFAnterior,BM.MEDAnterior),IF(AND(RegimeExecucao="Global",$I180&gt;0,COUNTIF($AB$13:$AM$13,BM.medicao-1)&gt;0),M180/$I180*100,0))</f>
        <v>0</v>
      </c>
      <c r="K180" s="122">
        <f t="shared" ca="1" si="3"/>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t="shared" ca="1" si="4"/>
        <v>0</v>
      </c>
      <c r="O180" s="125" cm="1">
        <f t="array" aca="1" ref="O180" ca="1">IF($A180="S",VTOTALBM,IF($A180=0,0,ROUND(SomaAgrupBM,15-13*ORÇAMENTO!$AF$11)))</f>
        <v>0</v>
      </c>
      <c r="Q180" s="337"/>
      <c r="R180" s="338"/>
      <c r="T180" s="117" t="str">
        <f t="shared" ca="1" si="5"/>
        <v/>
      </c>
      <c r="U180" s="163" t="str">
        <f t="shared" ca="1" si="6"/>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t="shared" ca="1" si="7"/>
        <v>0</v>
      </c>
      <c r="Z180" s="473"/>
      <c r="AB180" s="337"/>
      <c r="AC180" s="437"/>
      <c r="AD180" s="437"/>
      <c r="AE180" s="437"/>
      <c r="AF180" s="437"/>
      <c r="AG180" s="437"/>
      <c r="AH180" s="437"/>
      <c r="AI180" s="437"/>
      <c r="AJ180" s="437"/>
      <c r="AK180" s="437"/>
      <c r="AL180" s="437"/>
      <c r="AM180" s="338"/>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ht="51" x14ac:dyDescent="0.2">
      <c r="A181" t="str">
        <f ca="1">ORÇAMENTO!C181</f>
        <v>S</v>
      </c>
      <c r="B181">
        <f ca="1">ORÇAMENTO!D181</f>
        <v>0</v>
      </c>
      <c r="C181" s="114" t="str">
        <f t="shared" ca="1" si="1"/>
        <v>F</v>
      </c>
      <c r="D181" s="117" t="str">
        <f ca="1">ORÇAMENTO!O181</f>
        <v>1.9.2.0.1.</v>
      </c>
      <c r="E181" s="163" t="str">
        <f t="shared" ca="1" si="2"/>
        <v>PONTO ELÉTRICO DE ILUMINAÇÃO, COM INTERRUPTOR SIMPLES, EM EDIFÍCIO RESIDENCIAL COM ELETRODUTO EMBUTIDO EM RASGOS NAS PAREDES, INCLUSO TOMADA, ELETRODUTO, CABO, RASGO E CHUMBAMENTO (SEM LUMINÁRIA E LÂMPADA)</v>
      </c>
      <c r="F181" s="164" t="str" cm="1">
        <f t="array" aca="1" ref="F181" ca="1">IF(RegimeExecucao="Global","",ORÇAMENTO.Unidade)</f>
        <v>UN</v>
      </c>
      <c r="G181" s="122" cm="1">
        <f t="array" aca="1" ref="G181" ca="1">IF(RegimeExecucao="Global","",ORÇAMENTO!T181)</f>
        <v>240</v>
      </c>
      <c r="H181" s="122" cm="1">
        <f t="array" aca="1" ref="H181" ca="1">IF(RegimeExecucao="Global","",ORÇAMENTO!W181)</f>
        <v>236.72</v>
      </c>
      <c r="I181" s="125">
        <f ca="1">ORÇAMENTO!X181</f>
        <v>56812.800000000003</v>
      </c>
      <c r="J181" s="333" cm="1">
        <f t="array" aca="1" ref="J181" ca="1">IF($A181="S",IF(CAIXA.Modo,BM.AFAnterior,BM.MEDAnterior),IF(AND(RegimeExecucao="Global",$I181&gt;0,COUNTIF($AB$13:$AM$13,BM.medicao-1)&gt;0),M181/$I181*100,0))</f>
        <v>0</v>
      </c>
      <c r="K181" s="122">
        <f t="shared" ca="1" si="3"/>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ca="1" si="4"/>
        <v>0</v>
      </c>
      <c r="O181" s="125" cm="1">
        <f t="array" aca="1" ref="O181" ca="1">IF($A181="S",VTOTALBM,IF($A181=0,0,ROUND(SomaAgrupBM,15-13*ORÇAMENTO!$AF$11)))</f>
        <v>0</v>
      </c>
      <c r="Q181" s="337"/>
      <c r="R181" s="338"/>
      <c r="T181" s="117" t="str">
        <f t="shared" ca="1" si="5"/>
        <v/>
      </c>
      <c r="U181" s="163" t="str">
        <f t="shared" ca="1" si="6"/>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ca="1" si="7"/>
        <v>0</v>
      </c>
      <c r="Z181" s="473"/>
      <c r="AB181" s="337"/>
      <c r="AC181" s="437"/>
      <c r="AD181" s="437"/>
      <c r="AE181" s="437"/>
      <c r="AF181" s="437"/>
      <c r="AG181" s="437"/>
      <c r="AH181" s="437"/>
      <c r="AI181" s="437"/>
      <c r="AJ181" s="437"/>
      <c r="AK181" s="437"/>
      <c r="AL181" s="437"/>
      <c r="AM181" s="338"/>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ht="63.75" x14ac:dyDescent="0.2">
      <c r="A182" t="str">
        <f ca="1">ORÇAMENTO!C182</f>
        <v>S</v>
      </c>
      <c r="B182">
        <f ca="1">ORÇAMENTO!D182</f>
        <v>0</v>
      </c>
      <c r="C182" s="114" t="str">
        <f t="shared" ca="1" si="1"/>
        <v>F</v>
      </c>
      <c r="D182" s="117" t="str">
        <f ca="1">ORÇAMENTO!O182</f>
        <v>1.9.2.0.2.</v>
      </c>
      <c r="E182" s="163" t="str">
        <f t="shared" ca="1" si="2"/>
        <v>PONTO ELÉTRICO DE ILUMINAÇÃO, COM INTERRUPTOR PARALELO, EM EDIFÍCIO RESIDENCIAL COM ELETRODUTO EMBUTIDO EM RASGOS NAS PAREDES, INCLUSO CAIXA ELÉTRICA, MÓDULO DE TOMADA, ELETRODUTO, CABO, RASGO, QUEBRA E CHUMBAMENTO (SEM LUMINÁRIA E LÂMPADA)</v>
      </c>
      <c r="F182" s="164" t="str" cm="1">
        <f t="array" aca="1" ref="F182" ca="1">IF(RegimeExecucao="Global","",ORÇAMENTO.Unidade)</f>
        <v>UN</v>
      </c>
      <c r="G182" s="122" cm="1">
        <f t="array" aca="1" ref="G182" ca="1">IF(RegimeExecucao="Global","",ORÇAMENTO!T182)</f>
        <v>330</v>
      </c>
      <c r="H182" s="122" cm="1">
        <f t="array" aca="1" ref="H182" ca="1">IF(RegimeExecucao="Global","",ORÇAMENTO!W182)</f>
        <v>201.44</v>
      </c>
      <c r="I182" s="125">
        <f ca="1">ORÇAMENTO!X182</f>
        <v>66475.199999999997</v>
      </c>
      <c r="J182" s="333" cm="1">
        <f t="array" aca="1" ref="J182" ca="1">IF($A182="S",IF(CAIXA.Modo,BM.AFAnterior,BM.MEDAnterior),IF(AND(RegimeExecucao="Global",$I182&gt;0,COUNTIF($AB$13:$AM$13,BM.medicao-1)&gt;0),M182/$I182*100,0))</f>
        <v>0</v>
      </c>
      <c r="K182" s="122">
        <f t="shared" ca="1" si="3"/>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4"/>
        <v>0</v>
      </c>
      <c r="O182" s="125" cm="1">
        <f t="array" aca="1" ref="O182" ca="1">IF($A182="S",VTOTALBM,IF($A182=0,0,ROUND(SomaAgrupBM,15-13*ORÇAMENTO!$AF$11)))</f>
        <v>0</v>
      </c>
      <c r="Q182" s="337"/>
      <c r="R182" s="338"/>
      <c r="T182" s="117" t="str">
        <f t="shared" ca="1" si="5"/>
        <v/>
      </c>
      <c r="U182" s="163" t="str">
        <f t="shared" ca="1" si="6"/>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7"/>
        <v>0</v>
      </c>
      <c r="Z182" s="473"/>
      <c r="AB182" s="337"/>
      <c r="AC182" s="437"/>
      <c r="AD182" s="437"/>
      <c r="AE182" s="437"/>
      <c r="AF182" s="437"/>
      <c r="AG182" s="437"/>
      <c r="AH182" s="437"/>
      <c r="AI182" s="437"/>
      <c r="AJ182" s="437"/>
      <c r="AK182" s="437"/>
      <c r="AL182" s="437"/>
      <c r="AM182" s="338"/>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ht="51" x14ac:dyDescent="0.2">
      <c r="A183" t="str">
        <f ca="1">ORÇAMENTO!C183</f>
        <v>S</v>
      </c>
      <c r="B183">
        <f ca="1">ORÇAMENTO!D183</f>
        <v>0</v>
      </c>
      <c r="C183" s="114" t="str">
        <f t="shared" ca="1" si="1"/>
        <v>F</v>
      </c>
      <c r="D183" s="117" t="str">
        <f ca="1">ORÇAMENTO!O183</f>
        <v>1.9.2.0.3.</v>
      </c>
      <c r="E183" s="163" t="str">
        <f t="shared" ca="1" si="2"/>
        <v>PONTO ELÉTRICO DE TOMADA DE USO GERAL 2P+T (10A/250V) EM EDIFÍCIO RESIDENCIAL COM ELETRODUTO EMBUTIDO EM RASGOS NAS PAREDES, INCLUSO TOMADA, ELETRODUTO, CABO, RASGO, QUEBRA E CHUMBAMENTO.</v>
      </c>
      <c r="F183" s="164" t="str" cm="1">
        <f t="array" aca="1" ref="F183" ca="1">IF(RegimeExecucao="Global","",ORÇAMENTO.Unidade)</f>
        <v>UN</v>
      </c>
      <c r="G183" s="122" cm="1">
        <f t="array" aca="1" ref="G183" ca="1">IF(RegimeExecucao="Global","",ORÇAMENTO!T183)</f>
        <v>90</v>
      </c>
      <c r="H183" s="122" cm="1">
        <f t="array" aca="1" ref="H183" ca="1">IF(RegimeExecucao="Global","",ORÇAMENTO!W183)</f>
        <v>258.14</v>
      </c>
      <c r="I183" s="125">
        <f ca="1">ORÇAMENTO!X183</f>
        <v>23232.6</v>
      </c>
      <c r="J183" s="333" cm="1">
        <f t="array" aca="1" ref="J183" ca="1">IF($A183="S",IF(CAIXA.Modo,BM.AFAnterior,BM.MEDAnterior),IF(AND(RegimeExecucao="Global",$I183&gt;0,COUNTIF($AB$13:$AM$13,BM.medicao-1)&gt;0),M183/$I183*100,0))</f>
        <v>0</v>
      </c>
      <c r="K183" s="122">
        <f t="shared" ca="1" si="3"/>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4"/>
        <v>0</v>
      </c>
      <c r="O183" s="125" cm="1">
        <f t="array" aca="1" ref="O183" ca="1">IF($A183="S",VTOTALBM,IF($A183=0,0,ROUND(SomaAgrupBM,15-13*ORÇAMENTO!$AF$11)))</f>
        <v>0</v>
      </c>
      <c r="Q183" s="337"/>
      <c r="R183" s="338"/>
      <c r="T183" s="117" t="str">
        <f t="shared" ca="1" si="5"/>
        <v/>
      </c>
      <c r="U183" s="163" t="str">
        <f t="shared" ca="1" si="6"/>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7"/>
        <v>0</v>
      </c>
      <c r="Z183" s="473"/>
      <c r="AB183" s="337"/>
      <c r="AC183" s="437"/>
      <c r="AD183" s="437"/>
      <c r="AE183" s="437"/>
      <c r="AF183" s="437"/>
      <c r="AG183" s="437"/>
      <c r="AH183" s="437"/>
      <c r="AI183" s="437"/>
      <c r="AJ183" s="437"/>
      <c r="AK183" s="437"/>
      <c r="AL183" s="437"/>
      <c r="AM183" s="338"/>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51" x14ac:dyDescent="0.2">
      <c r="A184" t="str">
        <f ca="1">ORÇAMENTO!C184</f>
        <v>S</v>
      </c>
      <c r="B184">
        <f ca="1">ORÇAMENTO!D184</f>
        <v>0</v>
      </c>
      <c r="C184" s="114" t="str">
        <f t="shared" ca="1" si="1"/>
        <v>F</v>
      </c>
      <c r="D184" s="117" t="str">
        <f ca="1">ORÇAMENTO!O184</f>
        <v>1.9.2.0.4.</v>
      </c>
      <c r="E184" s="163" t="str">
        <f t="shared" ca="1" si="2"/>
        <v>PONTO ELÉTRICO DE TOMADA DE USO ESPECÍFICO 2P+T (20A/250V) EM EDIFÍCIO RESIDENCIAL COM ELETRODUTO EMBUTIDO SEM NECESSIDADE DE RASGOS, INCLUSO TOMADA, ELETRODUTO, CABO E QUEBRA (EXCETO CHUVEIRO).</v>
      </c>
      <c r="F184" s="164" t="str" cm="1">
        <f t="array" aca="1" ref="F184" ca="1">IF(RegimeExecucao="Global","",ORÇAMENTO.Unidade)</f>
        <v>UN</v>
      </c>
      <c r="G184" s="122" cm="1">
        <f t="array" aca="1" ref="G184" ca="1">IF(RegimeExecucao="Global","",ORÇAMENTO!T184)</f>
        <v>30</v>
      </c>
      <c r="H184" s="122" cm="1">
        <f t="array" aca="1" ref="H184" ca="1">IF(RegimeExecucao="Global","",ORÇAMENTO!W184)</f>
        <v>469.61</v>
      </c>
      <c r="I184" s="125">
        <f ca="1">ORÇAMENTO!X184</f>
        <v>14088.3</v>
      </c>
      <c r="J184" s="333" cm="1">
        <f t="array" aca="1" ref="J184" ca="1">IF($A184="S",IF(CAIXA.Modo,BM.AFAnterior,BM.MEDAnterior),IF(AND(RegimeExecucao="Global",$I184&gt;0,COUNTIF($AB$13:$AM$13,BM.medicao-1)&gt;0),M184/$I184*100,0))</f>
        <v>0</v>
      </c>
      <c r="K184" s="122">
        <f t="shared" ca="1" si="3"/>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4"/>
        <v>0</v>
      </c>
      <c r="O184" s="125" cm="1">
        <f t="array" aca="1" ref="O184" ca="1">IF($A184="S",VTOTALBM,IF($A184=0,0,ROUND(SomaAgrupBM,15-13*ORÇAMENTO!$AF$11)))</f>
        <v>0</v>
      </c>
      <c r="Q184" s="337"/>
      <c r="R184" s="338"/>
      <c r="T184" s="117" t="str">
        <f t="shared" ca="1" si="5"/>
        <v/>
      </c>
      <c r="U184" s="163" t="str">
        <f t="shared" ca="1" si="6"/>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7"/>
        <v>0</v>
      </c>
      <c r="Z184" s="473"/>
      <c r="AB184" s="337"/>
      <c r="AC184" s="437"/>
      <c r="AD184" s="437"/>
      <c r="AE184" s="437"/>
      <c r="AF184" s="437"/>
      <c r="AG184" s="437"/>
      <c r="AH184" s="437"/>
      <c r="AI184" s="437"/>
      <c r="AJ184" s="437"/>
      <c r="AK184" s="437"/>
      <c r="AL184" s="437"/>
      <c r="AM184" s="338"/>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x14ac:dyDescent="0.2">
      <c r="A185">
        <f ca="1">ORÇAMENTO!C185</f>
        <v>3</v>
      </c>
      <c r="B185">
        <f ca="1">ORÇAMENTO!D185</f>
        <v>5</v>
      </c>
      <c r="C185" s="114" t="str">
        <f t="shared" ca="1" si="1"/>
        <v>F</v>
      </c>
      <c r="D185" s="117" t="str">
        <f ca="1">ORÇAMENTO!O185</f>
        <v>1.9.3.</v>
      </c>
      <c r="E185" s="163" t="str">
        <f t="shared" si="2"/>
        <v>QUADROS E DISJUNTORES</v>
      </c>
      <c r="F185" s="164" t="str" cm="1">
        <f t="array" aca="1" ref="F185" ca="1">IF(RegimeExecucao="Global","",ORÇAMENTO.Unidade)</f>
        <v>-</v>
      </c>
      <c r="G185" s="122" cm="1">
        <f t="array" aca="1" ref="G185" ca="1">IF(RegimeExecucao="Global","",ORÇAMENTO!T185)</f>
        <v>0</v>
      </c>
      <c r="H185" s="122" cm="1">
        <f t="array" aca="1" ref="H185" ca="1">IF(RegimeExecucao="Global","",ORÇAMENTO!W185)</f>
        <v>0</v>
      </c>
      <c r="I185" s="125">
        <f ca="1">ORÇAMENTO!X185</f>
        <v>10315.799999999999</v>
      </c>
      <c r="J185" s="333" cm="1">
        <f t="array" aca="1" ref="J185" ca="1">IF($A185="S",IF(CAIXA.Modo,BM.AFAnterior,BM.MEDAnterior),IF(AND(RegimeExecucao="Global",$I185&gt;0,COUNTIF($AB$13:$AM$13,BM.medicao-1)&gt;0),M185/$I185*100,0))</f>
        <v>0</v>
      </c>
      <c r="K185" s="122">
        <f t="shared" ca="1" si="3"/>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4"/>
        <v>0</v>
      </c>
      <c r="O185" s="125" cm="1">
        <f t="array" aca="1" ref="O185" ca="1">IF($A185="S",VTOTALBM,IF($A185=0,0,ROUND(SomaAgrupBM,15-13*ORÇAMENTO!$AF$11)))</f>
        <v>0</v>
      </c>
      <c r="Q185" s="337"/>
      <c r="R185" s="338"/>
      <c r="T185" s="117" t="str">
        <f t="shared" ca="1" si="5"/>
        <v/>
      </c>
      <c r="U185" s="163" t="str">
        <f t="shared" ca="1" si="6"/>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7"/>
        <v>0</v>
      </c>
      <c r="Z185" s="473"/>
      <c r="AB185" s="337"/>
      <c r="AC185" s="437"/>
      <c r="AD185" s="437"/>
      <c r="AE185" s="437"/>
      <c r="AF185" s="437"/>
      <c r="AG185" s="437"/>
      <c r="AH185" s="437"/>
      <c r="AI185" s="437"/>
      <c r="AJ185" s="437"/>
      <c r="AK185" s="437"/>
      <c r="AL185" s="437"/>
      <c r="AM185" s="338"/>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38.25" x14ac:dyDescent="0.2">
      <c r="A186" t="str">
        <f ca="1">ORÇAMENTO!C186</f>
        <v>S</v>
      </c>
      <c r="B186">
        <f ca="1">ORÇAMENTO!D186</f>
        <v>0</v>
      </c>
      <c r="C186" s="114" t="str">
        <f t="shared" ca="1" si="1"/>
        <v>F</v>
      </c>
      <c r="D186" s="117" t="str">
        <f ca="1">ORÇAMENTO!O186</f>
        <v>1.9.3.0.1.</v>
      </c>
      <c r="E186" s="163" t="str">
        <f t="shared" ca="1" si="2"/>
        <v>QUADRO DE DISTRIBUIÇÃO DE ENERGIA EM PVC, DE EMBUTIR, SEM BARRAMENTO, PARA 6 DISJUNTORES - FORNECIMENTO E INSTALAÇÃO. AF_07/2025</v>
      </c>
      <c r="F186" s="164" t="str" cm="1">
        <f t="array" aca="1" ref="F186" ca="1">IF(RegimeExecucao="Global","",ORÇAMENTO.Unidade)</f>
        <v>UN</v>
      </c>
      <c r="G186" s="122" cm="1">
        <f t="array" aca="1" ref="G186" ca="1">IF(RegimeExecucao="Global","",ORÇAMENTO!T186)</f>
        <v>30</v>
      </c>
      <c r="H186" s="122" cm="1">
        <f t="array" aca="1" ref="H186" ca="1">IF(RegimeExecucao="Global","",ORÇAMENTO!W186)</f>
        <v>139.32</v>
      </c>
      <c r="I186" s="125">
        <f ca="1">ORÇAMENTO!X186</f>
        <v>4179.6000000000004</v>
      </c>
      <c r="J186" s="333" cm="1">
        <f t="array" aca="1" ref="J186" ca="1">IF($A186="S",IF(CAIXA.Modo,BM.AFAnterior,BM.MEDAnterior),IF(AND(RegimeExecucao="Global",$I186&gt;0,COUNTIF($AB$13:$AM$13,BM.medicao-1)&gt;0),M186/$I186*100,0))</f>
        <v>0</v>
      </c>
      <c r="K186" s="122">
        <f t="shared" ca="1" si="3"/>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4"/>
        <v>0</v>
      </c>
      <c r="O186" s="125" cm="1">
        <f t="array" aca="1" ref="O186" ca="1">IF($A186="S",VTOTALBM,IF($A186=0,0,ROUND(SomaAgrupBM,15-13*ORÇAMENTO!$AF$11)))</f>
        <v>0</v>
      </c>
      <c r="Q186" s="337"/>
      <c r="R186" s="338"/>
      <c r="T186" s="117" t="str">
        <f t="shared" ca="1" si="5"/>
        <v/>
      </c>
      <c r="U186" s="163" t="str">
        <f t="shared" ca="1" si="6"/>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7"/>
        <v>0</v>
      </c>
      <c r="Z186" s="473"/>
      <c r="AB186" s="337"/>
      <c r="AC186" s="437"/>
      <c r="AD186" s="437"/>
      <c r="AE186" s="437"/>
      <c r="AF186" s="437"/>
      <c r="AG186" s="437"/>
      <c r="AH186" s="437"/>
      <c r="AI186" s="437"/>
      <c r="AJ186" s="437"/>
      <c r="AK186" s="437"/>
      <c r="AL186" s="437"/>
      <c r="AM186" s="338"/>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25.5" x14ac:dyDescent="0.2">
      <c r="A187" t="str">
        <f ca="1">ORÇAMENTO!C187</f>
        <v>S</v>
      </c>
      <c r="B187">
        <f ca="1">ORÇAMENTO!D187</f>
        <v>0</v>
      </c>
      <c r="C187" s="114" t="str">
        <f t="shared" ca="1" si="1"/>
        <v>F</v>
      </c>
      <c r="D187" s="117" t="str">
        <f ca="1">ORÇAMENTO!O187</f>
        <v>1.9.3.0.2.</v>
      </c>
      <c r="E187" s="163" t="str">
        <f t="shared" ca="1" si="2"/>
        <v>DISJUNTOR MONOPOLAR TIPO DIN, CORRENTE NOMINAL DE 16A - FORNECIMENTO E INSTALAÇÃO. AF_07/2025</v>
      </c>
      <c r="F187" s="164" t="str" cm="1">
        <f t="array" aca="1" ref="F187" ca="1">IF(RegimeExecucao="Global","",ORÇAMENTO.Unidade)</f>
        <v>UN</v>
      </c>
      <c r="G187" s="122" cm="1">
        <f t="array" aca="1" ref="G187" ca="1">IF(RegimeExecucao="Global","",ORÇAMENTO!T187)</f>
        <v>90</v>
      </c>
      <c r="H187" s="122" cm="1">
        <f t="array" aca="1" ref="H187" ca="1">IF(RegimeExecucao="Global","",ORÇAMENTO!W187)</f>
        <v>13.64</v>
      </c>
      <c r="I187" s="125">
        <f ca="1">ORÇAMENTO!X187</f>
        <v>1227.5999999999999</v>
      </c>
      <c r="J187" s="333" cm="1">
        <f t="array" aca="1" ref="J187" ca="1">IF($A187="S",IF(CAIXA.Modo,BM.AFAnterior,BM.MEDAnterior),IF(AND(RegimeExecucao="Global",$I187&gt;0,COUNTIF($AB$13:$AM$13,BM.medicao-1)&gt;0),M187/$I187*100,0))</f>
        <v>0</v>
      </c>
      <c r="K187" s="122">
        <f t="shared" ca="1" si="3"/>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4"/>
        <v>0</v>
      </c>
      <c r="O187" s="125" cm="1">
        <f t="array" aca="1" ref="O187" ca="1">IF($A187="S",VTOTALBM,IF($A187=0,0,ROUND(SomaAgrupBM,15-13*ORÇAMENTO!$AF$11)))</f>
        <v>0</v>
      </c>
      <c r="Q187" s="337"/>
      <c r="R187" s="338"/>
      <c r="T187" s="117" t="str">
        <f t="shared" ca="1" si="5"/>
        <v/>
      </c>
      <c r="U187" s="163" t="str">
        <f t="shared" ca="1" si="6"/>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7"/>
        <v>0</v>
      </c>
      <c r="Z187" s="473"/>
      <c r="AB187" s="337"/>
      <c r="AC187" s="437"/>
      <c r="AD187" s="437"/>
      <c r="AE187" s="437"/>
      <c r="AF187" s="437"/>
      <c r="AG187" s="437"/>
      <c r="AH187" s="437"/>
      <c r="AI187" s="437"/>
      <c r="AJ187" s="437"/>
      <c r="AK187" s="437"/>
      <c r="AL187" s="437"/>
      <c r="AM187" s="338"/>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ht="25.5" x14ac:dyDescent="0.2">
      <c r="A188" t="str">
        <f ca="1">ORÇAMENTO!C188</f>
        <v>S</v>
      </c>
      <c r="B188">
        <f ca="1">ORÇAMENTO!D188</f>
        <v>0</v>
      </c>
      <c r="C188" s="114" t="str">
        <f t="shared" ca="1" si="1"/>
        <v>F</v>
      </c>
      <c r="D188" s="117" t="str">
        <f ca="1">ORÇAMENTO!O188</f>
        <v>1.9.3.0.3.</v>
      </c>
      <c r="E188" s="163" t="str">
        <f t="shared" ca="1" si="2"/>
        <v>DISJUNTOR BIPOLAR TIPO DIN, CORRENTE NOMINAL DE 40A - FORNECIMENTO E INSTALAÇÃO. AF_07/2025</v>
      </c>
      <c r="F188" s="164" t="str" cm="1">
        <f t="array" aca="1" ref="F188" ca="1">IF(RegimeExecucao="Global","",ORÇAMENTO.Unidade)</f>
        <v>UN</v>
      </c>
      <c r="G188" s="122" cm="1">
        <f t="array" aca="1" ref="G188" ca="1">IF(RegimeExecucao="Global","",ORÇAMENTO!T188)</f>
        <v>30</v>
      </c>
      <c r="H188" s="122" cm="1">
        <f t="array" aca="1" ref="H188" ca="1">IF(RegimeExecucao="Global","",ORÇAMENTO!W188)</f>
        <v>77.84</v>
      </c>
      <c r="I188" s="125">
        <f ca="1">ORÇAMENTO!X188</f>
        <v>2335.1999999999998</v>
      </c>
      <c r="J188" s="333" cm="1">
        <f t="array" aca="1" ref="J188" ca="1">IF($A188="S",IF(CAIXA.Modo,BM.AFAnterior,BM.MEDAnterior),IF(AND(RegimeExecucao="Global",$I188&gt;0,COUNTIF($AB$13:$AM$13,BM.medicao-1)&gt;0),M188/$I188*100,0))</f>
        <v>0</v>
      </c>
      <c r="K188" s="122">
        <f t="shared" ca="1" si="3"/>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4"/>
        <v>0</v>
      </c>
      <c r="O188" s="125" cm="1">
        <f t="array" aca="1" ref="O188" ca="1">IF($A188="S",VTOTALBM,IF($A188=0,0,ROUND(SomaAgrupBM,15-13*ORÇAMENTO!$AF$11)))</f>
        <v>0</v>
      </c>
      <c r="Q188" s="337"/>
      <c r="R188" s="338"/>
      <c r="T188" s="117" t="str">
        <f t="shared" ca="1" si="5"/>
        <v/>
      </c>
      <c r="U188" s="163" t="str">
        <f t="shared" ca="1" si="6"/>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7"/>
        <v>0</v>
      </c>
      <c r="Z188" s="473"/>
      <c r="AB188" s="337"/>
      <c r="AC188" s="437"/>
      <c r="AD188" s="437"/>
      <c r="AE188" s="437"/>
      <c r="AF188" s="437"/>
      <c r="AG188" s="437"/>
      <c r="AH188" s="437"/>
      <c r="AI188" s="437"/>
      <c r="AJ188" s="437"/>
      <c r="AK188" s="437"/>
      <c r="AL188" s="437"/>
      <c r="AM188" s="338"/>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ht="25.5" x14ac:dyDescent="0.2">
      <c r="A189" t="str">
        <f ca="1">ORÇAMENTO!C189</f>
        <v>S</v>
      </c>
      <c r="B189">
        <f ca="1">ORÇAMENTO!D189</f>
        <v>0</v>
      </c>
      <c r="C189" s="114" t="str">
        <f t="shared" ca="1" si="1"/>
        <v>F</v>
      </c>
      <c r="D189" s="117" t="str">
        <f ca="1">ORÇAMENTO!O189</f>
        <v>1.9.3.0.4.</v>
      </c>
      <c r="E189" s="163" t="str">
        <f t="shared" ca="1" si="2"/>
        <v>DISJUNTOR BIPOLAR TIPO DIN, CORRENTE NOMINAL DE 50A - FORNECIMENTO E INSTALAÇÃO. AF_07/2025</v>
      </c>
      <c r="F189" s="164" t="str" cm="1">
        <f t="array" aca="1" ref="F189" ca="1">IF(RegimeExecucao="Global","",ORÇAMENTO.Unidade)</f>
        <v>UN</v>
      </c>
      <c r="G189" s="122" cm="1">
        <f t="array" aca="1" ref="G189" ca="1">IF(RegimeExecucao="Global","",ORÇAMENTO!T189)</f>
        <v>30</v>
      </c>
      <c r="H189" s="122" cm="1">
        <f t="array" aca="1" ref="H189" ca="1">IF(RegimeExecucao="Global","",ORÇAMENTO!W189)</f>
        <v>85.78</v>
      </c>
      <c r="I189" s="125">
        <f ca="1">ORÇAMENTO!X189</f>
        <v>2573.4</v>
      </c>
      <c r="J189" s="333" cm="1">
        <f t="array" aca="1" ref="J189" ca="1">IF($A189="S",IF(CAIXA.Modo,BM.AFAnterior,BM.MEDAnterior),IF(AND(RegimeExecucao="Global",$I189&gt;0,COUNTIF($AB$13:$AM$13,BM.medicao-1)&gt;0),M189/$I189*100,0))</f>
        <v>0</v>
      </c>
      <c r="K189" s="122">
        <f t="shared" ca="1" si="3"/>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4"/>
        <v>0</v>
      </c>
      <c r="O189" s="125" cm="1">
        <f t="array" aca="1" ref="O189" ca="1">IF($A189="S",VTOTALBM,IF($A189=0,0,ROUND(SomaAgrupBM,15-13*ORÇAMENTO!$AF$11)))</f>
        <v>0</v>
      </c>
      <c r="Q189" s="337"/>
      <c r="R189" s="338"/>
      <c r="T189" s="117" t="str">
        <f t="shared" ca="1" si="5"/>
        <v/>
      </c>
      <c r="U189" s="163" t="str">
        <f t="shared" ca="1" si="6"/>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7"/>
        <v>0</v>
      </c>
      <c r="Z189" s="473"/>
      <c r="AB189" s="337"/>
      <c r="AC189" s="437"/>
      <c r="AD189" s="437"/>
      <c r="AE189" s="437"/>
      <c r="AF189" s="437"/>
      <c r="AG189" s="437"/>
      <c r="AH189" s="437"/>
      <c r="AI189" s="437"/>
      <c r="AJ189" s="437"/>
      <c r="AK189" s="437"/>
      <c r="AL189" s="437"/>
      <c r="AM189" s="338"/>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x14ac:dyDescent="0.2">
      <c r="A190">
        <f ca="1">ORÇAMENTO!C190</f>
        <v>3</v>
      </c>
      <c r="B190">
        <f ca="1">ORÇAMENTO!D190</f>
        <v>3</v>
      </c>
      <c r="C190" s="114" t="str">
        <f t="shared" ca="1" si="1"/>
        <v>F</v>
      </c>
      <c r="D190" s="117" t="str">
        <f ca="1">ORÇAMENTO!O190</f>
        <v>1.9.4.</v>
      </c>
      <c r="E190" s="163" t="str">
        <f t="shared" si="2"/>
        <v>LUMINÁRIAS</v>
      </c>
      <c r="F190" s="164" t="str" cm="1">
        <f t="array" aca="1" ref="F190" ca="1">IF(RegimeExecucao="Global","",ORÇAMENTO.Unidade)</f>
        <v>-</v>
      </c>
      <c r="G190" s="122" cm="1">
        <f t="array" aca="1" ref="G190" ca="1">IF(RegimeExecucao="Global","",ORÇAMENTO!T190)</f>
        <v>0</v>
      </c>
      <c r="H190" s="122" cm="1">
        <f t="array" aca="1" ref="H190" ca="1">IF(RegimeExecucao="Global","",ORÇAMENTO!W190)</f>
        <v>0</v>
      </c>
      <c r="I190" s="125">
        <f ca="1">ORÇAMENTO!X190</f>
        <v>11367</v>
      </c>
      <c r="J190" s="333" cm="1">
        <f t="array" aca="1" ref="J190" ca="1">IF($A190="S",IF(CAIXA.Modo,BM.AFAnterior,BM.MEDAnterior),IF(AND(RegimeExecucao="Global",$I190&gt;0,COUNTIF($AB$13:$AM$13,BM.medicao-1)&gt;0),M190/$I190*100,0))</f>
        <v>0</v>
      </c>
      <c r="K190" s="122">
        <f t="shared" ca="1" si="3"/>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4"/>
        <v>0</v>
      </c>
      <c r="O190" s="125" cm="1">
        <f t="array" aca="1" ref="O190" ca="1">IF($A190="S",VTOTALBM,IF($A190=0,0,ROUND(SomaAgrupBM,15-13*ORÇAMENTO!$AF$11)))</f>
        <v>0</v>
      </c>
      <c r="Q190" s="337"/>
      <c r="R190" s="338"/>
      <c r="T190" s="117" t="str">
        <f t="shared" ca="1" si="5"/>
        <v/>
      </c>
      <c r="U190" s="163" t="str">
        <f t="shared" ca="1" si="6"/>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7"/>
        <v>0</v>
      </c>
      <c r="Z190" s="473"/>
      <c r="AB190" s="337"/>
      <c r="AC190" s="437"/>
      <c r="AD190" s="437"/>
      <c r="AE190" s="437"/>
      <c r="AF190" s="437"/>
      <c r="AG190" s="437"/>
      <c r="AH190" s="437"/>
      <c r="AI190" s="437"/>
      <c r="AJ190" s="437"/>
      <c r="AK190" s="437"/>
      <c r="AL190" s="437"/>
      <c r="AM190" s="338"/>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25.5" x14ac:dyDescent="0.2">
      <c r="A191" t="str">
        <f ca="1">ORÇAMENTO!C191</f>
        <v>S</v>
      </c>
      <c r="B191">
        <f ca="1">ORÇAMENTO!D191</f>
        <v>0</v>
      </c>
      <c r="C191" s="114" t="str">
        <f t="shared" ca="1" si="1"/>
        <v>F</v>
      </c>
      <c r="D191" s="117" t="str">
        <f ca="1">ORÇAMENTO!O191</f>
        <v>1.9.4.0.1.</v>
      </c>
      <c r="E191" s="163" t="str">
        <f t="shared" ca="1" si="2"/>
        <v>LUMINÁRIA TIPO PLAFON CIRCULAR, DE SOBREPOR, COM LED DE 12/13 W - FORNECIMENTO E INSTALAÇÃO. AF_09/2024</v>
      </c>
      <c r="F191" s="164" t="str" cm="1">
        <f t="array" aca="1" ref="F191" ca="1">IF(RegimeExecucao="Global","",ORÇAMENTO.Unidade)</f>
        <v>UN</v>
      </c>
      <c r="G191" s="122" cm="1">
        <f t="array" aca="1" ref="G191" ca="1">IF(RegimeExecucao="Global","",ORÇAMENTO!T191)</f>
        <v>210</v>
      </c>
      <c r="H191" s="122" cm="1">
        <f t="array" aca="1" ref="H191" ca="1">IF(RegimeExecucao="Global","",ORÇAMENTO!W191)</f>
        <v>37.64</v>
      </c>
      <c r="I191" s="125">
        <f ca="1">ORÇAMENTO!X191</f>
        <v>7904.4</v>
      </c>
      <c r="J191" s="333" cm="1">
        <f t="array" aca="1" ref="J191" ca="1">IF($A191="S",IF(CAIXA.Modo,BM.AFAnterior,BM.MEDAnterior),IF(AND(RegimeExecucao="Global",$I191&gt;0,COUNTIF($AB$13:$AM$13,BM.medicao-1)&gt;0),M191/$I191*100,0))</f>
        <v>0</v>
      </c>
      <c r="K191" s="122">
        <f t="shared" ca="1" si="3"/>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4"/>
        <v>0</v>
      </c>
      <c r="O191" s="125" cm="1">
        <f t="array" aca="1" ref="O191" ca="1">IF($A191="S",VTOTALBM,IF($A191=0,0,ROUND(SomaAgrupBM,15-13*ORÇAMENTO!$AF$11)))</f>
        <v>0</v>
      </c>
      <c r="Q191" s="337"/>
      <c r="R191" s="338"/>
      <c r="T191" s="117" t="str">
        <f t="shared" ca="1" si="5"/>
        <v/>
      </c>
      <c r="U191" s="163" t="str">
        <f t="shared" ca="1" si="6"/>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7"/>
        <v>0</v>
      </c>
      <c r="Z191" s="473"/>
      <c r="AB191" s="337"/>
      <c r="AC191" s="437"/>
      <c r="AD191" s="437"/>
      <c r="AE191" s="437"/>
      <c r="AF191" s="437"/>
      <c r="AG191" s="437"/>
      <c r="AH191" s="437"/>
      <c r="AI191" s="437"/>
      <c r="AJ191" s="437"/>
      <c r="AK191" s="437"/>
      <c r="AL191" s="437"/>
      <c r="AM191" s="338"/>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38.25" x14ac:dyDescent="0.2">
      <c r="A192" t="str">
        <f ca="1">ORÇAMENTO!C192</f>
        <v>S</v>
      </c>
      <c r="B192">
        <f ca="1">ORÇAMENTO!D192</f>
        <v>0</v>
      </c>
      <c r="C192" s="114" t="str">
        <f t="shared" ca="1" si="1"/>
        <v>F</v>
      </c>
      <c r="D192" s="117" t="str">
        <f ca="1">ORÇAMENTO!O192</f>
        <v>1.9.4.0.2.</v>
      </c>
      <c r="E192" s="163" t="str">
        <f t="shared" ca="1" si="2"/>
        <v>LUMINÁRIA ARANDELA TIPO TARTARUGA, DE SOBREPOR, COM 1 LÂMPADA LED DE 6 W, SEM REATOR - FORNECIMENTO E INSTALAÇÃO. AF_09/2024</v>
      </c>
      <c r="F192" s="164" t="str" cm="1">
        <f t="array" aca="1" ref="F192" ca="1">IF(RegimeExecucao="Global","",ORÇAMENTO.Unidade)</f>
        <v>UN</v>
      </c>
      <c r="G192" s="122" cm="1">
        <f t="array" aca="1" ref="G192" ca="1">IF(RegimeExecucao="Global","",ORÇAMENTO!T192)</f>
        <v>30</v>
      </c>
      <c r="H192" s="122" cm="1">
        <f t="array" aca="1" ref="H192" ca="1">IF(RegimeExecucao="Global","",ORÇAMENTO!W192)</f>
        <v>115.42</v>
      </c>
      <c r="I192" s="125">
        <f ca="1">ORÇAMENTO!X192</f>
        <v>3462.6</v>
      </c>
      <c r="J192" s="333" cm="1">
        <f t="array" aca="1" ref="J192" ca="1">IF($A192="S",IF(CAIXA.Modo,BM.AFAnterior,BM.MEDAnterior),IF(AND(RegimeExecucao="Global",$I192&gt;0,COUNTIF($AB$13:$AM$13,BM.medicao-1)&gt;0),M192/$I192*100,0))</f>
        <v>0</v>
      </c>
      <c r="K192" s="122">
        <f t="shared" ca="1" si="3"/>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4"/>
        <v>0</v>
      </c>
      <c r="O192" s="125" cm="1">
        <f t="array" aca="1" ref="O192" ca="1">IF($A192="S",VTOTALBM,IF($A192=0,0,ROUND(SomaAgrupBM,15-13*ORÇAMENTO!$AF$11)))</f>
        <v>0</v>
      </c>
      <c r="Q192" s="337"/>
      <c r="R192" s="338"/>
      <c r="T192" s="117" t="str">
        <f t="shared" ca="1" si="5"/>
        <v/>
      </c>
      <c r="U192" s="163" t="str">
        <f t="shared" ca="1" si="6"/>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7"/>
        <v>0</v>
      </c>
      <c r="Z192" s="473"/>
      <c r="AB192" s="337"/>
      <c r="AC192" s="437"/>
      <c r="AD192" s="437"/>
      <c r="AE192" s="437"/>
      <c r="AF192" s="437"/>
      <c r="AG192" s="437"/>
      <c r="AH192" s="437"/>
      <c r="AI192" s="437"/>
      <c r="AJ192" s="437"/>
      <c r="AK192" s="437"/>
      <c r="AL192" s="437"/>
      <c r="AM192" s="338"/>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x14ac:dyDescent="0.2">
      <c r="A193">
        <f ca="1">ORÇAMENTO!C193</f>
        <v>2</v>
      </c>
      <c r="B193">
        <f ca="1">ORÇAMENTO!D193</f>
        <v>26</v>
      </c>
      <c r="C193" s="114" t="str">
        <f t="shared" ca="1" si="1"/>
        <v>F</v>
      </c>
      <c r="D193" s="117" t="str">
        <f ca="1">ORÇAMENTO!O193</f>
        <v>1.10.</v>
      </c>
      <c r="E193" s="163" t="str">
        <f t="shared" si="2"/>
        <v>REVESTIMENTOS</v>
      </c>
      <c r="F193" s="164" t="str" cm="1">
        <f t="array" aca="1" ref="F193" ca="1">IF(RegimeExecucao="Global","",ORÇAMENTO.Unidade)</f>
        <v>-</v>
      </c>
      <c r="G193" s="122" cm="1">
        <f t="array" aca="1" ref="G193" ca="1">IF(RegimeExecucao="Global","",ORÇAMENTO!T193)</f>
        <v>0</v>
      </c>
      <c r="H193" s="122" cm="1">
        <f t="array" aca="1" ref="H193" ca="1">IF(RegimeExecucao="Global","",ORÇAMENTO!W193)</f>
        <v>0</v>
      </c>
      <c r="I193" s="125">
        <f ca="1">ORÇAMENTO!X193</f>
        <v>658491.43999999994</v>
      </c>
      <c r="J193" s="333" cm="1">
        <f t="array" aca="1" ref="J193" ca="1">IF($A193="S",IF(CAIXA.Modo,BM.AFAnterior,BM.MEDAnterior),IF(AND(RegimeExecucao="Global",$I193&gt;0,COUNTIF($AB$13:$AM$13,BM.medicao-1)&gt;0),M193/$I193*100,0))</f>
        <v>0</v>
      </c>
      <c r="K193" s="122">
        <f t="shared" ca="1" si="3"/>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4"/>
        <v>0</v>
      </c>
      <c r="O193" s="125" cm="1">
        <f t="array" aca="1" ref="O193" ca="1">IF($A193="S",VTOTALBM,IF($A193=0,0,ROUND(SomaAgrupBM,15-13*ORÇAMENTO!$AF$11)))</f>
        <v>0</v>
      </c>
      <c r="Q193" s="337"/>
      <c r="R193" s="338"/>
      <c r="T193" s="117" t="str">
        <f t="shared" ca="1" si="5"/>
        <v/>
      </c>
      <c r="U193" s="163" t="str">
        <f t="shared" ca="1" si="6"/>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7"/>
        <v>0</v>
      </c>
      <c r="Z193" s="473"/>
      <c r="AB193" s="337"/>
      <c r="AC193" s="437"/>
      <c r="AD193" s="437"/>
      <c r="AE193" s="437"/>
      <c r="AF193" s="437"/>
      <c r="AG193" s="437"/>
      <c r="AH193" s="437"/>
      <c r="AI193" s="437"/>
      <c r="AJ193" s="437"/>
      <c r="AK193" s="437"/>
      <c r="AL193" s="437"/>
      <c r="AM193" s="338"/>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x14ac:dyDescent="0.2">
      <c r="A194">
        <f ca="1">ORÇAMENTO!C194</f>
        <v>3</v>
      </c>
      <c r="B194">
        <f ca="1">ORÇAMENTO!D194</f>
        <v>2</v>
      </c>
      <c r="C194" s="114" t="str">
        <f t="shared" ca="1" si="1"/>
        <v>F</v>
      </c>
      <c r="D194" s="117" t="str">
        <f ca="1">ORÇAMENTO!O194</f>
        <v>1.10.1.</v>
      </c>
      <c r="E194" s="163" t="str">
        <f t="shared" si="2"/>
        <v>PEITORIS</v>
      </c>
      <c r="F194" s="164" t="str" cm="1">
        <f t="array" aca="1" ref="F194" ca="1">IF(RegimeExecucao="Global","",ORÇAMENTO.Unidade)</f>
        <v>-</v>
      </c>
      <c r="G194" s="122" cm="1">
        <f t="array" aca="1" ref="G194" ca="1">IF(RegimeExecucao="Global","",ORÇAMENTO!T194)</f>
        <v>0</v>
      </c>
      <c r="H194" s="122" cm="1">
        <f t="array" aca="1" ref="H194" ca="1">IF(RegimeExecucao="Global","",ORÇAMENTO!W194)</f>
        <v>0</v>
      </c>
      <c r="I194" s="125">
        <f ca="1">ORÇAMENTO!X194</f>
        <v>36545.58</v>
      </c>
      <c r="J194" s="333" cm="1">
        <f t="array" aca="1" ref="J194" ca="1">IF($A194="S",IF(CAIXA.Modo,BM.AFAnterior,BM.MEDAnterior),IF(AND(RegimeExecucao="Global",$I194&gt;0,COUNTIF($AB$13:$AM$13,BM.medicao-1)&gt;0),M194/$I194*100,0))</f>
        <v>0</v>
      </c>
      <c r="K194" s="122">
        <f t="shared" ca="1" si="3"/>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4"/>
        <v>0</v>
      </c>
      <c r="O194" s="125" cm="1">
        <f t="array" aca="1" ref="O194" ca="1">IF($A194="S",VTOTALBM,IF($A194=0,0,ROUND(SomaAgrupBM,15-13*ORÇAMENTO!$AF$11)))</f>
        <v>0</v>
      </c>
      <c r="Q194" s="337"/>
      <c r="R194" s="338"/>
      <c r="T194" s="117" t="str">
        <f t="shared" ca="1" si="5"/>
        <v/>
      </c>
      <c r="U194" s="163" t="str">
        <f t="shared" ca="1" si="6"/>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7"/>
        <v>0</v>
      </c>
      <c r="Z194" s="473"/>
      <c r="AB194" s="337"/>
      <c r="AC194" s="437"/>
      <c r="AD194" s="437"/>
      <c r="AE194" s="437"/>
      <c r="AF194" s="437"/>
      <c r="AG194" s="437"/>
      <c r="AH194" s="437"/>
      <c r="AI194" s="437"/>
      <c r="AJ194" s="437"/>
      <c r="AK194" s="437"/>
      <c r="AL194" s="437"/>
      <c r="AM194" s="338"/>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25.5" x14ac:dyDescent="0.2">
      <c r="A195" t="str">
        <f ca="1">ORÇAMENTO!C195</f>
        <v>S</v>
      </c>
      <c r="B195">
        <f ca="1">ORÇAMENTO!D195</f>
        <v>0</v>
      </c>
      <c r="C195" s="114" t="str">
        <f t="shared" ca="1" si="1"/>
        <v>F</v>
      </c>
      <c r="D195" s="117" t="str">
        <f ca="1">ORÇAMENTO!O195</f>
        <v>1.10.1.0.1.</v>
      </c>
      <c r="E195" s="163" t="str">
        <f t="shared" ca="1" si="2"/>
        <v>PEITORIL LINEAR EM GRANITO OU MÁRMORE, L = 15CM, ASSENTADO COM ARGAMASSA 1:6 COM ADITIVO. AF_11/2020</v>
      </c>
      <c r="F195" s="164" t="str" cm="1">
        <f t="array" aca="1" ref="F195" ca="1">IF(RegimeExecucao="Global","",ORÇAMENTO.Unidade)</f>
        <v>M</v>
      </c>
      <c r="G195" s="122" cm="1">
        <f t="array" aca="1" ref="G195" ca="1">IF(RegimeExecucao="Global","",ORÇAMENTO!T195)</f>
        <v>162</v>
      </c>
      <c r="H195" s="122" cm="1">
        <f t="array" aca="1" ref="H195" ca="1">IF(RegimeExecucao="Global","",ORÇAMENTO!W195)</f>
        <v>225.59</v>
      </c>
      <c r="I195" s="125">
        <f ca="1">ORÇAMENTO!X195</f>
        <v>36545.58</v>
      </c>
      <c r="J195" s="333" cm="1">
        <f t="array" aca="1" ref="J195" ca="1">IF($A195="S",IF(CAIXA.Modo,BM.AFAnterior,BM.MEDAnterior),IF(AND(RegimeExecucao="Global",$I195&gt;0,COUNTIF($AB$13:$AM$13,BM.medicao-1)&gt;0),M195/$I195*100,0))</f>
        <v>0</v>
      </c>
      <c r="K195" s="122">
        <f t="shared" ca="1" si="3"/>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4"/>
        <v>0</v>
      </c>
      <c r="O195" s="125" cm="1">
        <f t="array" aca="1" ref="O195" ca="1">IF($A195="S",VTOTALBM,IF($A195=0,0,ROUND(SomaAgrupBM,15-13*ORÇAMENTO!$AF$11)))</f>
        <v>0</v>
      </c>
      <c r="Q195" s="337"/>
      <c r="R195" s="338"/>
      <c r="T195" s="117" t="str">
        <f t="shared" ca="1" si="5"/>
        <v/>
      </c>
      <c r="U195" s="163" t="str">
        <f t="shared" ca="1" si="6"/>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7"/>
        <v>0</v>
      </c>
      <c r="Z195" s="473"/>
      <c r="AB195" s="337"/>
      <c r="AC195" s="437"/>
      <c r="AD195" s="437"/>
      <c r="AE195" s="437"/>
      <c r="AF195" s="437"/>
      <c r="AG195" s="437"/>
      <c r="AH195" s="437"/>
      <c r="AI195" s="437"/>
      <c r="AJ195" s="437"/>
      <c r="AK195" s="437"/>
      <c r="AL195" s="437"/>
      <c r="AM195" s="338"/>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x14ac:dyDescent="0.2">
      <c r="A196">
        <f ca="1">ORÇAMENTO!C196</f>
        <v>3</v>
      </c>
      <c r="B196">
        <f ca="1">ORÇAMENTO!D196</f>
        <v>7</v>
      </c>
      <c r="C196" s="114" t="str">
        <f t="shared" ca="1" si="1"/>
        <v>F</v>
      </c>
      <c r="D196" s="117" t="str">
        <f ca="1">ORÇAMENTO!O196</f>
        <v>1.10.2.</v>
      </c>
      <c r="E196" s="163" t="str">
        <f t="shared" si="2"/>
        <v>EXTERNO</v>
      </c>
      <c r="F196" s="164" t="str" cm="1">
        <f t="array" aca="1" ref="F196" ca="1">IF(RegimeExecucao="Global","",ORÇAMENTO.Unidade)</f>
        <v>-</v>
      </c>
      <c r="G196" s="122" cm="1">
        <f t="array" aca="1" ref="G196" ca="1">IF(RegimeExecucao="Global","",ORÇAMENTO!T196)</f>
        <v>0</v>
      </c>
      <c r="H196" s="122" cm="1">
        <f t="array" aca="1" ref="H196" ca="1">IF(RegimeExecucao="Global","",ORÇAMENTO!W196)</f>
        <v>0</v>
      </c>
      <c r="I196" s="125">
        <f ca="1">ORÇAMENTO!X196</f>
        <v>173792.96</v>
      </c>
      <c r="J196" s="333" cm="1">
        <f t="array" aca="1" ref="J196" ca="1">IF($A196="S",IF(CAIXA.Modo,BM.AFAnterior,BM.MEDAnterior),IF(AND(RegimeExecucao="Global",$I196&gt;0,COUNTIF($AB$13:$AM$13,BM.medicao-1)&gt;0),M196/$I196*100,0))</f>
        <v>0</v>
      </c>
      <c r="K196" s="122">
        <f t="shared" ca="1" si="3"/>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4"/>
        <v>0</v>
      </c>
      <c r="O196" s="125" cm="1">
        <f t="array" aca="1" ref="O196" ca="1">IF($A196="S",VTOTALBM,IF($A196=0,0,ROUND(SomaAgrupBM,15-13*ORÇAMENTO!$AF$11)))</f>
        <v>0</v>
      </c>
      <c r="Q196" s="337"/>
      <c r="R196" s="338"/>
      <c r="T196" s="117" t="str">
        <f t="shared" ca="1" si="5"/>
        <v/>
      </c>
      <c r="U196" s="163" t="str">
        <f t="shared" ca="1" si="6"/>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7"/>
        <v>0</v>
      </c>
      <c r="Z196" s="473"/>
      <c r="AB196" s="337"/>
      <c r="AC196" s="437"/>
      <c r="AD196" s="437"/>
      <c r="AE196" s="437"/>
      <c r="AF196" s="437"/>
      <c r="AG196" s="437"/>
      <c r="AH196" s="437"/>
      <c r="AI196" s="437"/>
      <c r="AJ196" s="437"/>
      <c r="AK196" s="437"/>
      <c r="AL196" s="437"/>
      <c r="AM196" s="338"/>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x14ac:dyDescent="0.2">
      <c r="A197">
        <f ca="1">ORÇAMENTO!C197</f>
        <v>4</v>
      </c>
      <c r="B197">
        <f ca="1">ORÇAMENTO!D197</f>
        <v>3</v>
      </c>
      <c r="C197" s="114" t="str">
        <f t="shared" ca="1" si="1"/>
        <v>F</v>
      </c>
      <c r="D197" s="117" t="str">
        <f ca="1">ORÇAMENTO!O197</f>
        <v>1.10.2.1.</v>
      </c>
      <c r="E197" s="163" t="str">
        <f t="shared" si="2"/>
        <v>PISOS</v>
      </c>
      <c r="F197" s="164" t="str" cm="1">
        <f t="array" aca="1" ref="F197" ca="1">IF(RegimeExecucao="Global","",ORÇAMENTO.Unidade)</f>
        <v>-</v>
      </c>
      <c r="G197" s="122" cm="1">
        <f t="array" aca="1" ref="G197" ca="1">IF(RegimeExecucao="Global","",ORÇAMENTO!T197)</f>
        <v>0</v>
      </c>
      <c r="H197" s="122" cm="1">
        <f t="array" aca="1" ref="H197" ca="1">IF(RegimeExecucao="Global","",ORÇAMENTO!W197)</f>
        <v>0</v>
      </c>
      <c r="I197" s="125">
        <f ca="1">ORÇAMENTO!X197</f>
        <v>5102.67</v>
      </c>
      <c r="J197" s="333" cm="1">
        <f t="array" aca="1" ref="J197" ca="1">IF($A197="S",IF(CAIXA.Modo,BM.AFAnterior,BM.MEDAnterior),IF(AND(RegimeExecucao="Global",$I197&gt;0,COUNTIF($AB$13:$AM$13,BM.medicao-1)&gt;0),M197/$I197*100,0))</f>
        <v>0</v>
      </c>
      <c r="K197" s="122">
        <f t="shared" ca="1" si="3"/>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4"/>
        <v>0</v>
      </c>
      <c r="O197" s="125" cm="1">
        <f t="array" aca="1" ref="O197" ca="1">IF($A197="S",VTOTALBM,IF($A197=0,0,ROUND(SomaAgrupBM,15-13*ORÇAMENTO!$AF$11)))</f>
        <v>0</v>
      </c>
      <c r="Q197" s="337"/>
      <c r="R197" s="338"/>
      <c r="T197" s="117" t="str">
        <f t="shared" ca="1" si="5"/>
        <v/>
      </c>
      <c r="U197" s="163" t="str">
        <f t="shared" ca="1" si="6"/>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7"/>
        <v>0</v>
      </c>
      <c r="Z197" s="473"/>
      <c r="AB197" s="337"/>
      <c r="AC197" s="437"/>
      <c r="AD197" s="437"/>
      <c r="AE197" s="437"/>
      <c r="AF197" s="437"/>
      <c r="AG197" s="437"/>
      <c r="AH197" s="437"/>
      <c r="AI197" s="437"/>
      <c r="AJ197" s="437"/>
      <c r="AK197" s="437"/>
      <c r="AL197" s="437"/>
      <c r="AM197" s="338"/>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38.25" x14ac:dyDescent="0.2">
      <c r="A198" t="str">
        <f ca="1">ORÇAMENTO!C198</f>
        <v>S</v>
      </c>
      <c r="B198">
        <f ca="1">ORÇAMENTO!D198</f>
        <v>0</v>
      </c>
      <c r="C198" s="114" t="str">
        <f t="shared" ca="1" si="1"/>
        <v>F</v>
      </c>
      <c r="D198" s="117" t="str">
        <f ca="1">ORÇAMENTO!O198</f>
        <v>1.10.2.1.1.</v>
      </c>
      <c r="E198" s="163" t="str">
        <f t="shared" ca="1" si="2"/>
        <v>LASTRO COM MATERIAL GRANULAR (PEDRA BRITADA N.2), APLICADO EM PISOS OU LAJES SOBRE SOLO, ESPESSURA DE *10 CM*. AF_01/2024</v>
      </c>
      <c r="F198" s="164" t="str" cm="1">
        <f t="array" aca="1" ref="F198" ca="1">IF(RegimeExecucao="Global","",ORÇAMENTO.Unidade)</f>
        <v>M3</v>
      </c>
      <c r="G198" s="122" cm="1">
        <f t="array" aca="1" ref="G198" ca="1">IF(RegimeExecucao="Global","",ORÇAMENTO!T198)</f>
        <v>7.98</v>
      </c>
      <c r="H198" s="122" cm="1">
        <f t="array" aca="1" ref="H198" ca="1">IF(RegimeExecucao="Global","",ORÇAMENTO!W198)</f>
        <v>222.19</v>
      </c>
      <c r="I198" s="125">
        <f ca="1">ORÇAMENTO!X198</f>
        <v>1773.08</v>
      </c>
      <c r="J198" s="333" cm="1">
        <f t="array" aca="1" ref="J198" ca="1">IF($A198="S",IF(CAIXA.Modo,BM.AFAnterior,BM.MEDAnterior),IF(AND(RegimeExecucao="Global",$I198&gt;0,COUNTIF($AB$13:$AM$13,BM.medicao-1)&gt;0),M198/$I198*100,0))</f>
        <v>0</v>
      </c>
      <c r="K198" s="122">
        <f t="shared" ca="1" si="3"/>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4"/>
        <v>0</v>
      </c>
      <c r="O198" s="125" cm="1">
        <f t="array" aca="1" ref="O198" ca="1">IF($A198="S",VTOTALBM,IF($A198=0,0,ROUND(SomaAgrupBM,15-13*ORÇAMENTO!$AF$11)))</f>
        <v>0</v>
      </c>
      <c r="Q198" s="337"/>
      <c r="R198" s="338"/>
      <c r="T198" s="117" t="str">
        <f t="shared" ca="1" si="5"/>
        <v/>
      </c>
      <c r="U198" s="163" t="str">
        <f t="shared" ca="1" si="6"/>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7"/>
        <v>0</v>
      </c>
      <c r="Z198" s="473"/>
      <c r="AB198" s="337"/>
      <c r="AC198" s="437"/>
      <c r="AD198" s="437"/>
      <c r="AE198" s="437"/>
      <c r="AF198" s="437"/>
      <c r="AG198" s="437"/>
      <c r="AH198" s="437"/>
      <c r="AI198" s="437"/>
      <c r="AJ198" s="437"/>
      <c r="AK198" s="437"/>
      <c r="AL198" s="437"/>
      <c r="AM198" s="338"/>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ht="38.25" x14ac:dyDescent="0.2">
      <c r="A199" t="str">
        <f ca="1">ORÇAMENTO!C199</f>
        <v>S</v>
      </c>
      <c r="B199">
        <f ca="1">ORÇAMENTO!D199</f>
        <v>0</v>
      </c>
      <c r="C199" s="114" t="str">
        <f ca="1">IF(OR($I199&gt;0,$A199=1,$A199=2,$A199=3,$A199=4),"F","")</f>
        <v>F</v>
      </c>
      <c r="D199" s="117" t="str">
        <f ca="1">ORÇAMENTO!O199</f>
        <v>1.10.2.1.2.</v>
      </c>
      <c r="E199" s="163" t="str">
        <f ca="1">ORÇAMENTO.Descricao</f>
        <v>EXECUÇÃO DE PASSEIO (CALÇADA) OU PISO DE CONCRETO COM CONCRETO MOLDADO IN LOCO, FEITO EM OBRA, ACABAMENTO CONVENCIONAL, NÃO ARMADO. AF_08/2022</v>
      </c>
      <c r="F199" s="164" t="str" cm="1">
        <f t="array" aca="1" ref="F199" ca="1">IF(RegimeExecucao="Global","",ORÇAMENTO.Unidade)</f>
        <v>M3</v>
      </c>
      <c r="G199" s="122" cm="1">
        <f t="array" aca="1" ref="G199" ca="1">IF(RegimeExecucao="Global","",ORÇAMENTO!T199)</f>
        <v>3.24</v>
      </c>
      <c r="H199" s="122" cm="1">
        <f t="array" aca="1" ref="H199" ca="1">IF(RegimeExecucao="Global","",ORÇAMENTO!W199)</f>
        <v>1027.6500000000001</v>
      </c>
      <c r="I199" s="125">
        <f ca="1">ORÇAMENTO!X199</f>
        <v>3329.59</v>
      </c>
      <c r="J199" s="333" cm="1">
        <f t="array" aca="1" ref="J199" ca="1">IF($A199="S",IF(CAIXA.Modo,BM.AFAnterior,BM.MEDAnterior),IF(AND(RegimeExecucao="Global",$I199&gt;0,COUNTIF($AB$13:$AM$13,BM.medicao-1)&gt;0),M199/$I199*100,0))</f>
        <v>0</v>
      </c>
      <c r="K199" s="122">
        <f ca="1">L199-J199</f>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ca="1">O199-M199</f>
        <v>0</v>
      </c>
      <c r="O199" s="125" cm="1">
        <f t="array" aca="1" ref="O199" ca="1">IF($A199="S",VTOTALBM,IF($A199=0,0,ROUND(SomaAgrupBM,15-13*ORÇAMENTO!$AF$11)))</f>
        <v>0</v>
      </c>
      <c r="Q199" s="337"/>
      <c r="R199" s="338"/>
      <c r="T199" s="117" t="str">
        <f ca="1">IF($W199&gt;0,$D199,"")</f>
        <v/>
      </c>
      <c r="U199" s="163" t="str">
        <f ca="1">IF($W199&gt;0,$E199,"")</f>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ca="1">AO199-O199</f>
        <v>0</v>
      </c>
      <c r="Z199" s="473"/>
      <c r="AB199" s="337"/>
      <c r="AC199" s="437"/>
      <c r="AD199" s="437"/>
      <c r="AE199" s="437"/>
      <c r="AF199" s="437"/>
      <c r="AG199" s="437"/>
      <c r="AH199" s="437"/>
      <c r="AI199" s="437"/>
      <c r="AJ199" s="437"/>
      <c r="AK199" s="437"/>
      <c r="AL199" s="437"/>
      <c r="AM199" s="338"/>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x14ac:dyDescent="0.2">
      <c r="A200">
        <f ca="1">ORÇAMENTO!C200</f>
        <v>4</v>
      </c>
      <c r="B200">
        <f ca="1">ORÇAMENTO!D200</f>
        <v>3</v>
      </c>
      <c r="C200" s="114" t="str">
        <f t="shared" ca="1" si="1"/>
        <v>F</v>
      </c>
      <c r="D200" s="117" t="str">
        <f ca="1">ORÇAMENTO!O200</f>
        <v>1.10.2.2.</v>
      </c>
      <c r="E200" s="163" t="str">
        <f t="shared" si="2"/>
        <v>PAREDES</v>
      </c>
      <c r="F200" s="164" t="str" cm="1">
        <f t="array" aca="1" ref="F200" ca="1">IF(RegimeExecucao="Global","",ORÇAMENTO.Unidade)</f>
        <v>-</v>
      </c>
      <c r="G200" s="122" cm="1">
        <f t="array" aca="1" ref="G200" ca="1">IF(RegimeExecucao="Global","",ORÇAMENTO!T200)</f>
        <v>0</v>
      </c>
      <c r="H200" s="122" cm="1">
        <f t="array" aca="1" ref="H200" ca="1">IF(RegimeExecucao="Global","",ORÇAMENTO!W200)</f>
        <v>0</v>
      </c>
      <c r="I200" s="125">
        <f ca="1">ORÇAMENTO!X200</f>
        <v>168690.29</v>
      </c>
      <c r="J200" s="333" cm="1">
        <f t="array" aca="1" ref="J200" ca="1">IF($A200="S",IF(CAIXA.Modo,BM.AFAnterior,BM.MEDAnterior),IF(AND(RegimeExecucao="Global",$I200&gt;0,COUNTIF($AB$13:$AM$13,BM.medicao-1)&gt;0),M200/$I200*100,0))</f>
        <v>0</v>
      </c>
      <c r="K200" s="122">
        <f t="shared" ca="1" si="3"/>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4"/>
        <v>0</v>
      </c>
      <c r="O200" s="125" cm="1">
        <f t="array" aca="1" ref="O200" ca="1">IF($A200="S",VTOTALBM,IF($A200=0,0,ROUND(SomaAgrupBM,15-13*ORÇAMENTO!$AF$11)))</f>
        <v>0</v>
      </c>
      <c r="Q200" s="337"/>
      <c r="R200" s="338"/>
      <c r="T200" s="117" t="str">
        <f t="shared" ca="1" si="5"/>
        <v/>
      </c>
      <c r="U200" s="163" t="str">
        <f t="shared" ca="1" si="6"/>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7"/>
        <v>0</v>
      </c>
      <c r="Z200" s="473"/>
      <c r="AB200" s="337"/>
      <c r="AC200" s="437"/>
      <c r="AD200" s="437"/>
      <c r="AE200" s="437"/>
      <c r="AF200" s="437"/>
      <c r="AG200" s="437"/>
      <c r="AH200" s="437"/>
      <c r="AI200" s="437"/>
      <c r="AJ200" s="437"/>
      <c r="AK200" s="437"/>
      <c r="AL200" s="437"/>
      <c r="AM200" s="338"/>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51" x14ac:dyDescent="0.2">
      <c r="A201" t="str">
        <f ca="1">ORÇAMENTO!C201</f>
        <v>S</v>
      </c>
      <c r="B201">
        <f ca="1">ORÇAMENTO!D201</f>
        <v>0</v>
      </c>
      <c r="C201" s="114" t="str">
        <f t="shared" ca="1" si="1"/>
        <v>F</v>
      </c>
      <c r="D201" s="117" t="str">
        <f ca="1">ORÇAMENTO!O201</f>
        <v>1.10.2.2.1.</v>
      </c>
      <c r="E201" s="163" t="str">
        <f t="shared" ca="1" si="2"/>
        <v>CHAPISCO APLICADO EM ALVENARIA (SEM PRESENÇA DE VÃOS) E ESTRUTURAS DE CONCRETO DE FACHADA, COM COLHER DE PEDREIRO. ARGAMASSA TRAÇO 1:3 COM PREPARO EM BETONEIRA 400L. AF_10/2022</v>
      </c>
      <c r="F201" s="164" t="str" cm="1">
        <f t="array" aca="1" ref="F201" ca="1">IF(RegimeExecucao="Global","",ORÇAMENTO.Unidade)</f>
        <v>M2</v>
      </c>
      <c r="G201" s="122" cm="1">
        <f t="array" aca="1" ref="G201" ca="1">IF(RegimeExecucao="Global","",ORÇAMENTO!T201)</f>
        <v>2545.5</v>
      </c>
      <c r="H201" s="122" cm="1">
        <f t="array" aca="1" ref="H201" ca="1">IF(RegimeExecucao="Global","",ORÇAMENTO!W201)</f>
        <v>9.26</v>
      </c>
      <c r="I201" s="125">
        <f ca="1">ORÇAMENTO!X201</f>
        <v>23571.33</v>
      </c>
      <c r="J201" s="333" cm="1">
        <f t="array" aca="1" ref="J201" ca="1">IF($A201="S",IF(CAIXA.Modo,BM.AFAnterior,BM.MEDAnterior),IF(AND(RegimeExecucao="Global",$I201&gt;0,COUNTIF($AB$13:$AM$13,BM.medicao-1)&gt;0),M201/$I201*100,0))</f>
        <v>0</v>
      </c>
      <c r="K201" s="122">
        <f t="shared" ca="1" si="3"/>
        <v>0</v>
      </c>
      <c r="L201" s="334" cm="1">
        <f t="array" aca="1" ref="L201" ca="1">IF($A201="S",IF(CAIXA.Modo,BM.AFAcumulado,BM.MEDAcumulado),IF(AND(RegimeExecucao="Global",$I201&gt;0,COUNTIF($AB$13:$AM$13,BM.medicao)&gt;0),O201/$I201*100,0))</f>
        <v>0</v>
      </c>
      <c r="M201" s="335" cm="1">
        <f t="array" aca="1" ref="M201" ca="1">IF($A201="S",VTOTALBM,IF($A201=0,0,ROUND(SomaAgrupBM,15-13*ORÇAMENTO!$AF$11)))</f>
        <v>0</v>
      </c>
      <c r="N201" s="336">
        <f t="shared" ca="1" si="4"/>
        <v>0</v>
      </c>
      <c r="O201" s="125" cm="1">
        <f t="array" aca="1" ref="O201" ca="1">IF($A201="S",VTOTALBM,IF($A201=0,0,ROUND(SomaAgrupBM,15-13*ORÇAMENTO!$AF$11)))</f>
        <v>0</v>
      </c>
      <c r="Q201" s="337"/>
      <c r="R201" s="338"/>
      <c r="T201" s="117" t="str">
        <f t="shared" ca="1" si="5"/>
        <v/>
      </c>
      <c r="U201" s="163" t="str">
        <f t="shared" ca="1" si="6"/>
        <v/>
      </c>
      <c r="V201" s="164" t="str" cm="1">
        <f t="array" aca="1" ref="V201" ca="1">IF(AND($W201&gt;0,RegimeExecucao="Unitário"),$F201,"")</f>
        <v/>
      </c>
      <c r="W201" s="454" cm="1">
        <f t="array" aca="1" ref="W201" ca="1">IF($Y201&gt;0,CHOOSE(MATCH(RegimeExecucao,{"Unitário","Global"},0),IF($A201="S",$Y201/$X201,""),($Y201/$X201)*100),0)</f>
        <v>0</v>
      </c>
      <c r="X201" s="339" t="str" cm="1">
        <f t="array" aca="1" ref="X201" ca="1">IF($Y201&gt;0,CHOOSE(MATCH(RegimeExecucao,{"Unitário","Global"},0),IF($A201="S",ROUND($H201,ORÇAMENTO!$AF$10),""),ROUND($I201,ORÇAMENTO!$AF$11)),"")</f>
        <v/>
      </c>
      <c r="Y201" s="339">
        <f t="shared" ca="1" si="7"/>
        <v>0</v>
      </c>
      <c r="Z201" s="473"/>
      <c r="AB201" s="337"/>
      <c r="AC201" s="437"/>
      <c r="AD201" s="437"/>
      <c r="AE201" s="437"/>
      <c r="AF201" s="437"/>
      <c r="AG201" s="437"/>
      <c r="AH201" s="437"/>
      <c r="AI201" s="437"/>
      <c r="AJ201" s="437"/>
      <c r="AK201" s="437"/>
      <c r="AL201" s="437"/>
      <c r="AM201" s="338"/>
      <c r="AO201"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ht="51" x14ac:dyDescent="0.2">
      <c r="A202" t="str">
        <f ca="1">ORÇAMENTO!C202</f>
        <v>S</v>
      </c>
      <c r="B202">
        <f ca="1">ORÇAMENTO!D202</f>
        <v>0</v>
      </c>
      <c r="C202" s="114" t="str">
        <f t="shared" ca="1" si="1"/>
        <v>F</v>
      </c>
      <c r="D202" s="117" t="str">
        <f ca="1">ORÇAMENTO!O202</f>
        <v>1.10.2.2.2.</v>
      </c>
      <c r="E202" s="163" t="str">
        <f t="shared" ca="1" si="2"/>
        <v>EMBOÇO OU MASSA ÚNICA EM ARGAMASSA TRAÇO 1:2:8, PREPARO MANUAL, APLICADA MANUALMENTE EM PANOS CEGOS DE FACHADA (SEM PRESENÇA DE VÃOS), ESPESSURA DE 25 MM. AF_09/2022</v>
      </c>
      <c r="F202" s="164" t="str" cm="1">
        <f t="array" aca="1" ref="F202" ca="1">IF(RegimeExecucao="Global","",ORÇAMENTO.Unidade)</f>
        <v>M2</v>
      </c>
      <c r="G202" s="122" cm="1">
        <f t="array" aca="1" ref="G202" ca="1">IF(RegimeExecucao="Global","",ORÇAMENTO!T202)</f>
        <v>2545.5</v>
      </c>
      <c r="H202" s="122" cm="1">
        <f t="array" aca="1" ref="H202" ca="1">IF(RegimeExecucao="Global","",ORÇAMENTO!W202)</f>
        <v>57.01</v>
      </c>
      <c r="I202" s="125">
        <f ca="1">ORÇAMENTO!X202</f>
        <v>145118.96</v>
      </c>
      <c r="J202" s="333" cm="1">
        <f t="array" aca="1" ref="J202" ca="1">IF($A202="S",IF(CAIXA.Modo,BM.AFAnterior,BM.MEDAnterior),IF(AND(RegimeExecucao="Global",$I202&gt;0,COUNTIF($AB$13:$AM$13,BM.medicao-1)&gt;0),M202/$I202*100,0))</f>
        <v>0</v>
      </c>
      <c r="K202" s="122">
        <f t="shared" ca="1" si="3"/>
        <v>0</v>
      </c>
      <c r="L202" s="334" cm="1">
        <f t="array" aca="1" ref="L202" ca="1">IF($A202="S",IF(CAIXA.Modo,BM.AFAcumulado,BM.MEDAcumulado),IF(AND(RegimeExecucao="Global",$I202&gt;0,COUNTIF($AB$13:$AM$13,BM.medicao)&gt;0),O202/$I202*100,0))</f>
        <v>0</v>
      </c>
      <c r="M202" s="335" cm="1">
        <f t="array" aca="1" ref="M202" ca="1">IF($A202="S",VTOTALBM,IF($A202=0,0,ROUND(SomaAgrupBM,15-13*ORÇAMENTO!$AF$11)))</f>
        <v>0</v>
      </c>
      <c r="N202" s="336">
        <f t="shared" ca="1" si="4"/>
        <v>0</v>
      </c>
      <c r="O202" s="125" cm="1">
        <f t="array" aca="1" ref="O202" ca="1">IF($A202="S",VTOTALBM,IF($A202=0,0,ROUND(SomaAgrupBM,15-13*ORÇAMENTO!$AF$11)))</f>
        <v>0</v>
      </c>
      <c r="Q202" s="337"/>
      <c r="R202" s="338"/>
      <c r="T202" s="117" t="str">
        <f t="shared" ca="1" si="5"/>
        <v/>
      </c>
      <c r="U202" s="163" t="str">
        <f t="shared" ca="1" si="6"/>
        <v/>
      </c>
      <c r="V202" s="164" t="str" cm="1">
        <f t="array" aca="1" ref="V202" ca="1">IF(AND($W202&gt;0,RegimeExecucao="Unitário"),$F202,"")</f>
        <v/>
      </c>
      <c r="W202" s="454" cm="1">
        <f t="array" aca="1" ref="W202" ca="1">IF($Y202&gt;0,CHOOSE(MATCH(RegimeExecucao,{"Unitário","Global"},0),IF($A202="S",$Y202/$X202,""),($Y202/$X202)*100),0)</f>
        <v>0</v>
      </c>
      <c r="X202" s="339" t="str" cm="1">
        <f t="array" aca="1" ref="X202" ca="1">IF($Y202&gt;0,CHOOSE(MATCH(RegimeExecucao,{"Unitário","Global"},0),IF($A202="S",ROUND($H202,ORÇAMENTO!$AF$10),""),ROUND($I202,ORÇAMENTO!$AF$11)),"")</f>
        <v/>
      </c>
      <c r="Y202" s="339">
        <f t="shared" ca="1" si="7"/>
        <v>0</v>
      </c>
      <c r="Z202" s="473"/>
      <c r="AB202" s="337"/>
      <c r="AC202" s="437"/>
      <c r="AD202" s="437"/>
      <c r="AE202" s="437"/>
      <c r="AF202" s="437"/>
      <c r="AG202" s="437"/>
      <c r="AH202" s="437"/>
      <c r="AI202" s="437"/>
      <c r="AJ202" s="437"/>
      <c r="AK202" s="437"/>
      <c r="AL202" s="437"/>
      <c r="AM202" s="338"/>
      <c r="AO202"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x14ac:dyDescent="0.2">
      <c r="A203">
        <f ca="1">ORÇAMENTO!C203</f>
        <v>3</v>
      </c>
      <c r="B203">
        <f ca="1">ORÇAMENTO!D203</f>
        <v>16</v>
      </c>
      <c r="C203" s="114" t="str">
        <f t="shared" ca="1" si="1"/>
        <v>F</v>
      </c>
      <c r="D203" s="117" t="str">
        <f ca="1">ORÇAMENTO!O203</f>
        <v>1.10.3.</v>
      </c>
      <c r="E203" s="163" t="str">
        <f t="shared" si="2"/>
        <v>INTERNO</v>
      </c>
      <c r="F203" s="164" t="str" cm="1">
        <f t="array" aca="1" ref="F203" ca="1">IF(RegimeExecucao="Global","",ORÇAMENTO.Unidade)</f>
        <v>-</v>
      </c>
      <c r="G203" s="122" cm="1">
        <f t="array" aca="1" ref="G203" ca="1">IF(RegimeExecucao="Global","",ORÇAMENTO!T203)</f>
        <v>0</v>
      </c>
      <c r="H203" s="122" cm="1">
        <f t="array" aca="1" ref="H203" ca="1">IF(RegimeExecucao="Global","",ORÇAMENTO!W203)</f>
        <v>0</v>
      </c>
      <c r="I203" s="125">
        <f ca="1">ORÇAMENTO!X203</f>
        <v>448152.9</v>
      </c>
      <c r="J203" s="333" cm="1">
        <f t="array" aca="1" ref="J203" ca="1">IF($A203="S",IF(CAIXA.Modo,BM.AFAnterior,BM.MEDAnterior),IF(AND(RegimeExecucao="Global",$I203&gt;0,COUNTIF($AB$13:$AM$13,BM.medicao-1)&gt;0),M203/$I203*100,0))</f>
        <v>0</v>
      </c>
      <c r="K203" s="122">
        <f t="shared" ca="1" si="3"/>
        <v>0</v>
      </c>
      <c r="L203" s="334" cm="1">
        <f t="array" aca="1" ref="L203" ca="1">IF($A203="S",IF(CAIXA.Modo,BM.AFAcumulado,BM.MEDAcumulado),IF(AND(RegimeExecucao="Global",$I203&gt;0,COUNTIF($AB$13:$AM$13,BM.medicao)&gt;0),O203/$I203*100,0))</f>
        <v>0</v>
      </c>
      <c r="M203" s="335" cm="1">
        <f t="array" aca="1" ref="M203" ca="1">IF($A203="S",VTOTALBM,IF($A203=0,0,ROUND(SomaAgrupBM,15-13*ORÇAMENTO!$AF$11)))</f>
        <v>0</v>
      </c>
      <c r="N203" s="336">
        <f t="shared" ca="1" si="4"/>
        <v>0</v>
      </c>
      <c r="O203" s="125" cm="1">
        <f t="array" aca="1" ref="O203" ca="1">IF($A203="S",VTOTALBM,IF($A203=0,0,ROUND(SomaAgrupBM,15-13*ORÇAMENTO!$AF$11)))</f>
        <v>0</v>
      </c>
      <c r="Q203" s="337"/>
      <c r="R203" s="338"/>
      <c r="T203" s="117" t="str">
        <f t="shared" ca="1" si="5"/>
        <v/>
      </c>
      <c r="U203" s="163" t="str">
        <f t="shared" ca="1" si="6"/>
        <v/>
      </c>
      <c r="V203" s="164" t="str" cm="1">
        <f t="array" aca="1" ref="V203" ca="1">IF(AND($W203&gt;0,RegimeExecucao="Unitário"),$F203,"")</f>
        <v/>
      </c>
      <c r="W203" s="454" cm="1">
        <f t="array" aca="1" ref="W203" ca="1">IF($Y203&gt;0,CHOOSE(MATCH(RegimeExecucao,{"Unitário","Global"},0),IF($A203="S",$Y203/$X203,""),($Y203/$X203)*100),0)</f>
        <v>0</v>
      </c>
      <c r="X203" s="339" t="str" cm="1">
        <f t="array" aca="1" ref="X203" ca="1">IF($Y203&gt;0,CHOOSE(MATCH(RegimeExecucao,{"Unitário","Global"},0),IF($A203="S",ROUND($H203,ORÇAMENTO!$AF$10),""),ROUND($I203,ORÇAMENTO!$AF$11)),"")</f>
        <v/>
      </c>
      <c r="Y203" s="339">
        <f t="shared" ca="1" si="7"/>
        <v>0</v>
      </c>
      <c r="Z203" s="473"/>
      <c r="AB203" s="337"/>
      <c r="AC203" s="437"/>
      <c r="AD203" s="437"/>
      <c r="AE203" s="437"/>
      <c r="AF203" s="437"/>
      <c r="AG203" s="437"/>
      <c r="AH203" s="437"/>
      <c r="AI203" s="437"/>
      <c r="AJ203" s="437"/>
      <c r="AK203" s="437"/>
      <c r="AL203" s="437"/>
      <c r="AM203" s="338"/>
      <c r="AO203"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x14ac:dyDescent="0.2">
      <c r="A204">
        <f ca="1">ORÇAMENTO!C204</f>
        <v>4</v>
      </c>
      <c r="B204">
        <f ca="1">ORÇAMENTO!D204</f>
        <v>2</v>
      </c>
      <c r="C204" s="114" t="str">
        <f t="shared" ca="1" si="1"/>
        <v>F</v>
      </c>
      <c r="D204" s="117" t="str">
        <f ca="1">ORÇAMENTO!O204</f>
        <v>1.10.3.1.</v>
      </c>
      <c r="E204" s="163" t="str">
        <f t="shared" si="2"/>
        <v>PISOS - SOBRE LAJE</v>
      </c>
      <c r="F204" s="164" t="str" cm="1">
        <f t="array" aca="1" ref="F204" ca="1">IF(RegimeExecucao="Global","",ORÇAMENTO.Unidade)</f>
        <v>-</v>
      </c>
      <c r="G204" s="122" cm="1">
        <f t="array" aca="1" ref="G204" ca="1">IF(RegimeExecucao="Global","",ORÇAMENTO!T204)</f>
        <v>0</v>
      </c>
      <c r="H204" s="122" cm="1">
        <f t="array" aca="1" ref="H204" ca="1">IF(RegimeExecucao="Global","",ORÇAMENTO!W204)</f>
        <v>0</v>
      </c>
      <c r="I204" s="125">
        <f ca="1">ORÇAMENTO!X204</f>
        <v>19982.580000000002</v>
      </c>
      <c r="J204" s="333" cm="1">
        <f t="array" aca="1" ref="J204" ca="1">IF($A204="S",IF(CAIXA.Modo,BM.AFAnterior,BM.MEDAnterior),IF(AND(RegimeExecucao="Global",$I204&gt;0,COUNTIF($AB$13:$AM$13,BM.medicao-1)&gt;0),M204/$I204*100,0))</f>
        <v>0</v>
      </c>
      <c r="K204" s="122">
        <f t="shared" ca="1" si="3"/>
        <v>0</v>
      </c>
      <c r="L204" s="334" cm="1">
        <f t="array" aca="1" ref="L204" ca="1">IF($A204="S",IF(CAIXA.Modo,BM.AFAcumulado,BM.MEDAcumulado),IF(AND(RegimeExecucao="Global",$I204&gt;0,COUNTIF($AB$13:$AM$13,BM.medicao)&gt;0),O204/$I204*100,0))</f>
        <v>0</v>
      </c>
      <c r="M204" s="335" cm="1">
        <f t="array" aca="1" ref="M204" ca="1">IF($A204="S",VTOTALBM,IF($A204=0,0,ROUND(SomaAgrupBM,15-13*ORÇAMENTO!$AF$11)))</f>
        <v>0</v>
      </c>
      <c r="N204" s="336">
        <f t="shared" ca="1" si="4"/>
        <v>0</v>
      </c>
      <c r="O204" s="125" cm="1">
        <f t="array" aca="1" ref="O204" ca="1">IF($A204="S",VTOTALBM,IF($A204=0,0,ROUND(SomaAgrupBM,15-13*ORÇAMENTO!$AF$11)))</f>
        <v>0</v>
      </c>
      <c r="Q204" s="337"/>
      <c r="R204" s="338"/>
      <c r="T204" s="117" t="str">
        <f t="shared" ca="1" si="5"/>
        <v/>
      </c>
      <c r="U204" s="163" t="str">
        <f t="shared" ca="1" si="6"/>
        <v/>
      </c>
      <c r="V204" s="164" t="str" cm="1">
        <f t="array" aca="1" ref="V204" ca="1">IF(AND($W204&gt;0,RegimeExecucao="Unitário"),$F204,"")</f>
        <v/>
      </c>
      <c r="W204" s="454" cm="1">
        <f t="array" aca="1" ref="W204" ca="1">IF($Y204&gt;0,CHOOSE(MATCH(RegimeExecucao,{"Unitário","Global"},0),IF($A204="S",$Y204/$X204,""),($Y204/$X204)*100),0)</f>
        <v>0</v>
      </c>
      <c r="X204" s="339" t="str" cm="1">
        <f t="array" aca="1" ref="X204" ca="1">IF($Y204&gt;0,CHOOSE(MATCH(RegimeExecucao,{"Unitário","Global"},0),IF($A204="S",ROUND($H204,ORÇAMENTO!$AF$10),""),ROUND($I204,ORÇAMENTO!$AF$11)),"")</f>
        <v/>
      </c>
      <c r="Y204" s="339">
        <f t="shared" ca="1" si="7"/>
        <v>0</v>
      </c>
      <c r="Z204" s="473"/>
      <c r="AB204" s="337"/>
      <c r="AC204" s="437"/>
      <c r="AD204" s="437"/>
      <c r="AE204" s="437"/>
      <c r="AF204" s="437"/>
      <c r="AG204" s="437"/>
      <c r="AH204" s="437"/>
      <c r="AI204" s="437"/>
      <c r="AJ204" s="437"/>
      <c r="AK204" s="437"/>
      <c r="AL204" s="437"/>
      <c r="AM204" s="338"/>
      <c r="AO204"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ht="25.5" x14ac:dyDescent="0.2">
      <c r="A205" t="str">
        <f ca="1">ORÇAMENTO!C205</f>
        <v>S</v>
      </c>
      <c r="B205">
        <f ca="1">ORÇAMENTO!D205</f>
        <v>0</v>
      </c>
      <c r="C205" s="114" t="str">
        <f t="shared" ca="1" si="1"/>
        <v>F</v>
      </c>
      <c r="D205" s="117" t="str">
        <f ca="1">ORÇAMENTO!O205</f>
        <v>1.10.3.1.1.</v>
      </c>
      <c r="E205" s="163" t="str">
        <f t="shared" ca="1" si="2"/>
        <v>CONTRAPISO COM ARGAMASSA AUTONIVELANTE, APLICADO SOBRE LAJE, NÃO ADERIDO, ESPESSURA 4CM. AF_07/2021</v>
      </c>
      <c r="F205" s="164" t="str" cm="1">
        <f t="array" aca="1" ref="F205" ca="1">IF(RegimeExecucao="Global","",ORÇAMENTO.Unidade)</f>
        <v>M2</v>
      </c>
      <c r="G205" s="122" cm="1">
        <f t="array" aca="1" ref="G205" ca="1">IF(RegimeExecucao="Global","",ORÇAMENTO!T205)</f>
        <v>453.84</v>
      </c>
      <c r="H205" s="122" cm="1">
        <f t="array" aca="1" ref="H205" ca="1">IF(RegimeExecucao="Global","",ORÇAMENTO!W205)</f>
        <v>44.03</v>
      </c>
      <c r="I205" s="125">
        <f ca="1">ORÇAMENTO!X205</f>
        <v>19982.580000000002</v>
      </c>
      <c r="J205" s="333" cm="1">
        <f t="array" aca="1" ref="J205" ca="1">IF($A205="S",IF(CAIXA.Modo,BM.AFAnterior,BM.MEDAnterior),IF(AND(RegimeExecucao="Global",$I205&gt;0,COUNTIF($AB$13:$AM$13,BM.medicao-1)&gt;0),M205/$I205*100,0))</f>
        <v>0</v>
      </c>
      <c r="K205" s="122">
        <f t="shared" ca="1" si="3"/>
        <v>0</v>
      </c>
      <c r="L205" s="334" cm="1">
        <f t="array" aca="1" ref="L205" ca="1">IF($A205="S",IF(CAIXA.Modo,BM.AFAcumulado,BM.MEDAcumulado),IF(AND(RegimeExecucao="Global",$I205&gt;0,COUNTIF($AB$13:$AM$13,BM.medicao)&gt;0),O205/$I205*100,0))</f>
        <v>0</v>
      </c>
      <c r="M205" s="335" cm="1">
        <f t="array" aca="1" ref="M205" ca="1">IF($A205="S",VTOTALBM,IF($A205=0,0,ROUND(SomaAgrupBM,15-13*ORÇAMENTO!$AF$11)))</f>
        <v>0</v>
      </c>
      <c r="N205" s="336">
        <f t="shared" ca="1" si="4"/>
        <v>0</v>
      </c>
      <c r="O205" s="125" cm="1">
        <f t="array" aca="1" ref="O205" ca="1">IF($A205="S",VTOTALBM,IF($A205=0,0,ROUND(SomaAgrupBM,15-13*ORÇAMENTO!$AF$11)))</f>
        <v>0</v>
      </c>
      <c r="Q205" s="337"/>
      <c r="R205" s="338"/>
      <c r="T205" s="117" t="str">
        <f t="shared" ca="1" si="5"/>
        <v/>
      </c>
      <c r="U205" s="163" t="str">
        <f t="shared" ca="1" si="6"/>
        <v/>
      </c>
      <c r="V205" s="164" t="str" cm="1">
        <f t="array" aca="1" ref="V205" ca="1">IF(AND($W205&gt;0,RegimeExecucao="Unitário"),$F205,"")</f>
        <v/>
      </c>
      <c r="W205" s="454" cm="1">
        <f t="array" aca="1" ref="W205" ca="1">IF($Y205&gt;0,CHOOSE(MATCH(RegimeExecucao,{"Unitário","Global"},0),IF($A205="S",$Y205/$X205,""),($Y205/$X205)*100),0)</f>
        <v>0</v>
      </c>
      <c r="X205" s="339" t="str" cm="1">
        <f t="array" aca="1" ref="X205" ca="1">IF($Y205&gt;0,CHOOSE(MATCH(RegimeExecucao,{"Unitário","Global"},0),IF($A205="S",ROUND($H205,ORÇAMENTO!$AF$10),""),ROUND($I205,ORÇAMENTO!$AF$11)),"")</f>
        <v/>
      </c>
      <c r="Y205" s="339">
        <f t="shared" ca="1" si="7"/>
        <v>0</v>
      </c>
      <c r="Z205" s="473"/>
      <c r="AB205" s="337"/>
      <c r="AC205" s="437"/>
      <c r="AD205" s="437"/>
      <c r="AE205" s="437"/>
      <c r="AF205" s="437"/>
      <c r="AG205" s="437"/>
      <c r="AH205" s="437"/>
      <c r="AI205" s="437"/>
      <c r="AJ205" s="437"/>
      <c r="AK205" s="437"/>
      <c r="AL205" s="437"/>
      <c r="AM205" s="338"/>
      <c r="AO205"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x14ac:dyDescent="0.2">
      <c r="A206">
        <f ca="1">ORÇAMENTO!C206</f>
        <v>4</v>
      </c>
      <c r="B206">
        <f ca="1">ORÇAMENTO!D206</f>
        <v>5</v>
      </c>
      <c r="C206" s="114" t="str">
        <f t="shared" ca="1" si="1"/>
        <v>F</v>
      </c>
      <c r="D206" s="117" t="str">
        <f ca="1">ORÇAMENTO!O206</f>
        <v>1.10.3.2.</v>
      </c>
      <c r="E206" s="163" t="str">
        <f t="shared" si="2"/>
        <v>PISOS - SOBRE ATERRO</v>
      </c>
      <c r="F206" s="164" t="str" cm="1">
        <f t="array" aca="1" ref="F206" ca="1">IF(RegimeExecucao="Global","",ORÇAMENTO.Unidade)</f>
        <v>-</v>
      </c>
      <c r="G206" s="122" cm="1">
        <f t="array" aca="1" ref="G206" ca="1">IF(RegimeExecucao="Global","",ORÇAMENTO!T206)</f>
        <v>0</v>
      </c>
      <c r="H206" s="122" cm="1">
        <f t="array" aca="1" ref="H206" ca="1">IF(RegimeExecucao="Global","",ORÇAMENTO!W206)</f>
        <v>0</v>
      </c>
      <c r="I206" s="125">
        <f ca="1">ORÇAMENTO!X206</f>
        <v>79432.22</v>
      </c>
      <c r="J206" s="333" cm="1">
        <f t="array" aca="1" ref="J206" ca="1">IF($A206="S",IF(CAIXA.Modo,BM.AFAnterior,BM.MEDAnterior),IF(AND(RegimeExecucao="Global",$I206&gt;0,COUNTIF($AB$13:$AM$13,BM.medicao-1)&gt;0),M206/$I206*100,0))</f>
        <v>0</v>
      </c>
      <c r="K206" s="122">
        <f t="shared" ca="1" si="3"/>
        <v>0</v>
      </c>
      <c r="L206" s="334" cm="1">
        <f t="array" aca="1" ref="L206" ca="1">IF($A206="S",IF(CAIXA.Modo,BM.AFAcumulado,BM.MEDAcumulado),IF(AND(RegimeExecucao="Global",$I206&gt;0,COUNTIF($AB$13:$AM$13,BM.medicao)&gt;0),O206/$I206*100,0))</f>
        <v>0</v>
      </c>
      <c r="M206" s="335" cm="1">
        <f t="array" aca="1" ref="M206" ca="1">IF($A206="S",VTOTALBM,IF($A206=0,0,ROUND(SomaAgrupBM,15-13*ORÇAMENTO!$AF$11)))</f>
        <v>0</v>
      </c>
      <c r="N206" s="336">
        <f t="shared" ca="1" si="4"/>
        <v>0</v>
      </c>
      <c r="O206" s="125" cm="1">
        <f t="array" aca="1" ref="O206" ca="1">IF($A206="S",VTOTALBM,IF($A206=0,0,ROUND(SomaAgrupBM,15-13*ORÇAMENTO!$AF$11)))</f>
        <v>0</v>
      </c>
      <c r="Q206" s="337"/>
      <c r="R206" s="338"/>
      <c r="T206" s="117" t="str">
        <f t="shared" ca="1" si="5"/>
        <v/>
      </c>
      <c r="U206" s="163" t="str">
        <f t="shared" ca="1" si="6"/>
        <v/>
      </c>
      <c r="V206" s="164" t="str" cm="1">
        <f t="array" aca="1" ref="V206" ca="1">IF(AND($W206&gt;0,RegimeExecucao="Unitário"),$F206,"")</f>
        <v/>
      </c>
      <c r="W206" s="454" cm="1">
        <f t="array" aca="1" ref="W206" ca="1">IF($Y206&gt;0,CHOOSE(MATCH(RegimeExecucao,{"Unitário","Global"},0),IF($A206="S",$Y206/$X206,""),($Y206/$X206)*100),0)</f>
        <v>0</v>
      </c>
      <c r="X206" s="339" t="str" cm="1">
        <f t="array" aca="1" ref="X206" ca="1">IF($Y206&gt;0,CHOOSE(MATCH(RegimeExecucao,{"Unitário","Global"},0),IF($A206="S",ROUND($H206,ORÇAMENTO!$AF$10),""),ROUND($I206,ORÇAMENTO!$AF$11)),"")</f>
        <v/>
      </c>
      <c r="Y206" s="339">
        <f t="shared" ca="1" si="7"/>
        <v>0</v>
      </c>
      <c r="Z206" s="473"/>
      <c r="AB206" s="337"/>
      <c r="AC206" s="437"/>
      <c r="AD206" s="437"/>
      <c r="AE206" s="437"/>
      <c r="AF206" s="437"/>
      <c r="AG206" s="437"/>
      <c r="AH206" s="437"/>
      <c r="AI206" s="437"/>
      <c r="AJ206" s="437"/>
      <c r="AK206" s="437"/>
      <c r="AL206" s="437"/>
      <c r="AM206" s="338"/>
      <c r="AO206"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ht="38.25" x14ac:dyDescent="0.2">
      <c r="A207" t="str">
        <f ca="1">ORÇAMENTO!C207</f>
        <v>S</v>
      </c>
      <c r="B207">
        <f ca="1">ORÇAMENTO!D207</f>
        <v>0</v>
      </c>
      <c r="C207" s="114" t="str">
        <f t="shared" ca="1" si="1"/>
        <v>F</v>
      </c>
      <c r="D207" s="117" t="str">
        <f ca="1">ORÇAMENTO!O207</f>
        <v>1.10.3.2.1.</v>
      </c>
      <c r="E207" s="163" t="str">
        <f t="shared" ca="1" si="2"/>
        <v>COMPACTAÇÃO MECÂNICA DE SOLO PARA EXECUÇÃO DE RADIER, PISO DE CONCRETO OU LAJE SOBRE SOLO, COM COMPACTADOR DE SOLOS A PERCUSSÃO. AF_09/2021</v>
      </c>
      <c r="F207" s="164" t="str" cm="1">
        <f t="array" aca="1" ref="F207" ca="1">IF(RegimeExecucao="Global","",ORÇAMENTO.Unidade)</f>
        <v>M2</v>
      </c>
      <c r="G207" s="122" cm="1">
        <f t="array" aca="1" ref="G207" ca="1">IF(RegimeExecucao="Global","",ORÇAMENTO!T207)</f>
        <v>680.76</v>
      </c>
      <c r="H207" s="122" cm="1">
        <f t="array" aca="1" ref="H207" ca="1">IF(RegimeExecucao="Global","",ORÇAMENTO!W207)</f>
        <v>4.59</v>
      </c>
      <c r="I207" s="125">
        <f ca="1">ORÇAMENTO!X207</f>
        <v>3124.69</v>
      </c>
      <c r="J207" s="333" cm="1">
        <f t="array" aca="1" ref="J207" ca="1">IF($A207="S",IF(CAIXA.Modo,BM.AFAnterior,BM.MEDAnterior),IF(AND(RegimeExecucao="Global",$I207&gt;0,COUNTIF($AB$13:$AM$13,BM.medicao-1)&gt;0),M207/$I207*100,0))</f>
        <v>0</v>
      </c>
      <c r="K207" s="122">
        <f t="shared" ca="1" si="3"/>
        <v>0</v>
      </c>
      <c r="L207" s="334" cm="1">
        <f t="array" aca="1" ref="L207" ca="1">IF($A207="S",IF(CAIXA.Modo,BM.AFAcumulado,BM.MEDAcumulado),IF(AND(RegimeExecucao="Global",$I207&gt;0,COUNTIF($AB$13:$AM$13,BM.medicao)&gt;0),O207/$I207*100,0))</f>
        <v>0</v>
      </c>
      <c r="M207" s="335" cm="1">
        <f t="array" aca="1" ref="M207" ca="1">IF($A207="S",VTOTALBM,IF($A207=0,0,ROUND(SomaAgrupBM,15-13*ORÇAMENTO!$AF$11)))</f>
        <v>0</v>
      </c>
      <c r="N207" s="336">
        <f t="shared" ca="1" si="4"/>
        <v>0</v>
      </c>
      <c r="O207" s="125" cm="1">
        <f t="array" aca="1" ref="O207" ca="1">IF($A207="S",VTOTALBM,IF($A207=0,0,ROUND(SomaAgrupBM,15-13*ORÇAMENTO!$AF$11)))</f>
        <v>0</v>
      </c>
      <c r="Q207" s="337"/>
      <c r="R207" s="338"/>
      <c r="T207" s="117" t="str">
        <f t="shared" ca="1" si="5"/>
        <v/>
      </c>
      <c r="U207" s="163" t="str">
        <f t="shared" ca="1" si="6"/>
        <v/>
      </c>
      <c r="V207" s="164" t="str" cm="1">
        <f t="array" aca="1" ref="V207" ca="1">IF(AND($W207&gt;0,RegimeExecucao="Unitário"),$F207,"")</f>
        <v/>
      </c>
      <c r="W207" s="454" cm="1">
        <f t="array" aca="1" ref="W207" ca="1">IF($Y207&gt;0,CHOOSE(MATCH(RegimeExecucao,{"Unitário","Global"},0),IF($A207="S",$Y207/$X207,""),($Y207/$X207)*100),0)</f>
        <v>0</v>
      </c>
      <c r="X207" s="339" t="str" cm="1">
        <f t="array" aca="1" ref="X207" ca="1">IF($Y207&gt;0,CHOOSE(MATCH(RegimeExecucao,{"Unitário","Global"},0),IF($A207="S",ROUND($H207,ORÇAMENTO!$AF$10),""),ROUND($I207,ORÇAMENTO!$AF$11)),"")</f>
        <v/>
      </c>
      <c r="Y207" s="339">
        <f t="shared" ca="1" si="7"/>
        <v>0</v>
      </c>
      <c r="Z207" s="473"/>
      <c r="AB207" s="337"/>
      <c r="AC207" s="437"/>
      <c r="AD207" s="437"/>
      <c r="AE207" s="437"/>
      <c r="AF207" s="437"/>
      <c r="AG207" s="437"/>
      <c r="AH207" s="437"/>
      <c r="AI207" s="437"/>
      <c r="AJ207" s="437"/>
      <c r="AK207" s="437"/>
      <c r="AL207" s="437"/>
      <c r="AM207" s="338"/>
      <c r="AO207"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ht="38.25" x14ac:dyDescent="0.2">
      <c r="A208" t="str">
        <f ca="1">ORÇAMENTO!C208</f>
        <v>S</v>
      </c>
      <c r="B208">
        <f ca="1">ORÇAMENTO!D208</f>
        <v>0</v>
      </c>
      <c r="C208" s="114" t="str">
        <f t="shared" ca="1" si="1"/>
        <v>F</v>
      </c>
      <c r="D208" s="117" t="str">
        <f ca="1">ORÇAMENTO!O208</f>
        <v>1.10.3.2.2.</v>
      </c>
      <c r="E208" s="163" t="str">
        <f t="shared" ca="1" si="2"/>
        <v>LASTRO COM MATERIAL GRANULAR (PEDRA BRITADA N.2), APLICADO EM PISOS OU LAJES SOBRE SOLO, ESPESSURA DE *10 CM*. AF_01/2024</v>
      </c>
      <c r="F208" s="164" t="str" cm="1">
        <f t="array" aca="1" ref="F208" ca="1">IF(RegimeExecucao="Global","",ORÇAMENTO.Unidade)</f>
        <v>M3</v>
      </c>
      <c r="G208" s="122" cm="1">
        <f t="array" aca="1" ref="G208" ca="1">IF(RegimeExecucao="Global","",ORÇAMENTO!T208)</f>
        <v>113.46</v>
      </c>
      <c r="H208" s="122" cm="1">
        <f t="array" aca="1" ref="H208" ca="1">IF(RegimeExecucao="Global","",ORÇAMENTO!W208)</f>
        <v>222.19</v>
      </c>
      <c r="I208" s="125">
        <f ca="1">ORÇAMENTO!X208</f>
        <v>25209.68</v>
      </c>
      <c r="J208" s="333" cm="1">
        <f t="array" aca="1" ref="J208" ca="1">IF($A208="S",IF(CAIXA.Modo,BM.AFAnterior,BM.MEDAnterior),IF(AND(RegimeExecucao="Global",$I208&gt;0,COUNTIF($AB$13:$AM$13,BM.medicao-1)&gt;0),M208/$I208*100,0))</f>
        <v>0</v>
      </c>
      <c r="K208" s="122">
        <f t="shared" ca="1" si="3"/>
        <v>0</v>
      </c>
      <c r="L208" s="334" cm="1">
        <f t="array" aca="1" ref="L208" ca="1">IF($A208="S",IF(CAIXA.Modo,BM.AFAcumulado,BM.MEDAcumulado),IF(AND(RegimeExecucao="Global",$I208&gt;0,COUNTIF($AB$13:$AM$13,BM.medicao)&gt;0),O208/$I208*100,0))</f>
        <v>0</v>
      </c>
      <c r="M208" s="335" cm="1">
        <f t="array" aca="1" ref="M208" ca="1">IF($A208="S",VTOTALBM,IF($A208=0,0,ROUND(SomaAgrupBM,15-13*ORÇAMENTO!$AF$11)))</f>
        <v>0</v>
      </c>
      <c r="N208" s="336">
        <f t="shared" ca="1" si="4"/>
        <v>0</v>
      </c>
      <c r="O208" s="125" cm="1">
        <f t="array" aca="1" ref="O208" ca="1">IF($A208="S",VTOTALBM,IF($A208=0,0,ROUND(SomaAgrupBM,15-13*ORÇAMENTO!$AF$11)))</f>
        <v>0</v>
      </c>
      <c r="Q208" s="337"/>
      <c r="R208" s="338"/>
      <c r="T208" s="117" t="str">
        <f t="shared" ca="1" si="5"/>
        <v/>
      </c>
      <c r="U208" s="163" t="str">
        <f t="shared" ca="1" si="6"/>
        <v/>
      </c>
      <c r="V208" s="164" t="str" cm="1">
        <f t="array" aca="1" ref="V208" ca="1">IF(AND($W208&gt;0,RegimeExecucao="Unitário"),$F208,"")</f>
        <v/>
      </c>
      <c r="W208" s="454" cm="1">
        <f t="array" aca="1" ref="W208" ca="1">IF($Y208&gt;0,CHOOSE(MATCH(RegimeExecucao,{"Unitário","Global"},0),IF($A208="S",$Y208/$X208,""),($Y208/$X208)*100),0)</f>
        <v>0</v>
      </c>
      <c r="X208" s="339" t="str" cm="1">
        <f t="array" aca="1" ref="X208" ca="1">IF($Y208&gt;0,CHOOSE(MATCH(RegimeExecucao,{"Unitário","Global"},0),IF($A208="S",ROUND($H208,ORÇAMENTO!$AF$10),""),ROUND($I208,ORÇAMENTO!$AF$11)),"")</f>
        <v/>
      </c>
      <c r="Y208" s="339">
        <f t="shared" ca="1" si="7"/>
        <v>0</v>
      </c>
      <c r="Z208" s="473"/>
      <c r="AB208" s="337"/>
      <c r="AC208" s="437"/>
      <c r="AD208" s="437"/>
      <c r="AE208" s="437"/>
      <c r="AF208" s="437"/>
      <c r="AG208" s="437"/>
      <c r="AH208" s="437"/>
      <c r="AI208" s="437"/>
      <c r="AJ208" s="437"/>
      <c r="AK208" s="437"/>
      <c r="AL208" s="437"/>
      <c r="AM208" s="338"/>
      <c r="AO20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ht="25.5" x14ac:dyDescent="0.2">
      <c r="A209" t="str">
        <f ca="1">ORÇAMENTO!C209</f>
        <v>S</v>
      </c>
      <c r="B209">
        <f ca="1">ORÇAMENTO!D209</f>
        <v>0</v>
      </c>
      <c r="C209" s="114" t="str">
        <f t="shared" ca="1" si="1"/>
        <v>F</v>
      </c>
      <c r="D209" s="117" t="str">
        <f ca="1">ORÇAMENTO!O209</f>
        <v>1.10.3.2.3.</v>
      </c>
      <c r="E209" s="163" t="str">
        <f t="shared" ca="1" si="2"/>
        <v>APLICAÇÃO DE LONA PLÁSTICA PARA EXECUÇÃO DE PAVIMENTOS DE CONCRETO. AF_04/2022</v>
      </c>
      <c r="F209" s="164" t="str" cm="1">
        <f t="array" aca="1" ref="F209" ca="1">IF(RegimeExecucao="Global","",ORÇAMENTO.Unidade)</f>
        <v>M2</v>
      </c>
      <c r="G209" s="122" cm="1">
        <f t="array" aca="1" ref="G209" ca="1">IF(RegimeExecucao="Global","",ORÇAMENTO!T209)</f>
        <v>680.76</v>
      </c>
      <c r="H209" s="122" cm="1">
        <f t="array" aca="1" ref="H209" ca="1">IF(RegimeExecucao="Global","",ORÇAMENTO!W209)</f>
        <v>3.39</v>
      </c>
      <c r="I209" s="125">
        <f ca="1">ORÇAMENTO!X209</f>
        <v>2307.7800000000002</v>
      </c>
      <c r="J209" s="333" cm="1">
        <f t="array" aca="1" ref="J209" ca="1">IF($A209="S",IF(CAIXA.Modo,BM.AFAnterior,BM.MEDAnterior),IF(AND(RegimeExecucao="Global",$I209&gt;0,COUNTIF($AB$13:$AM$13,BM.medicao-1)&gt;0),M209/$I209*100,0))</f>
        <v>0</v>
      </c>
      <c r="K209" s="122">
        <f t="shared" ca="1" si="3"/>
        <v>0</v>
      </c>
      <c r="L209" s="334" cm="1">
        <f t="array" aca="1" ref="L209" ca="1">IF($A209="S",IF(CAIXA.Modo,BM.AFAcumulado,BM.MEDAcumulado),IF(AND(RegimeExecucao="Global",$I209&gt;0,COUNTIF($AB$13:$AM$13,BM.medicao)&gt;0),O209/$I209*100,0))</f>
        <v>0</v>
      </c>
      <c r="M209" s="335" cm="1">
        <f t="array" aca="1" ref="M209" ca="1">IF($A209="S",VTOTALBM,IF($A209=0,0,ROUND(SomaAgrupBM,15-13*ORÇAMENTO!$AF$11)))</f>
        <v>0</v>
      </c>
      <c r="N209" s="336">
        <f t="shared" ca="1" si="4"/>
        <v>0</v>
      </c>
      <c r="O209" s="125" cm="1">
        <f t="array" aca="1" ref="O209" ca="1">IF($A209="S",VTOTALBM,IF($A209=0,0,ROUND(SomaAgrupBM,15-13*ORÇAMENTO!$AF$11)))</f>
        <v>0</v>
      </c>
      <c r="Q209" s="337"/>
      <c r="R209" s="338"/>
      <c r="T209" s="117" t="str">
        <f t="shared" ca="1" si="5"/>
        <v/>
      </c>
      <c r="U209" s="163" t="str">
        <f t="shared" ca="1" si="6"/>
        <v/>
      </c>
      <c r="V209" s="164" t="str" cm="1">
        <f t="array" aca="1" ref="V209" ca="1">IF(AND($W209&gt;0,RegimeExecucao="Unitário"),$F209,"")</f>
        <v/>
      </c>
      <c r="W209" s="454" cm="1">
        <f t="array" aca="1" ref="W209" ca="1">IF($Y209&gt;0,CHOOSE(MATCH(RegimeExecucao,{"Unitário","Global"},0),IF($A209="S",$Y209/$X209,""),($Y209/$X209)*100),0)</f>
        <v>0</v>
      </c>
      <c r="X209" s="339" t="str" cm="1">
        <f t="array" aca="1" ref="X209" ca="1">IF($Y209&gt;0,CHOOSE(MATCH(RegimeExecucao,{"Unitário","Global"},0),IF($A209="S",ROUND($H209,ORÇAMENTO!$AF$10),""),ROUND($I209,ORÇAMENTO!$AF$11)),"")</f>
        <v/>
      </c>
      <c r="Y209" s="339">
        <f t="shared" ca="1" si="7"/>
        <v>0</v>
      </c>
      <c r="Z209" s="473"/>
      <c r="AB209" s="337"/>
      <c r="AC209" s="437"/>
      <c r="AD209" s="437"/>
      <c r="AE209" s="437"/>
      <c r="AF209" s="437"/>
      <c r="AG209" s="437"/>
      <c r="AH209" s="437"/>
      <c r="AI209" s="437"/>
      <c r="AJ209" s="437"/>
      <c r="AK209" s="437"/>
      <c r="AL209" s="437"/>
      <c r="AM209" s="338"/>
      <c r="AO209"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ht="51" x14ac:dyDescent="0.2">
      <c r="A210" t="str">
        <f ca="1">ORÇAMENTO!C210</f>
        <v>S</v>
      </c>
      <c r="B210">
        <f ca="1">ORÇAMENTO!D210</f>
        <v>0</v>
      </c>
      <c r="C210" s="114" t="str">
        <f t="shared" ca="1" si="1"/>
        <v>F</v>
      </c>
      <c r="D210" s="117" t="str">
        <f ca="1">ORÇAMENTO!O210</f>
        <v>1.10.3.2.4.</v>
      </c>
      <c r="E210" s="163" t="str">
        <f t="shared" ca="1" si="2"/>
        <v>CONTRAPISO EM ARGAMASSA TRAÇO 1:4 (CIMENTO E AREIA), PREPARO MECÂNICO COM BETONEIRA 400 L, APLICADO EM ÁREAS SECAS SOBRE LAJE, NÃO ADERIDO, ACABAMENTO NÃO REFORÇADO, ESPESSURA 6CM. AF_07/2021</v>
      </c>
      <c r="F210" s="164" t="str" cm="1">
        <f t="array" aca="1" ref="F210" ca="1">IF(RegimeExecucao="Global","",ORÇAMENTO.Unidade)</f>
        <v>M2</v>
      </c>
      <c r="G210" s="122" cm="1">
        <f t="array" aca="1" ref="G210" ca="1">IF(RegimeExecucao="Global","",ORÇAMENTO!T210)</f>
        <v>680.76</v>
      </c>
      <c r="H210" s="122" cm="1">
        <f t="array" aca="1" ref="H210" ca="1">IF(RegimeExecucao="Global","",ORÇAMENTO!W210)</f>
        <v>71.67</v>
      </c>
      <c r="I210" s="125">
        <f ca="1">ORÇAMENTO!X210</f>
        <v>48790.07</v>
      </c>
      <c r="J210" s="333" cm="1">
        <f t="array" aca="1" ref="J210" ca="1">IF($A210="S",IF(CAIXA.Modo,BM.AFAnterior,BM.MEDAnterior),IF(AND(RegimeExecucao="Global",$I210&gt;0,COUNTIF($AB$13:$AM$13,BM.medicao-1)&gt;0),M210/$I210*100,0))</f>
        <v>0</v>
      </c>
      <c r="K210" s="122">
        <f t="shared" ca="1" si="3"/>
        <v>0</v>
      </c>
      <c r="L210" s="334" cm="1">
        <f t="array" aca="1" ref="L210" ca="1">IF($A210="S",IF(CAIXA.Modo,BM.AFAcumulado,BM.MEDAcumulado),IF(AND(RegimeExecucao="Global",$I210&gt;0,COUNTIF($AB$13:$AM$13,BM.medicao)&gt;0),O210/$I210*100,0))</f>
        <v>0</v>
      </c>
      <c r="M210" s="335" cm="1">
        <f t="array" aca="1" ref="M210" ca="1">IF($A210="S",VTOTALBM,IF($A210=0,0,ROUND(SomaAgrupBM,15-13*ORÇAMENTO!$AF$11)))</f>
        <v>0</v>
      </c>
      <c r="N210" s="336">
        <f t="shared" ca="1" si="4"/>
        <v>0</v>
      </c>
      <c r="O210" s="125" cm="1">
        <f t="array" aca="1" ref="O210" ca="1">IF($A210="S",VTOTALBM,IF($A210=0,0,ROUND(SomaAgrupBM,15-13*ORÇAMENTO!$AF$11)))</f>
        <v>0</v>
      </c>
      <c r="Q210" s="337"/>
      <c r="R210" s="338"/>
      <c r="T210" s="117" t="str">
        <f t="shared" ca="1" si="5"/>
        <v/>
      </c>
      <c r="U210" s="163" t="str">
        <f t="shared" ca="1" si="6"/>
        <v/>
      </c>
      <c r="V210" s="164" t="str" cm="1">
        <f t="array" aca="1" ref="V210" ca="1">IF(AND($W210&gt;0,RegimeExecucao="Unitário"),$F210,"")</f>
        <v/>
      </c>
      <c r="W210" s="454" cm="1">
        <f t="array" aca="1" ref="W210" ca="1">IF($Y210&gt;0,CHOOSE(MATCH(RegimeExecucao,{"Unitário","Global"},0),IF($A210="S",$Y210/$X210,""),($Y210/$X210)*100),0)</f>
        <v>0</v>
      </c>
      <c r="X210" s="339" t="str" cm="1">
        <f t="array" aca="1" ref="X210" ca="1">IF($Y210&gt;0,CHOOSE(MATCH(RegimeExecucao,{"Unitário","Global"},0),IF($A210="S",ROUND($H210,ORÇAMENTO!$AF$10),""),ROUND($I210,ORÇAMENTO!$AF$11)),"")</f>
        <v/>
      </c>
      <c r="Y210" s="339">
        <f t="shared" ca="1" si="7"/>
        <v>0</v>
      </c>
      <c r="Z210" s="473"/>
      <c r="AB210" s="337"/>
      <c r="AC210" s="437"/>
      <c r="AD210" s="437"/>
      <c r="AE210" s="437"/>
      <c r="AF210" s="437"/>
      <c r="AG210" s="437"/>
      <c r="AH210" s="437"/>
      <c r="AI210" s="437"/>
      <c r="AJ210" s="437"/>
      <c r="AK210" s="437"/>
      <c r="AL210" s="437"/>
      <c r="AM210" s="338"/>
      <c r="AO210"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x14ac:dyDescent="0.2">
      <c r="A211">
        <f ca="1">ORÇAMENTO!C211</f>
        <v>4</v>
      </c>
      <c r="B211">
        <f ca="1">ORÇAMENTO!D211</f>
        <v>3</v>
      </c>
      <c r="C211" s="114" t="str">
        <f t="shared" ca="1" si="1"/>
        <v>F</v>
      </c>
      <c r="D211" s="117" t="str">
        <f ca="1">ORÇAMENTO!O211</f>
        <v>1.10.3.3.</v>
      </c>
      <c r="E211" s="163" t="str">
        <f t="shared" si="2"/>
        <v>PAREDES - ARGAMASSADOS</v>
      </c>
      <c r="F211" s="164" t="str" cm="1">
        <f t="array" aca="1" ref="F211" ca="1">IF(RegimeExecucao="Global","",ORÇAMENTO.Unidade)</f>
        <v>-</v>
      </c>
      <c r="G211" s="122" cm="1">
        <f t="array" aca="1" ref="G211" ca="1">IF(RegimeExecucao="Global","",ORÇAMENTO!T211)</f>
        <v>0</v>
      </c>
      <c r="H211" s="122" cm="1">
        <f t="array" aca="1" ref="H211" ca="1">IF(RegimeExecucao="Global","",ORÇAMENTO!W211)</f>
        <v>0</v>
      </c>
      <c r="I211" s="125">
        <f ca="1">ORÇAMENTO!X211</f>
        <v>200453.14</v>
      </c>
      <c r="J211" s="333" cm="1">
        <f t="array" aca="1" ref="J211" ca="1">IF($A211="S",IF(CAIXA.Modo,BM.AFAnterior,BM.MEDAnterior),IF(AND(RegimeExecucao="Global",$I211&gt;0,COUNTIF($AB$13:$AM$13,BM.medicao-1)&gt;0),M211/$I211*100,0))</f>
        <v>0</v>
      </c>
      <c r="K211" s="122">
        <f t="shared" ca="1" si="3"/>
        <v>0</v>
      </c>
      <c r="L211" s="334" cm="1">
        <f t="array" aca="1" ref="L211" ca="1">IF($A211="S",IF(CAIXA.Modo,BM.AFAcumulado,BM.MEDAcumulado),IF(AND(RegimeExecucao="Global",$I211&gt;0,COUNTIF($AB$13:$AM$13,BM.medicao)&gt;0),O211/$I211*100,0))</f>
        <v>0</v>
      </c>
      <c r="M211" s="335" cm="1">
        <f t="array" aca="1" ref="M211" ca="1">IF($A211="S",VTOTALBM,IF($A211=0,0,ROUND(SomaAgrupBM,15-13*ORÇAMENTO!$AF$11)))</f>
        <v>0</v>
      </c>
      <c r="N211" s="336">
        <f t="shared" ca="1" si="4"/>
        <v>0</v>
      </c>
      <c r="O211" s="125" cm="1">
        <f t="array" aca="1" ref="O211" ca="1">IF($A211="S",VTOTALBM,IF($A211=0,0,ROUND(SomaAgrupBM,15-13*ORÇAMENTO!$AF$11)))</f>
        <v>0</v>
      </c>
      <c r="Q211" s="337"/>
      <c r="R211" s="338"/>
      <c r="T211" s="117" t="str">
        <f t="shared" ca="1" si="5"/>
        <v/>
      </c>
      <c r="U211" s="163" t="str">
        <f t="shared" ca="1" si="6"/>
        <v/>
      </c>
      <c r="V211" s="164" t="str" cm="1">
        <f t="array" aca="1" ref="V211" ca="1">IF(AND($W211&gt;0,RegimeExecucao="Unitário"),$F211,"")</f>
        <v/>
      </c>
      <c r="W211" s="454" cm="1">
        <f t="array" aca="1" ref="W211" ca="1">IF($Y211&gt;0,CHOOSE(MATCH(RegimeExecucao,{"Unitário","Global"},0),IF($A211="S",$Y211/$X211,""),($Y211/$X211)*100),0)</f>
        <v>0</v>
      </c>
      <c r="X211" s="339" t="str" cm="1">
        <f t="array" aca="1" ref="X211" ca="1">IF($Y211&gt;0,CHOOSE(MATCH(RegimeExecucao,{"Unitário","Global"},0),IF($A211="S",ROUND($H211,ORÇAMENTO!$AF$10),""),ROUND($I211,ORÇAMENTO!$AF$11)),"")</f>
        <v/>
      </c>
      <c r="Y211" s="339">
        <f t="shared" ca="1" si="7"/>
        <v>0</v>
      </c>
      <c r="Z211" s="473"/>
      <c r="AB211" s="337"/>
      <c r="AC211" s="437"/>
      <c r="AD211" s="437"/>
      <c r="AE211" s="437"/>
      <c r="AF211" s="437"/>
      <c r="AG211" s="437"/>
      <c r="AH211" s="437"/>
      <c r="AI211" s="437"/>
      <c r="AJ211" s="437"/>
      <c r="AK211" s="437"/>
      <c r="AL211" s="437"/>
      <c r="AM211" s="338"/>
      <c r="AO211"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ht="38.25" x14ac:dyDescent="0.2">
      <c r="A212" t="str">
        <f ca="1">ORÇAMENTO!C212</f>
        <v>S</v>
      </c>
      <c r="B212">
        <f ca="1">ORÇAMENTO!D212</f>
        <v>0</v>
      </c>
      <c r="C212" s="114" t="str">
        <f t="shared" ca="1" si="1"/>
        <v>F</v>
      </c>
      <c r="D212" s="117" t="str">
        <f ca="1">ORÇAMENTO!O212</f>
        <v>1.10.3.3.1.</v>
      </c>
      <c r="E212" s="163" t="str">
        <f t="shared" ca="1" si="2"/>
        <v>CHAPISCO APLICADO EM ALVENARIAS E ESTRUTURAS DE CONCRETO INTERNAS, COM COLHER DE PEDREIRO. ARGAMASSA TRAÇO 1:3 COM PREPARO EM BETONEIRA 400L. AF_10/2022</v>
      </c>
      <c r="F212" s="164" t="str" cm="1">
        <f t="array" aca="1" ref="F212" ca="1">IF(RegimeExecucao="Global","",ORÇAMENTO.Unidade)</f>
        <v>M2</v>
      </c>
      <c r="G212" s="122" cm="1">
        <f t="array" aca="1" ref="G212" ca="1">IF(RegimeExecucao="Global","",ORÇAMENTO!T212)</f>
        <v>3766.5</v>
      </c>
      <c r="H212" s="122" cm="1">
        <f t="array" aca="1" ref="H212" ca="1">IF(RegimeExecucao="Global","",ORÇAMENTO!W212)</f>
        <v>6.01</v>
      </c>
      <c r="I212" s="125">
        <f ca="1">ORÇAMENTO!X212</f>
        <v>22636.67</v>
      </c>
      <c r="J212" s="333" cm="1">
        <f t="array" aca="1" ref="J212" ca="1">IF($A212="S",IF(CAIXA.Modo,BM.AFAnterior,BM.MEDAnterior),IF(AND(RegimeExecucao="Global",$I212&gt;0,COUNTIF($AB$13:$AM$13,BM.medicao-1)&gt;0),M212/$I212*100,0))</f>
        <v>0</v>
      </c>
      <c r="K212" s="122">
        <f t="shared" ca="1" si="3"/>
        <v>0</v>
      </c>
      <c r="L212" s="334" cm="1">
        <f t="array" aca="1" ref="L212" ca="1">IF($A212="S",IF(CAIXA.Modo,BM.AFAcumulado,BM.MEDAcumulado),IF(AND(RegimeExecucao="Global",$I212&gt;0,COUNTIF($AB$13:$AM$13,BM.medicao)&gt;0),O212/$I212*100,0))</f>
        <v>0</v>
      </c>
      <c r="M212" s="335" cm="1">
        <f t="array" aca="1" ref="M212" ca="1">IF($A212="S",VTOTALBM,IF($A212=0,0,ROUND(SomaAgrupBM,15-13*ORÇAMENTO!$AF$11)))</f>
        <v>0</v>
      </c>
      <c r="N212" s="336">
        <f t="shared" ca="1" si="4"/>
        <v>0</v>
      </c>
      <c r="O212" s="125" cm="1">
        <f t="array" aca="1" ref="O212" ca="1">IF($A212="S",VTOTALBM,IF($A212=0,0,ROUND(SomaAgrupBM,15-13*ORÇAMENTO!$AF$11)))</f>
        <v>0</v>
      </c>
      <c r="Q212" s="337"/>
      <c r="R212" s="338"/>
      <c r="T212" s="117" t="str">
        <f t="shared" ca="1" si="5"/>
        <v/>
      </c>
      <c r="U212" s="163" t="str">
        <f t="shared" ca="1" si="6"/>
        <v/>
      </c>
      <c r="V212" s="164" t="str" cm="1">
        <f t="array" aca="1" ref="V212" ca="1">IF(AND($W212&gt;0,RegimeExecucao="Unitário"),$F212,"")</f>
        <v/>
      </c>
      <c r="W212" s="454" cm="1">
        <f t="array" aca="1" ref="W212" ca="1">IF($Y212&gt;0,CHOOSE(MATCH(RegimeExecucao,{"Unitário","Global"},0),IF($A212="S",$Y212/$X212,""),($Y212/$X212)*100),0)</f>
        <v>0</v>
      </c>
      <c r="X212" s="339" t="str" cm="1">
        <f t="array" aca="1" ref="X212" ca="1">IF($Y212&gt;0,CHOOSE(MATCH(RegimeExecucao,{"Unitário","Global"},0),IF($A212="S",ROUND($H212,ORÇAMENTO!$AF$10),""),ROUND($I212,ORÇAMENTO!$AF$11)),"")</f>
        <v/>
      </c>
      <c r="Y212" s="339">
        <f t="shared" ca="1" si="7"/>
        <v>0</v>
      </c>
      <c r="Z212" s="473"/>
      <c r="AB212" s="337"/>
      <c r="AC212" s="437"/>
      <c r="AD212" s="437"/>
      <c r="AE212" s="437"/>
      <c r="AF212" s="437"/>
      <c r="AG212" s="437"/>
      <c r="AH212" s="437"/>
      <c r="AI212" s="437"/>
      <c r="AJ212" s="437"/>
      <c r="AK212" s="437"/>
      <c r="AL212" s="437"/>
      <c r="AM212" s="338"/>
      <c r="AO212"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ht="51" x14ac:dyDescent="0.2">
      <c r="A213" t="str">
        <f ca="1">ORÇAMENTO!C213</f>
        <v>S</v>
      </c>
      <c r="B213">
        <f ca="1">ORÇAMENTO!D213</f>
        <v>0</v>
      </c>
      <c r="C213" s="114" t="str">
        <f ca="1">IF(OR($I213&gt;0,$A213=1,$A213=2,$A213=3,$A213=4),"F","")</f>
        <v>F</v>
      </c>
      <c r="D213" s="117" t="str">
        <f ca="1">ORÇAMENTO!O213</f>
        <v>1.10.3.3.2.</v>
      </c>
      <c r="E213" s="163" t="str">
        <f ca="1">ORÇAMENTO.Descricao</f>
        <v>MASSA ÚNICA, EM ARGAMASSA TRAÇO 1:2:8, PREPARO MECÂNICO, APLICADA MANUALMENTE EM PAREDES INTERNAS DE AMBIENTES COM ÁREA ENTRE 5M² E 10M², E = 17,5MM, COM TALISCAS. AF_03/2024</v>
      </c>
      <c r="F213" s="164" t="str" cm="1">
        <f t="array" aca="1" ref="F213" ca="1">IF(RegimeExecucao="Global","",ORÇAMENTO.Unidade)</f>
        <v>M2</v>
      </c>
      <c r="G213" s="122" cm="1">
        <f t="array" aca="1" ref="G213" ca="1">IF(RegimeExecucao="Global","",ORÇAMENTO!T213)</f>
        <v>3766.5</v>
      </c>
      <c r="H213" s="122" cm="1">
        <f t="array" aca="1" ref="H213" ca="1">IF(RegimeExecucao="Global","",ORÇAMENTO!W213)</f>
        <v>47.21</v>
      </c>
      <c r="I213" s="125">
        <f ca="1">ORÇAMENTO!X213</f>
        <v>177816.47</v>
      </c>
      <c r="J213" s="333" cm="1">
        <f t="array" aca="1" ref="J213" ca="1">IF($A213="S",IF(CAIXA.Modo,BM.AFAnterior,BM.MEDAnterior),IF(AND(RegimeExecucao="Global",$I213&gt;0,COUNTIF($AB$13:$AM$13,BM.medicao-1)&gt;0),M213/$I213*100,0))</f>
        <v>0</v>
      </c>
      <c r="K213" s="122">
        <f ca="1">L213-J213</f>
        <v>0</v>
      </c>
      <c r="L213" s="334" cm="1">
        <f t="array" aca="1" ref="L213" ca="1">IF($A213="S",IF(CAIXA.Modo,BM.AFAcumulado,BM.MEDAcumulado),IF(AND(RegimeExecucao="Global",$I213&gt;0,COUNTIF($AB$13:$AM$13,BM.medicao)&gt;0),O213/$I213*100,0))</f>
        <v>0</v>
      </c>
      <c r="M213" s="335" cm="1">
        <f t="array" aca="1" ref="M213" ca="1">IF($A213="S",VTOTALBM,IF($A213=0,0,ROUND(SomaAgrupBM,15-13*ORÇAMENTO!$AF$11)))</f>
        <v>0</v>
      </c>
      <c r="N213" s="336">
        <f ca="1">O213-M213</f>
        <v>0</v>
      </c>
      <c r="O213" s="125" cm="1">
        <f t="array" aca="1" ref="O213" ca="1">IF($A213="S",VTOTALBM,IF($A213=0,0,ROUND(SomaAgrupBM,15-13*ORÇAMENTO!$AF$11)))</f>
        <v>0</v>
      </c>
      <c r="Q213" s="337"/>
      <c r="R213" s="338"/>
      <c r="T213" s="117" t="str">
        <f ca="1">IF($W213&gt;0,$D213,"")</f>
        <v/>
      </c>
      <c r="U213" s="163" t="str">
        <f ca="1">IF($W213&gt;0,$E213,"")</f>
        <v/>
      </c>
      <c r="V213" s="164" t="str" cm="1">
        <f t="array" aca="1" ref="V213" ca="1">IF(AND($W213&gt;0,RegimeExecucao="Unitário"),$F213,"")</f>
        <v/>
      </c>
      <c r="W213" s="454" cm="1">
        <f t="array" aca="1" ref="W213" ca="1">IF($Y213&gt;0,CHOOSE(MATCH(RegimeExecucao,{"Unitário","Global"},0),IF($A213="S",$Y213/$X213,""),($Y213/$X213)*100),0)</f>
        <v>0</v>
      </c>
      <c r="X213" s="339" t="str" cm="1">
        <f t="array" aca="1" ref="X213" ca="1">IF($Y213&gt;0,CHOOSE(MATCH(RegimeExecucao,{"Unitário","Global"},0),IF($A213="S",ROUND($H213,ORÇAMENTO!$AF$10),""),ROUND($I213,ORÇAMENTO!$AF$11)),"")</f>
        <v/>
      </c>
      <c r="Y213" s="339">
        <f ca="1">AO213-O213</f>
        <v>0</v>
      </c>
      <c r="Z213" s="473"/>
      <c r="AB213" s="337"/>
      <c r="AC213" s="437"/>
      <c r="AD213" s="437"/>
      <c r="AE213" s="437"/>
      <c r="AF213" s="437"/>
      <c r="AG213" s="437"/>
      <c r="AH213" s="437"/>
      <c r="AI213" s="437"/>
      <c r="AJ213" s="437"/>
      <c r="AK213" s="437"/>
      <c r="AL213" s="437"/>
      <c r="AM213" s="338"/>
      <c r="AO213"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x14ac:dyDescent="0.2">
      <c r="A214">
        <f ca="1">ORÇAMENTO!C214</f>
        <v>4</v>
      </c>
      <c r="B214">
        <f ca="1">ORÇAMENTO!D214</f>
        <v>2</v>
      </c>
      <c r="C214" s="114" t="str">
        <f t="shared" ca="1" si="1"/>
        <v>F</v>
      </c>
      <c r="D214" s="117" t="str">
        <f ca="1">ORÇAMENTO!O214</f>
        <v>1.10.3.4.</v>
      </c>
      <c r="E214" s="163" t="str">
        <f t="shared" si="2"/>
        <v>PISOS - CERÂMICOS</v>
      </c>
      <c r="F214" s="164" t="str" cm="1">
        <f t="array" aca="1" ref="F214" ca="1">IF(RegimeExecucao="Global","",ORÇAMENTO.Unidade)</f>
        <v>-</v>
      </c>
      <c r="G214" s="122" cm="1">
        <f t="array" aca="1" ref="G214" ca="1">IF(RegimeExecucao="Global","",ORÇAMENTO!T214)</f>
        <v>0</v>
      </c>
      <c r="H214" s="122" cm="1">
        <f t="array" aca="1" ref="H214" ca="1">IF(RegimeExecucao="Global","",ORÇAMENTO!W214)</f>
        <v>0</v>
      </c>
      <c r="I214" s="125">
        <f ca="1">ORÇAMENTO!X214</f>
        <v>77627.62</v>
      </c>
      <c r="J214" s="333" cm="1">
        <f t="array" aca="1" ref="J214" ca="1">IF($A214="S",IF(CAIXA.Modo,BM.AFAnterior,BM.MEDAnterior),IF(AND(RegimeExecucao="Global",$I214&gt;0,COUNTIF($AB$13:$AM$13,BM.medicao-1)&gt;0),M214/$I214*100,0))</f>
        <v>0</v>
      </c>
      <c r="K214" s="122">
        <f t="shared" ca="1" si="3"/>
        <v>0</v>
      </c>
      <c r="L214" s="334" cm="1">
        <f t="array" aca="1" ref="L214" ca="1">IF($A214="S",IF(CAIXA.Modo,BM.AFAcumulado,BM.MEDAcumulado),IF(AND(RegimeExecucao="Global",$I214&gt;0,COUNTIF($AB$13:$AM$13,BM.medicao)&gt;0),O214/$I214*100,0))</f>
        <v>0</v>
      </c>
      <c r="M214" s="335" cm="1">
        <f t="array" aca="1" ref="M214" ca="1">IF($A214="S",VTOTALBM,IF($A214=0,0,ROUND(SomaAgrupBM,15-13*ORÇAMENTO!$AF$11)))</f>
        <v>0</v>
      </c>
      <c r="N214" s="336">
        <f t="shared" ca="1" si="4"/>
        <v>0</v>
      </c>
      <c r="O214" s="125" cm="1">
        <f t="array" aca="1" ref="O214" ca="1">IF($A214="S",VTOTALBM,IF($A214=0,0,ROUND(SomaAgrupBM,15-13*ORÇAMENTO!$AF$11)))</f>
        <v>0</v>
      </c>
      <c r="Q214" s="337"/>
      <c r="R214" s="338"/>
      <c r="T214" s="117" t="str">
        <f t="shared" ca="1" si="5"/>
        <v/>
      </c>
      <c r="U214" s="163" t="str">
        <f t="shared" ca="1" si="6"/>
        <v/>
      </c>
      <c r="V214" s="164" t="str" cm="1">
        <f t="array" aca="1" ref="V214" ca="1">IF(AND($W214&gt;0,RegimeExecucao="Unitário"),$F214,"")</f>
        <v/>
      </c>
      <c r="W214" s="454" cm="1">
        <f t="array" aca="1" ref="W214" ca="1">IF($Y214&gt;0,CHOOSE(MATCH(RegimeExecucao,{"Unitário","Global"},0),IF($A214="S",$Y214/$X214,""),($Y214/$X214)*100),0)</f>
        <v>0</v>
      </c>
      <c r="X214" s="339" t="str" cm="1">
        <f t="array" aca="1" ref="X214" ca="1">IF($Y214&gt;0,CHOOSE(MATCH(RegimeExecucao,{"Unitário","Global"},0),IF($A214="S",ROUND($H214,ORÇAMENTO!$AF$10),""),ROUND($I214,ORÇAMENTO!$AF$11)),"")</f>
        <v/>
      </c>
      <c r="Y214" s="339">
        <f t="shared" ca="1" si="7"/>
        <v>0</v>
      </c>
      <c r="Z214" s="473"/>
      <c r="AB214" s="337"/>
      <c r="AC214" s="437"/>
      <c r="AD214" s="437"/>
      <c r="AE214" s="437"/>
      <c r="AF214" s="437"/>
      <c r="AG214" s="437"/>
      <c r="AH214" s="437"/>
      <c r="AI214" s="437"/>
      <c r="AJ214" s="437"/>
      <c r="AK214" s="437"/>
      <c r="AL214" s="437"/>
      <c r="AM214" s="338"/>
      <c r="AO214"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ht="38.25" x14ac:dyDescent="0.2">
      <c r="A215" t="str">
        <f ca="1">ORÇAMENTO!C215</f>
        <v>S</v>
      </c>
      <c r="B215">
        <f ca="1">ORÇAMENTO!D215</f>
        <v>0</v>
      </c>
      <c r="C215" s="114" t="str">
        <f t="shared" ca="1" si="1"/>
        <v>F</v>
      </c>
      <c r="D215" s="117" t="str">
        <f ca="1">ORÇAMENTO!O215</f>
        <v>1.10.3.4.1.</v>
      </c>
      <c r="E215" s="163" t="str">
        <f t="shared" ca="1" si="2"/>
        <v>REVESTIMENTO CERÂMICO PARA PISO COM PLACAS TIPO ESMALTADA DE DIMENSÕES 35X35 CM APLICADA EM AMBIENTES DE ÁREA MAIOR QUE 10 M2. AF_02/2023_PE</v>
      </c>
      <c r="F215" s="164" t="str" cm="1">
        <f t="array" aca="1" ref="F215" ca="1">IF(RegimeExecucao="Global","",ORÇAMENTO.Unidade)</f>
        <v>M2</v>
      </c>
      <c r="G215" s="122" cm="1">
        <f t="array" aca="1" ref="G215" ca="1">IF(RegimeExecucao="Global","",ORÇAMENTO!T215)</f>
        <v>1160.7</v>
      </c>
      <c r="H215" s="122" cm="1">
        <f t="array" aca="1" ref="H215" ca="1">IF(RegimeExecucao="Global","",ORÇAMENTO!W215)</f>
        <v>66.88</v>
      </c>
      <c r="I215" s="125">
        <f ca="1">ORÇAMENTO!X215</f>
        <v>77627.62</v>
      </c>
      <c r="J215" s="333" cm="1">
        <f t="array" aca="1" ref="J215" ca="1">IF($A215="S",IF(CAIXA.Modo,BM.AFAnterior,BM.MEDAnterior),IF(AND(RegimeExecucao="Global",$I215&gt;0,COUNTIF($AB$13:$AM$13,BM.medicao-1)&gt;0),M215/$I215*100,0))</f>
        <v>0</v>
      </c>
      <c r="K215" s="122">
        <f t="shared" ca="1" si="3"/>
        <v>0</v>
      </c>
      <c r="L215" s="334" cm="1">
        <f t="array" aca="1" ref="L215" ca="1">IF($A215="S",IF(CAIXA.Modo,BM.AFAcumulado,BM.MEDAcumulado),IF(AND(RegimeExecucao="Global",$I215&gt;0,COUNTIF($AB$13:$AM$13,BM.medicao)&gt;0),O215/$I215*100,0))</f>
        <v>0</v>
      </c>
      <c r="M215" s="335" cm="1">
        <f t="array" aca="1" ref="M215" ca="1">IF($A215="S",VTOTALBM,IF($A215=0,0,ROUND(SomaAgrupBM,15-13*ORÇAMENTO!$AF$11)))</f>
        <v>0</v>
      </c>
      <c r="N215" s="336">
        <f t="shared" ca="1" si="4"/>
        <v>0</v>
      </c>
      <c r="O215" s="125" cm="1">
        <f t="array" aca="1" ref="O215" ca="1">IF($A215="S",VTOTALBM,IF($A215=0,0,ROUND(SomaAgrupBM,15-13*ORÇAMENTO!$AF$11)))</f>
        <v>0</v>
      </c>
      <c r="Q215" s="337"/>
      <c r="R215" s="338"/>
      <c r="T215" s="117" t="str">
        <f t="shared" ca="1" si="5"/>
        <v/>
      </c>
      <c r="U215" s="163" t="str">
        <f t="shared" ca="1" si="6"/>
        <v/>
      </c>
      <c r="V215" s="164" t="str" cm="1">
        <f t="array" aca="1" ref="V215" ca="1">IF(AND($W215&gt;0,RegimeExecucao="Unitário"),$F215,"")</f>
        <v/>
      </c>
      <c r="W215" s="454" cm="1">
        <f t="array" aca="1" ref="W215" ca="1">IF($Y215&gt;0,CHOOSE(MATCH(RegimeExecucao,{"Unitário","Global"},0),IF($A215="S",$Y215/$X215,""),($Y215/$X215)*100),0)</f>
        <v>0</v>
      </c>
      <c r="X215" s="339" t="str" cm="1">
        <f t="array" aca="1" ref="X215" ca="1">IF($Y215&gt;0,CHOOSE(MATCH(RegimeExecucao,{"Unitário","Global"},0),IF($A215="S",ROUND($H215,ORÇAMENTO!$AF$10),""),ROUND($I215,ORÇAMENTO!$AF$11)),"")</f>
        <v/>
      </c>
      <c r="Y215" s="339">
        <f t="shared" ca="1" si="7"/>
        <v>0</v>
      </c>
      <c r="Z215" s="473"/>
      <c r="AB215" s="337"/>
      <c r="AC215" s="437"/>
      <c r="AD215" s="437"/>
      <c r="AE215" s="437"/>
      <c r="AF215" s="437"/>
      <c r="AG215" s="437"/>
      <c r="AH215" s="437"/>
      <c r="AI215" s="437"/>
      <c r="AJ215" s="437"/>
      <c r="AK215" s="437"/>
      <c r="AL215" s="437"/>
      <c r="AM215" s="338"/>
      <c r="AO215"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x14ac:dyDescent="0.2">
      <c r="A216">
        <f ca="1">ORÇAMENTO!C216</f>
        <v>4</v>
      </c>
      <c r="B216">
        <f ca="1">ORÇAMENTO!D216</f>
        <v>3</v>
      </c>
      <c r="C216" s="114" t="str">
        <f t="shared" ca="1" si="1"/>
        <v>F</v>
      </c>
      <c r="D216" s="117" t="str">
        <f ca="1">ORÇAMENTO!O216</f>
        <v>1.10.3.5.</v>
      </c>
      <c r="E216" s="163" t="str">
        <f t="shared" si="2"/>
        <v>PAREDES - CERÂMICOS</v>
      </c>
      <c r="F216" s="164" t="str" cm="1">
        <f t="array" aca="1" ref="F216" ca="1">IF(RegimeExecucao="Global","",ORÇAMENTO.Unidade)</f>
        <v>-</v>
      </c>
      <c r="G216" s="122" cm="1">
        <f t="array" aca="1" ref="G216" ca="1">IF(RegimeExecucao="Global","",ORÇAMENTO!T216)</f>
        <v>0</v>
      </c>
      <c r="H216" s="122" cm="1">
        <f t="array" aca="1" ref="H216" ca="1">IF(RegimeExecucao="Global","",ORÇAMENTO!W216)</f>
        <v>0</v>
      </c>
      <c r="I216" s="125">
        <f ca="1">ORÇAMENTO!X216</f>
        <v>70657.34</v>
      </c>
      <c r="J216" s="333" cm="1">
        <f t="array" aca="1" ref="J216" ca="1">IF($A216="S",IF(CAIXA.Modo,BM.AFAnterior,BM.MEDAnterior),IF(AND(RegimeExecucao="Global",$I216&gt;0,COUNTIF($AB$13:$AM$13,BM.medicao-1)&gt;0),M216/$I216*100,0))</f>
        <v>0</v>
      </c>
      <c r="K216" s="122">
        <f t="shared" ca="1" si="3"/>
        <v>0</v>
      </c>
      <c r="L216" s="334" cm="1">
        <f t="array" aca="1" ref="L216" ca="1">IF($A216="S",IF(CAIXA.Modo,BM.AFAcumulado,BM.MEDAcumulado),IF(AND(RegimeExecucao="Global",$I216&gt;0,COUNTIF($AB$13:$AM$13,BM.medicao)&gt;0),O216/$I216*100,0))</f>
        <v>0</v>
      </c>
      <c r="M216" s="335" cm="1">
        <f t="array" aca="1" ref="M216" ca="1">IF($A216="S",VTOTALBM,IF($A216=0,0,ROUND(SomaAgrupBM,15-13*ORÇAMENTO!$AF$11)))</f>
        <v>0</v>
      </c>
      <c r="N216" s="336">
        <f t="shared" ca="1" si="4"/>
        <v>0</v>
      </c>
      <c r="O216" s="125" cm="1">
        <f t="array" aca="1" ref="O216" ca="1">IF($A216="S",VTOTALBM,IF($A216=0,0,ROUND(SomaAgrupBM,15-13*ORÇAMENTO!$AF$11)))</f>
        <v>0</v>
      </c>
      <c r="Q216" s="337"/>
      <c r="R216" s="338"/>
      <c r="T216" s="117" t="str">
        <f t="shared" ca="1" si="5"/>
        <v/>
      </c>
      <c r="U216" s="163" t="str">
        <f t="shared" ca="1" si="6"/>
        <v/>
      </c>
      <c r="V216" s="164" t="str" cm="1">
        <f t="array" aca="1" ref="V216" ca="1">IF(AND($W216&gt;0,RegimeExecucao="Unitário"),$F216,"")</f>
        <v/>
      </c>
      <c r="W216" s="454" cm="1">
        <f t="array" aca="1" ref="W216" ca="1">IF($Y216&gt;0,CHOOSE(MATCH(RegimeExecucao,{"Unitário","Global"},0),IF($A216="S",$Y216/$X216,""),($Y216/$X216)*100),0)</f>
        <v>0</v>
      </c>
      <c r="X216" s="339" t="str" cm="1">
        <f t="array" aca="1" ref="X216" ca="1">IF($Y216&gt;0,CHOOSE(MATCH(RegimeExecucao,{"Unitário","Global"},0),IF($A216="S",ROUND($H216,ORÇAMENTO!$AF$10),""),ROUND($I216,ORÇAMENTO!$AF$11)),"")</f>
        <v/>
      </c>
      <c r="Y216" s="339">
        <f t="shared" ca="1" si="7"/>
        <v>0</v>
      </c>
      <c r="Z216" s="473"/>
      <c r="AB216" s="337"/>
      <c r="AC216" s="437"/>
      <c r="AD216" s="437"/>
      <c r="AE216" s="437"/>
      <c r="AF216" s="437"/>
      <c r="AG216" s="437"/>
      <c r="AH216" s="437"/>
      <c r="AI216" s="437"/>
      <c r="AJ216" s="437"/>
      <c r="AK216" s="437"/>
      <c r="AL216" s="437"/>
      <c r="AM216" s="338"/>
      <c r="AO216"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ht="38.25" x14ac:dyDescent="0.2">
      <c r="A217" t="str">
        <f ca="1">ORÇAMENTO!C217</f>
        <v>S</v>
      </c>
      <c r="B217">
        <f ca="1">ORÇAMENTO!D217</f>
        <v>0</v>
      </c>
      <c r="C217" s="114" t="str">
        <f t="shared" ca="1" si="1"/>
        <v>F</v>
      </c>
      <c r="D217" s="117" t="str">
        <f ca="1">ORÇAMENTO!O217</f>
        <v>1.10.3.5.1.</v>
      </c>
      <c r="E217" s="163" t="str">
        <f t="shared" ca="1" si="2"/>
        <v>REVESTIMENTO CERÂMICO PARA PAREDES INTERNAS COM PLACAS TIPO ESMALTADA DE DIMENSÕES 20X20 CM APLICADAS NA ALTURA INTEIRA DAS PAREDES. AF_02/2023_PE</v>
      </c>
      <c r="F217" s="164" t="str" cm="1">
        <f t="array" aca="1" ref="F217" ca="1">IF(RegimeExecucao="Global","",ORÇAMENTO.Unidade)</f>
        <v>M2</v>
      </c>
      <c r="G217" s="122" cm="1">
        <f t="array" aca="1" ref="G217" ca="1">IF(RegimeExecucao="Global","",ORÇAMENTO!T217)</f>
        <v>751.5</v>
      </c>
      <c r="H217" s="122" cm="1">
        <f t="array" aca="1" ref="H217" ca="1">IF(RegimeExecucao="Global","",ORÇAMENTO!W217)</f>
        <v>75.61</v>
      </c>
      <c r="I217" s="125">
        <f ca="1">ORÇAMENTO!X217</f>
        <v>56820.92</v>
      </c>
      <c r="J217" s="333" cm="1">
        <f t="array" aca="1" ref="J217" ca="1">IF($A217="S",IF(CAIXA.Modo,BM.AFAnterior,BM.MEDAnterior),IF(AND(RegimeExecucao="Global",$I217&gt;0,COUNTIF($AB$13:$AM$13,BM.medicao-1)&gt;0),M217/$I217*100,0))</f>
        <v>0</v>
      </c>
      <c r="K217" s="122">
        <f t="shared" ca="1" si="3"/>
        <v>0</v>
      </c>
      <c r="L217" s="334" cm="1">
        <f t="array" aca="1" ref="L217" ca="1">IF($A217="S",IF(CAIXA.Modo,BM.AFAcumulado,BM.MEDAcumulado),IF(AND(RegimeExecucao="Global",$I217&gt;0,COUNTIF($AB$13:$AM$13,BM.medicao)&gt;0),O217/$I217*100,0))</f>
        <v>0</v>
      </c>
      <c r="M217" s="335" cm="1">
        <f t="array" aca="1" ref="M217" ca="1">IF($A217="S",VTOTALBM,IF($A217=0,0,ROUND(SomaAgrupBM,15-13*ORÇAMENTO!$AF$11)))</f>
        <v>0</v>
      </c>
      <c r="N217" s="336">
        <f t="shared" ca="1" si="4"/>
        <v>0</v>
      </c>
      <c r="O217" s="125" cm="1">
        <f t="array" aca="1" ref="O217" ca="1">IF($A217="S",VTOTALBM,IF($A217=0,0,ROUND(SomaAgrupBM,15-13*ORÇAMENTO!$AF$11)))</f>
        <v>0</v>
      </c>
      <c r="Q217" s="337"/>
      <c r="R217" s="338"/>
      <c r="T217" s="117" t="str">
        <f t="shared" ca="1" si="5"/>
        <v/>
      </c>
      <c r="U217" s="163" t="str">
        <f t="shared" ca="1" si="6"/>
        <v/>
      </c>
      <c r="V217" s="164" t="str" cm="1">
        <f t="array" aca="1" ref="V217" ca="1">IF(AND($W217&gt;0,RegimeExecucao="Unitário"),$F217,"")</f>
        <v/>
      </c>
      <c r="W217" s="454" cm="1">
        <f t="array" aca="1" ref="W217" ca="1">IF($Y217&gt;0,CHOOSE(MATCH(RegimeExecucao,{"Unitário","Global"},0),IF($A217="S",$Y217/$X217,""),($Y217/$X217)*100),0)</f>
        <v>0</v>
      </c>
      <c r="X217" s="339" t="str" cm="1">
        <f t="array" aca="1" ref="X217" ca="1">IF($Y217&gt;0,CHOOSE(MATCH(RegimeExecucao,{"Unitário","Global"},0),IF($A217="S",ROUND($H217,ORÇAMENTO!$AF$10),""),ROUND($I217,ORÇAMENTO!$AF$11)),"")</f>
        <v/>
      </c>
      <c r="Y217" s="339">
        <f t="shared" ca="1" si="7"/>
        <v>0</v>
      </c>
      <c r="Z217" s="473"/>
      <c r="AB217" s="337"/>
      <c r="AC217" s="437"/>
      <c r="AD217" s="437"/>
      <c r="AE217" s="437"/>
      <c r="AF217" s="437"/>
      <c r="AG217" s="437"/>
      <c r="AH217" s="437"/>
      <c r="AI217" s="437"/>
      <c r="AJ217" s="437"/>
      <c r="AK217" s="437"/>
      <c r="AL217" s="437"/>
      <c r="AM217" s="338"/>
      <c r="AO217"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ht="25.5" x14ac:dyDescent="0.2">
      <c r="A218" t="str">
        <f ca="1">ORÇAMENTO!C218</f>
        <v>S</v>
      </c>
      <c r="B218">
        <f ca="1">ORÇAMENTO!D218</f>
        <v>0</v>
      </c>
      <c r="C218" s="114" t="str">
        <f t="shared" ca="1" si="1"/>
        <v>F</v>
      </c>
      <c r="D218" s="117" t="str">
        <f ca="1">ORÇAMENTO!O218</f>
        <v>1.10.3.5.2.</v>
      </c>
      <c r="E218" s="163" t="str">
        <f t="shared" ca="1" si="2"/>
        <v>RODAPÉ CERÂMICO DE 7CM DE ALTURA COM PLACAS TIPO ESMALTADA DE DIMENSÕES 35X35CM. AF_02/2023</v>
      </c>
      <c r="F218" s="164" t="str" cm="1">
        <f t="array" aca="1" ref="F218" ca="1">IF(RegimeExecucao="Global","",ORÇAMENTO.Unidade)</f>
        <v>M</v>
      </c>
      <c r="G218" s="122" cm="1">
        <f t="array" aca="1" ref="G218" ca="1">IF(RegimeExecucao="Global","",ORÇAMENTO!T218)</f>
        <v>1423.5</v>
      </c>
      <c r="H218" s="122" cm="1">
        <f t="array" aca="1" ref="H218" ca="1">IF(RegimeExecucao="Global","",ORÇAMENTO!W218)</f>
        <v>9.7200000000000006</v>
      </c>
      <c r="I218" s="125">
        <f ca="1">ORÇAMENTO!X218</f>
        <v>13836.42</v>
      </c>
      <c r="J218" s="333" cm="1">
        <f t="array" aca="1" ref="J218" ca="1">IF($A218="S",IF(CAIXA.Modo,BM.AFAnterior,BM.MEDAnterior),IF(AND(RegimeExecucao="Global",$I218&gt;0,COUNTIF($AB$13:$AM$13,BM.medicao-1)&gt;0),M218/$I218*100,0))</f>
        <v>0</v>
      </c>
      <c r="K218" s="122">
        <f t="shared" ca="1" si="3"/>
        <v>0</v>
      </c>
      <c r="L218" s="334" cm="1">
        <f t="array" aca="1" ref="L218" ca="1">IF($A218="S",IF(CAIXA.Modo,BM.AFAcumulado,BM.MEDAcumulado),IF(AND(RegimeExecucao="Global",$I218&gt;0,COUNTIF($AB$13:$AM$13,BM.medicao)&gt;0),O218/$I218*100,0))</f>
        <v>0</v>
      </c>
      <c r="M218" s="335" cm="1">
        <f t="array" aca="1" ref="M218" ca="1">IF($A218="S",VTOTALBM,IF($A218=0,0,ROUND(SomaAgrupBM,15-13*ORÇAMENTO!$AF$11)))</f>
        <v>0</v>
      </c>
      <c r="N218" s="336">
        <f t="shared" ca="1" si="4"/>
        <v>0</v>
      </c>
      <c r="O218" s="125" cm="1">
        <f t="array" aca="1" ref="O218" ca="1">IF($A218="S",VTOTALBM,IF($A218=0,0,ROUND(SomaAgrupBM,15-13*ORÇAMENTO!$AF$11)))</f>
        <v>0</v>
      </c>
      <c r="Q218" s="337"/>
      <c r="R218" s="338"/>
      <c r="T218" s="117" t="str">
        <f t="shared" ca="1" si="5"/>
        <v/>
      </c>
      <c r="U218" s="163" t="str">
        <f t="shared" ca="1" si="6"/>
        <v/>
      </c>
      <c r="V218" s="164" t="str" cm="1">
        <f t="array" aca="1" ref="V218" ca="1">IF(AND($W218&gt;0,RegimeExecucao="Unitário"),$F218,"")</f>
        <v/>
      </c>
      <c r="W218" s="454" cm="1">
        <f t="array" aca="1" ref="W218" ca="1">IF($Y218&gt;0,CHOOSE(MATCH(RegimeExecucao,{"Unitário","Global"},0),IF($A218="S",$Y218/$X218,""),($Y218/$X218)*100),0)</f>
        <v>0</v>
      </c>
      <c r="X218" s="339" t="str" cm="1">
        <f t="array" aca="1" ref="X218" ca="1">IF($Y218&gt;0,CHOOSE(MATCH(RegimeExecucao,{"Unitário","Global"},0),IF($A218="S",ROUND($H218,ORÇAMENTO!$AF$10),""),ROUND($I218,ORÇAMENTO!$AF$11)),"")</f>
        <v/>
      </c>
      <c r="Y218" s="339">
        <f t="shared" ca="1" si="7"/>
        <v>0</v>
      </c>
      <c r="Z218" s="473"/>
      <c r="AB218" s="337"/>
      <c r="AC218" s="437"/>
      <c r="AD218" s="437"/>
      <c r="AE218" s="437"/>
      <c r="AF218" s="437"/>
      <c r="AG218" s="437"/>
      <c r="AH218" s="437"/>
      <c r="AI218" s="437"/>
      <c r="AJ218" s="437"/>
      <c r="AK218" s="437"/>
      <c r="AL218" s="437"/>
      <c r="AM218" s="338"/>
      <c r="AO21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x14ac:dyDescent="0.2">
      <c r="A219">
        <f ca="1">ORÇAMENTO!C219</f>
        <v>2</v>
      </c>
      <c r="B219">
        <f ca="1">ORÇAMENTO!D219</f>
        <v>3</v>
      </c>
      <c r="C219" s="114" t="str">
        <f t="shared" ca="1" si="1"/>
        <v>F</v>
      </c>
      <c r="D219" s="117" t="str">
        <f ca="1">ORÇAMENTO!O219</f>
        <v>1.11.</v>
      </c>
      <c r="E219" s="163" t="str">
        <f t="shared" si="2"/>
        <v>FORROS</v>
      </c>
      <c r="F219" s="164" t="str" cm="1">
        <f t="array" aca="1" ref="F219" ca="1">IF(RegimeExecucao="Global","",ORÇAMENTO.Unidade)</f>
        <v>-</v>
      </c>
      <c r="G219" s="122" cm="1">
        <f t="array" aca="1" ref="G219" ca="1">IF(RegimeExecucao="Global","",ORÇAMENTO!T219)</f>
        <v>0</v>
      </c>
      <c r="H219" s="122" cm="1">
        <f t="array" aca="1" ref="H219" ca="1">IF(RegimeExecucao="Global","",ORÇAMENTO!W219)</f>
        <v>0</v>
      </c>
      <c r="I219" s="125">
        <f ca="1">ORÇAMENTO!X219</f>
        <v>167762.71</v>
      </c>
      <c r="J219" s="333" cm="1">
        <f t="array" aca="1" ref="J219" ca="1">IF($A219="S",IF(CAIXA.Modo,BM.AFAnterior,BM.MEDAnterior),IF(AND(RegimeExecucao="Global",$I219&gt;0,COUNTIF($AB$13:$AM$13,BM.medicao-1)&gt;0),M219/$I219*100,0))</f>
        <v>0</v>
      </c>
      <c r="K219" s="122">
        <f t="shared" ca="1" si="3"/>
        <v>0</v>
      </c>
      <c r="L219" s="334" cm="1">
        <f t="array" aca="1" ref="L219" ca="1">IF($A219="S",IF(CAIXA.Modo,BM.AFAcumulado,BM.MEDAcumulado),IF(AND(RegimeExecucao="Global",$I219&gt;0,COUNTIF($AB$13:$AM$13,BM.medicao)&gt;0),O219/$I219*100,0))</f>
        <v>0</v>
      </c>
      <c r="M219" s="335" cm="1">
        <f t="array" aca="1" ref="M219" ca="1">IF($A219="S",VTOTALBM,IF($A219=0,0,ROUND(SomaAgrupBM,15-13*ORÇAMENTO!$AF$11)))</f>
        <v>0</v>
      </c>
      <c r="N219" s="336">
        <f t="shared" ca="1" si="4"/>
        <v>0</v>
      </c>
      <c r="O219" s="125" cm="1">
        <f t="array" aca="1" ref="O219" ca="1">IF($A219="S",VTOTALBM,IF($A219=0,0,ROUND(SomaAgrupBM,15-13*ORÇAMENTO!$AF$11)))</f>
        <v>0</v>
      </c>
      <c r="Q219" s="337"/>
      <c r="R219" s="338"/>
      <c r="T219" s="117" t="str">
        <f t="shared" ca="1" si="5"/>
        <v/>
      </c>
      <c r="U219" s="163" t="str">
        <f t="shared" ca="1" si="6"/>
        <v/>
      </c>
      <c r="V219" s="164" t="str" cm="1">
        <f t="array" aca="1" ref="V219" ca="1">IF(AND($W219&gt;0,RegimeExecucao="Unitário"),$F219,"")</f>
        <v/>
      </c>
      <c r="W219" s="454" cm="1">
        <f t="array" aca="1" ref="W219" ca="1">IF($Y219&gt;0,CHOOSE(MATCH(RegimeExecucao,{"Unitário","Global"},0),IF($A219="S",$Y219/$X219,""),($Y219/$X219)*100),0)</f>
        <v>0</v>
      </c>
      <c r="X219" s="339" t="str" cm="1">
        <f t="array" aca="1" ref="X219" ca="1">IF($Y219&gt;0,CHOOSE(MATCH(RegimeExecucao,{"Unitário","Global"},0),IF($A219="S",ROUND($H219,ORÇAMENTO!$AF$10),""),ROUND($I219,ORÇAMENTO!$AF$11)),"")</f>
        <v/>
      </c>
      <c r="Y219" s="339">
        <f t="shared" ca="1" si="7"/>
        <v>0</v>
      </c>
      <c r="Z219" s="473"/>
      <c r="AB219" s="337"/>
      <c r="AC219" s="437"/>
      <c r="AD219" s="437"/>
      <c r="AE219" s="437"/>
      <c r="AF219" s="437"/>
      <c r="AG219" s="437"/>
      <c r="AH219" s="437"/>
      <c r="AI219" s="437"/>
      <c r="AJ219" s="437"/>
      <c r="AK219" s="437"/>
      <c r="AL219" s="437"/>
      <c r="AM219" s="338"/>
      <c r="AO219"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ht="38.25" x14ac:dyDescent="0.2">
      <c r="A220" t="str">
        <f ca="1">ORÇAMENTO!C220</f>
        <v>S</v>
      </c>
      <c r="B220">
        <f ca="1">ORÇAMENTO!D220</f>
        <v>0</v>
      </c>
      <c r="C220" s="114" t="str">
        <f t="shared" ca="1" si="1"/>
        <v>F</v>
      </c>
      <c r="D220" s="117" t="str">
        <f ca="1">ORÇAMENTO!O220</f>
        <v>1.11.0.0.1.</v>
      </c>
      <c r="E220" s="163" t="str">
        <f t="shared" ca="1" si="2"/>
        <v>FORRO EM RÉGUAS DE PVC, FRISADO, PARA AMBIENTES RESIDENCIAIS, INCLUSIVE ESTRUTURA UNIDIRECIONAL DE FIXAÇÃO. AF_08/2023_PS</v>
      </c>
      <c r="F220" s="164" t="str" cm="1">
        <f t="array" aca="1" ref="F220" ca="1">IF(RegimeExecucao="Global","",ORÇAMENTO.Unidade)</f>
        <v>M2</v>
      </c>
      <c r="G220" s="122" cm="1">
        <f t="array" aca="1" ref="G220" ca="1">IF(RegimeExecucao="Global","",ORÇAMENTO!T220)</f>
        <v>1498.2</v>
      </c>
      <c r="H220" s="122" cm="1">
        <f t="array" aca="1" ref="H220" ca="1">IF(RegimeExecucao="Global","",ORÇAMENTO!W220)</f>
        <v>91.36</v>
      </c>
      <c r="I220" s="125">
        <f ca="1">ORÇAMENTO!X220</f>
        <v>136875.54999999999</v>
      </c>
      <c r="J220" s="333" cm="1">
        <f t="array" aca="1" ref="J220" ca="1">IF($A220="S",IF(CAIXA.Modo,BM.AFAnterior,BM.MEDAnterior),IF(AND(RegimeExecucao="Global",$I220&gt;0,COUNTIF($AB$13:$AM$13,BM.medicao-1)&gt;0),M220/$I220*100,0))</f>
        <v>0</v>
      </c>
      <c r="K220" s="122">
        <f t="shared" ca="1" si="3"/>
        <v>0</v>
      </c>
      <c r="L220" s="334" cm="1">
        <f t="array" aca="1" ref="L220" ca="1">IF($A220="S",IF(CAIXA.Modo,BM.AFAcumulado,BM.MEDAcumulado),IF(AND(RegimeExecucao="Global",$I220&gt;0,COUNTIF($AB$13:$AM$13,BM.medicao)&gt;0),O220/$I220*100,0))</f>
        <v>0</v>
      </c>
      <c r="M220" s="335" cm="1">
        <f t="array" aca="1" ref="M220" ca="1">IF($A220="S",VTOTALBM,IF($A220=0,0,ROUND(SomaAgrupBM,15-13*ORÇAMENTO!$AF$11)))</f>
        <v>0</v>
      </c>
      <c r="N220" s="336">
        <f t="shared" ca="1" si="4"/>
        <v>0</v>
      </c>
      <c r="O220" s="125" cm="1">
        <f t="array" aca="1" ref="O220" ca="1">IF($A220="S",VTOTALBM,IF($A220=0,0,ROUND(SomaAgrupBM,15-13*ORÇAMENTO!$AF$11)))</f>
        <v>0</v>
      </c>
      <c r="Q220" s="337"/>
      <c r="R220" s="338"/>
      <c r="T220" s="117" t="str">
        <f t="shared" ca="1" si="5"/>
        <v/>
      </c>
      <c r="U220" s="163" t="str">
        <f t="shared" ca="1" si="6"/>
        <v/>
      </c>
      <c r="V220" s="164" t="str" cm="1">
        <f t="array" aca="1" ref="V220" ca="1">IF(AND($W220&gt;0,RegimeExecucao="Unitário"),$F220,"")</f>
        <v/>
      </c>
      <c r="W220" s="454" cm="1">
        <f t="array" aca="1" ref="W220" ca="1">IF($Y220&gt;0,CHOOSE(MATCH(RegimeExecucao,{"Unitário","Global"},0),IF($A220="S",$Y220/$X220,""),($Y220/$X220)*100),0)</f>
        <v>0</v>
      </c>
      <c r="X220" s="339" t="str" cm="1">
        <f t="array" aca="1" ref="X220" ca="1">IF($Y220&gt;0,CHOOSE(MATCH(RegimeExecucao,{"Unitário","Global"},0),IF($A220="S",ROUND($H220,ORÇAMENTO!$AF$10),""),ROUND($I220,ORÇAMENTO!$AF$11)),"")</f>
        <v/>
      </c>
      <c r="Y220" s="339">
        <f t="shared" ca="1" si="7"/>
        <v>0</v>
      </c>
      <c r="Z220" s="473"/>
      <c r="AB220" s="337"/>
      <c r="AC220" s="437"/>
      <c r="AD220" s="437"/>
      <c r="AE220" s="437"/>
      <c r="AF220" s="437"/>
      <c r="AG220" s="437"/>
      <c r="AH220" s="437"/>
      <c r="AI220" s="437"/>
      <c r="AJ220" s="437"/>
      <c r="AK220" s="437"/>
      <c r="AL220" s="437"/>
      <c r="AM220" s="338"/>
      <c r="AO220"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ht="25.5" x14ac:dyDescent="0.2">
      <c r="A221" t="str">
        <f ca="1">ORÇAMENTO!C221</f>
        <v>S</v>
      </c>
      <c r="B221">
        <f ca="1">ORÇAMENTO!D221</f>
        <v>0</v>
      </c>
      <c r="C221" s="114" t="str">
        <f ca="1">IF(OR($I221&gt;0,$A221=1,$A221=2,$A221=3,$A221=4),"F","")</f>
        <v>F</v>
      </c>
      <c r="D221" s="117" t="str">
        <f ca="1">ORÇAMENTO!O221</f>
        <v>1.11.0.0.2.</v>
      </c>
      <c r="E221" s="163" t="str">
        <f ca="1">ORÇAMENTO.Descricao</f>
        <v>ACABAMENTOS PARA FORRO (RODA-FORRO EM PERFIL METÁLICO E PLÁSTICO). AF_08/2023</v>
      </c>
      <c r="F221" s="164" t="str" cm="1">
        <f t="array" aca="1" ref="F221" ca="1">IF(RegimeExecucao="Global","",ORÇAMENTO.Unidade)</f>
        <v>M</v>
      </c>
      <c r="G221" s="122" cm="1">
        <f t="array" aca="1" ref="G221" ca="1">IF(RegimeExecucao="Global","",ORÇAMENTO!T221)</f>
        <v>1767</v>
      </c>
      <c r="H221" s="122" cm="1">
        <f t="array" aca="1" ref="H221" ca="1">IF(RegimeExecucao="Global","",ORÇAMENTO!W221)</f>
        <v>17.48</v>
      </c>
      <c r="I221" s="125">
        <f ca="1">ORÇAMENTO!X221</f>
        <v>30887.16</v>
      </c>
      <c r="J221" s="333" cm="1">
        <f t="array" aca="1" ref="J221" ca="1">IF($A221="S",IF(CAIXA.Modo,BM.AFAnterior,BM.MEDAnterior),IF(AND(RegimeExecucao="Global",$I221&gt;0,COUNTIF($AB$13:$AM$13,BM.medicao-1)&gt;0),M221/$I221*100,0))</f>
        <v>0</v>
      </c>
      <c r="K221" s="122">
        <f ca="1">L221-J221</f>
        <v>0</v>
      </c>
      <c r="L221" s="334" cm="1">
        <f t="array" aca="1" ref="L221" ca="1">IF($A221="S",IF(CAIXA.Modo,BM.AFAcumulado,BM.MEDAcumulado),IF(AND(RegimeExecucao="Global",$I221&gt;0,COUNTIF($AB$13:$AM$13,BM.medicao)&gt;0),O221/$I221*100,0))</f>
        <v>0</v>
      </c>
      <c r="M221" s="335" cm="1">
        <f t="array" aca="1" ref="M221" ca="1">IF($A221="S",VTOTALBM,IF($A221=0,0,ROUND(SomaAgrupBM,15-13*ORÇAMENTO!$AF$11)))</f>
        <v>0</v>
      </c>
      <c r="N221" s="336">
        <f ca="1">O221-M221</f>
        <v>0</v>
      </c>
      <c r="O221" s="125" cm="1">
        <f t="array" aca="1" ref="O221" ca="1">IF($A221="S",VTOTALBM,IF($A221=0,0,ROUND(SomaAgrupBM,15-13*ORÇAMENTO!$AF$11)))</f>
        <v>0</v>
      </c>
      <c r="Q221" s="337"/>
      <c r="R221" s="338"/>
      <c r="T221" s="117" t="str">
        <f ca="1">IF($W221&gt;0,$D221,"")</f>
        <v/>
      </c>
      <c r="U221" s="163" t="str">
        <f ca="1">IF($W221&gt;0,$E221,"")</f>
        <v/>
      </c>
      <c r="V221" s="164" t="str" cm="1">
        <f t="array" aca="1" ref="V221" ca="1">IF(AND($W221&gt;0,RegimeExecucao="Unitário"),$F221,"")</f>
        <v/>
      </c>
      <c r="W221" s="454" cm="1">
        <f t="array" aca="1" ref="W221" ca="1">IF($Y221&gt;0,CHOOSE(MATCH(RegimeExecucao,{"Unitário","Global"},0),IF($A221="S",$Y221/$X221,""),($Y221/$X221)*100),0)</f>
        <v>0</v>
      </c>
      <c r="X221" s="339" t="str" cm="1">
        <f t="array" aca="1" ref="X221" ca="1">IF($Y221&gt;0,CHOOSE(MATCH(RegimeExecucao,{"Unitário","Global"},0),IF($A221="S",ROUND($H221,ORÇAMENTO!$AF$10),""),ROUND($I221,ORÇAMENTO!$AF$11)),"")</f>
        <v/>
      </c>
      <c r="Y221" s="339">
        <f ca="1">AO221-O221</f>
        <v>0</v>
      </c>
      <c r="Z221" s="473"/>
      <c r="AB221" s="337"/>
      <c r="AC221" s="437"/>
      <c r="AD221" s="437"/>
      <c r="AE221" s="437"/>
      <c r="AF221" s="437"/>
      <c r="AG221" s="437"/>
      <c r="AH221" s="437"/>
      <c r="AI221" s="437"/>
      <c r="AJ221" s="437"/>
      <c r="AK221" s="437"/>
      <c r="AL221" s="437"/>
      <c r="AM221" s="338"/>
      <c r="AO221"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x14ac:dyDescent="0.2">
      <c r="A222">
        <f ca="1">ORÇAMENTO!C222</f>
        <v>2</v>
      </c>
      <c r="B222">
        <f ca="1">ORÇAMENTO!D222</f>
        <v>12</v>
      </c>
      <c r="C222" s="114" t="str">
        <f t="shared" ca="1" si="1"/>
        <v>F</v>
      </c>
      <c r="D222" s="117" t="str">
        <f ca="1">ORÇAMENTO!O222</f>
        <v>1.12.</v>
      </c>
      <c r="E222" s="163" t="str">
        <f t="shared" si="2"/>
        <v>PINTURAS</v>
      </c>
      <c r="F222" s="164" t="str" cm="1">
        <f t="array" aca="1" ref="F222" ca="1">IF(RegimeExecucao="Global","",ORÇAMENTO.Unidade)</f>
        <v>-</v>
      </c>
      <c r="G222" s="122" cm="1">
        <f t="array" aca="1" ref="G222" ca="1">IF(RegimeExecucao="Global","",ORÇAMENTO!T222)</f>
        <v>0</v>
      </c>
      <c r="H222" s="122" cm="1">
        <f t="array" aca="1" ref="H222" ca="1">IF(RegimeExecucao="Global","",ORÇAMENTO!W222)</f>
        <v>0</v>
      </c>
      <c r="I222" s="125">
        <f ca="1">ORÇAMENTO!X222</f>
        <v>138220.89000000001</v>
      </c>
      <c r="J222" s="333" cm="1">
        <f t="array" aca="1" ref="J222" ca="1">IF($A222="S",IF(CAIXA.Modo,BM.AFAnterior,BM.MEDAnterior),IF(AND(RegimeExecucao="Global",$I222&gt;0,COUNTIF($AB$13:$AM$13,BM.medicao-1)&gt;0),M222/$I222*100,0))</f>
        <v>0</v>
      </c>
      <c r="K222" s="122">
        <f t="shared" ca="1" si="3"/>
        <v>0</v>
      </c>
      <c r="L222" s="334" cm="1">
        <f t="array" aca="1" ref="L222" ca="1">IF($A222="S",IF(CAIXA.Modo,BM.AFAcumulado,BM.MEDAcumulado),IF(AND(RegimeExecucao="Global",$I222&gt;0,COUNTIF($AB$13:$AM$13,BM.medicao)&gt;0),O222/$I222*100,0))</f>
        <v>0</v>
      </c>
      <c r="M222" s="335" cm="1">
        <f t="array" aca="1" ref="M222" ca="1">IF($A222="S",VTOTALBM,IF($A222=0,0,ROUND(SomaAgrupBM,15-13*ORÇAMENTO!$AF$11)))</f>
        <v>0</v>
      </c>
      <c r="N222" s="336">
        <f t="shared" ca="1" si="4"/>
        <v>0</v>
      </c>
      <c r="O222" s="125" cm="1">
        <f t="array" aca="1" ref="O222" ca="1">IF($A222="S",VTOTALBM,IF($A222=0,0,ROUND(SomaAgrupBM,15-13*ORÇAMENTO!$AF$11)))</f>
        <v>0</v>
      </c>
      <c r="Q222" s="337"/>
      <c r="R222" s="338"/>
      <c r="T222" s="117" t="str">
        <f t="shared" ca="1" si="5"/>
        <v/>
      </c>
      <c r="U222" s="163" t="str">
        <f t="shared" ca="1" si="6"/>
        <v/>
      </c>
      <c r="V222" s="164" t="str" cm="1">
        <f t="array" aca="1" ref="V222" ca="1">IF(AND($W222&gt;0,RegimeExecucao="Unitário"),$F222,"")</f>
        <v/>
      </c>
      <c r="W222" s="454" cm="1">
        <f t="array" aca="1" ref="W222" ca="1">IF($Y222&gt;0,CHOOSE(MATCH(RegimeExecucao,{"Unitário","Global"},0),IF($A222="S",$Y222/$X222,""),($Y222/$X222)*100),0)</f>
        <v>0</v>
      </c>
      <c r="X222" s="339" t="str" cm="1">
        <f t="array" aca="1" ref="X222" ca="1">IF($Y222&gt;0,CHOOSE(MATCH(RegimeExecucao,{"Unitário","Global"},0),IF($A222="S",ROUND($H222,ORÇAMENTO!$AF$10),""),ROUND($I222,ORÇAMENTO!$AF$11)),"")</f>
        <v/>
      </c>
      <c r="Y222" s="339">
        <f t="shared" ca="1" si="7"/>
        <v>0</v>
      </c>
      <c r="Z222" s="473"/>
      <c r="AB222" s="337"/>
      <c r="AC222" s="437"/>
      <c r="AD222" s="437"/>
      <c r="AE222" s="437"/>
      <c r="AF222" s="437"/>
      <c r="AG222" s="437"/>
      <c r="AH222" s="437"/>
      <c r="AI222" s="437"/>
      <c r="AJ222" s="437"/>
      <c r="AK222" s="437"/>
      <c r="AL222" s="437"/>
      <c r="AM222" s="338"/>
      <c r="AO222"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x14ac:dyDescent="0.2">
      <c r="A223">
        <f ca="1">ORÇAMENTO!C223</f>
        <v>3</v>
      </c>
      <c r="B223">
        <f ca="1">ORÇAMENTO!D223</f>
        <v>3</v>
      </c>
      <c r="C223" s="114" t="str">
        <f t="shared" ca="1" si="1"/>
        <v>F</v>
      </c>
      <c r="D223" s="117" t="str">
        <f ca="1">ORÇAMENTO!O223</f>
        <v>1.12.1.</v>
      </c>
      <c r="E223" s="163" t="str">
        <f t="shared" si="2"/>
        <v>EXTERNA</v>
      </c>
      <c r="F223" s="164" t="str" cm="1">
        <f t="array" aca="1" ref="F223" ca="1">IF(RegimeExecucao="Global","",ORÇAMENTO.Unidade)</f>
        <v>-</v>
      </c>
      <c r="G223" s="122" cm="1">
        <f t="array" aca="1" ref="G223" ca="1">IF(RegimeExecucao="Global","",ORÇAMENTO!T223)</f>
        <v>0</v>
      </c>
      <c r="H223" s="122" cm="1">
        <f t="array" aca="1" ref="H223" ca="1">IF(RegimeExecucao="Global","",ORÇAMENTO!W223)</f>
        <v>0</v>
      </c>
      <c r="I223" s="125">
        <f ca="1">ORÇAMENTO!X223</f>
        <v>67073.929999999993</v>
      </c>
      <c r="J223" s="333" cm="1">
        <f t="array" aca="1" ref="J223" ca="1">IF($A223="S",IF(CAIXA.Modo,BM.AFAnterior,BM.MEDAnterior),IF(AND(RegimeExecucao="Global",$I223&gt;0,COUNTIF($AB$13:$AM$13,BM.medicao-1)&gt;0),M223/$I223*100,0))</f>
        <v>0</v>
      </c>
      <c r="K223" s="122">
        <f t="shared" ca="1" si="3"/>
        <v>0</v>
      </c>
      <c r="L223" s="334" cm="1">
        <f t="array" aca="1" ref="L223" ca="1">IF($A223="S",IF(CAIXA.Modo,BM.AFAcumulado,BM.MEDAcumulado),IF(AND(RegimeExecucao="Global",$I223&gt;0,COUNTIF($AB$13:$AM$13,BM.medicao)&gt;0),O223/$I223*100,0))</f>
        <v>0</v>
      </c>
      <c r="M223" s="335" cm="1">
        <f t="array" aca="1" ref="M223" ca="1">IF($A223="S",VTOTALBM,IF($A223=0,0,ROUND(SomaAgrupBM,15-13*ORÇAMENTO!$AF$11)))</f>
        <v>0</v>
      </c>
      <c r="N223" s="336">
        <f t="shared" ca="1" si="4"/>
        <v>0</v>
      </c>
      <c r="O223" s="125" cm="1">
        <f t="array" aca="1" ref="O223" ca="1">IF($A223="S",VTOTALBM,IF($A223=0,0,ROUND(SomaAgrupBM,15-13*ORÇAMENTO!$AF$11)))</f>
        <v>0</v>
      </c>
      <c r="Q223" s="337"/>
      <c r="R223" s="338"/>
      <c r="T223" s="117" t="str">
        <f t="shared" ca="1" si="5"/>
        <v/>
      </c>
      <c r="U223" s="163" t="str">
        <f t="shared" ca="1" si="6"/>
        <v/>
      </c>
      <c r="V223" s="164" t="str" cm="1">
        <f t="array" aca="1" ref="V223" ca="1">IF(AND($W223&gt;0,RegimeExecucao="Unitário"),$F223,"")</f>
        <v/>
      </c>
      <c r="W223" s="454" cm="1">
        <f t="array" aca="1" ref="W223" ca="1">IF($Y223&gt;0,CHOOSE(MATCH(RegimeExecucao,{"Unitário","Global"},0),IF($A223="S",$Y223/$X223,""),($Y223/$X223)*100),0)</f>
        <v>0</v>
      </c>
      <c r="X223" s="339" t="str" cm="1">
        <f t="array" aca="1" ref="X223" ca="1">IF($Y223&gt;0,CHOOSE(MATCH(RegimeExecucao,{"Unitário","Global"},0),IF($A223="S",ROUND($H223,ORÇAMENTO!$AF$10),""),ROUND($I223,ORÇAMENTO!$AF$11)),"")</f>
        <v/>
      </c>
      <c r="Y223" s="339">
        <f t="shared" ca="1" si="7"/>
        <v>0</v>
      </c>
      <c r="Z223" s="473"/>
      <c r="AB223" s="337"/>
      <c r="AC223" s="437"/>
      <c r="AD223" s="437"/>
      <c r="AE223" s="437"/>
      <c r="AF223" s="437"/>
      <c r="AG223" s="437"/>
      <c r="AH223" s="437"/>
      <c r="AI223" s="437"/>
      <c r="AJ223" s="437"/>
      <c r="AK223" s="437"/>
      <c r="AL223" s="437"/>
      <c r="AM223" s="338"/>
      <c r="AO223"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ht="25.5" x14ac:dyDescent="0.2">
      <c r="A224" t="str">
        <f ca="1">ORÇAMENTO!C224</f>
        <v>S</v>
      </c>
      <c r="B224">
        <f ca="1">ORÇAMENTO!D224</f>
        <v>0</v>
      </c>
      <c r="C224" s="114" t="str">
        <f t="shared" ca="1" si="1"/>
        <v>F</v>
      </c>
      <c r="D224" s="117" t="str">
        <f ca="1">ORÇAMENTO!O224</f>
        <v>1.12.1.0.1.</v>
      </c>
      <c r="E224" s="163" t="str">
        <f t="shared" ca="1" si="2"/>
        <v>APLICAÇÃO MANUAL DE FUNDO SELADOR ACRÍLICO EM PAREDES EXTERNAS DE CASAS. AF_03/2024</v>
      </c>
      <c r="F224" s="164" t="str" cm="1">
        <f t="array" aca="1" ref="F224" ca="1">IF(RegimeExecucao="Global","",ORÇAMENTO.Unidade)</f>
        <v>M2</v>
      </c>
      <c r="G224" s="122" cm="1">
        <f t="array" aca="1" ref="G224" ca="1">IF(RegimeExecucao="Global","",ORÇAMENTO!T224)</f>
        <v>2545.5</v>
      </c>
      <c r="H224" s="122" cm="1">
        <f t="array" aca="1" ref="H224" ca="1">IF(RegimeExecucao="Global","",ORÇAMENTO!W224)</f>
        <v>5.44</v>
      </c>
      <c r="I224" s="125">
        <f ca="1">ORÇAMENTO!X224</f>
        <v>13847.52</v>
      </c>
      <c r="J224" s="333" cm="1">
        <f t="array" aca="1" ref="J224" ca="1">IF($A224="S",IF(CAIXA.Modo,BM.AFAnterior,BM.MEDAnterior),IF(AND(RegimeExecucao="Global",$I224&gt;0,COUNTIF($AB$13:$AM$13,BM.medicao-1)&gt;0),M224/$I224*100,0))</f>
        <v>0</v>
      </c>
      <c r="K224" s="122">
        <f t="shared" ca="1" si="3"/>
        <v>0</v>
      </c>
      <c r="L224" s="334" cm="1">
        <f t="array" aca="1" ref="L224" ca="1">IF($A224="S",IF(CAIXA.Modo,BM.AFAcumulado,BM.MEDAcumulado),IF(AND(RegimeExecucao="Global",$I224&gt;0,COUNTIF($AB$13:$AM$13,BM.medicao)&gt;0),O224/$I224*100,0))</f>
        <v>0</v>
      </c>
      <c r="M224" s="335" cm="1">
        <f t="array" aca="1" ref="M224" ca="1">IF($A224="S",VTOTALBM,IF($A224=0,0,ROUND(SomaAgrupBM,15-13*ORÇAMENTO!$AF$11)))</f>
        <v>0</v>
      </c>
      <c r="N224" s="336">
        <f t="shared" ca="1" si="4"/>
        <v>0</v>
      </c>
      <c r="O224" s="125" cm="1">
        <f t="array" aca="1" ref="O224" ca="1">IF($A224="S",VTOTALBM,IF($A224=0,0,ROUND(SomaAgrupBM,15-13*ORÇAMENTO!$AF$11)))</f>
        <v>0</v>
      </c>
      <c r="Q224" s="337"/>
      <c r="R224" s="338"/>
      <c r="T224" s="117" t="str">
        <f t="shared" ca="1" si="5"/>
        <v/>
      </c>
      <c r="U224" s="163" t="str">
        <f t="shared" ca="1" si="6"/>
        <v/>
      </c>
      <c r="V224" s="164" t="str" cm="1">
        <f t="array" aca="1" ref="V224" ca="1">IF(AND($W224&gt;0,RegimeExecucao="Unitário"),$F224,"")</f>
        <v/>
      </c>
      <c r="W224" s="454" cm="1">
        <f t="array" aca="1" ref="W224" ca="1">IF($Y224&gt;0,CHOOSE(MATCH(RegimeExecucao,{"Unitário","Global"},0),IF($A224="S",$Y224/$X224,""),($Y224/$X224)*100),0)</f>
        <v>0</v>
      </c>
      <c r="X224" s="339" t="str" cm="1">
        <f t="array" aca="1" ref="X224" ca="1">IF($Y224&gt;0,CHOOSE(MATCH(RegimeExecucao,{"Unitário","Global"},0),IF($A224="S",ROUND($H224,ORÇAMENTO!$AF$10),""),ROUND($I224,ORÇAMENTO!$AF$11)),"")</f>
        <v/>
      </c>
      <c r="Y224" s="339">
        <f t="shared" ca="1" si="7"/>
        <v>0</v>
      </c>
      <c r="Z224" s="473"/>
      <c r="AB224" s="337"/>
      <c r="AC224" s="437"/>
      <c r="AD224" s="437"/>
      <c r="AE224" s="437"/>
      <c r="AF224" s="437"/>
      <c r="AG224" s="437"/>
      <c r="AH224" s="437"/>
      <c r="AI224" s="437"/>
      <c r="AJ224" s="437"/>
      <c r="AK224" s="437"/>
      <c r="AL224" s="437"/>
      <c r="AM224" s="338"/>
      <c r="AO224"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ht="25.5" x14ac:dyDescent="0.2">
      <c r="A225" t="str">
        <f ca="1">ORÇAMENTO!C225</f>
        <v>S</v>
      </c>
      <c r="B225">
        <f ca="1">ORÇAMENTO!D225</f>
        <v>0</v>
      </c>
      <c r="C225" s="114" t="str">
        <f t="shared" ca="1" si="1"/>
        <v>F</v>
      </c>
      <c r="D225" s="117" t="str">
        <f ca="1">ORÇAMENTO!O225</f>
        <v>1.12.1.0.2.</v>
      </c>
      <c r="E225" s="163" t="str">
        <f t="shared" ca="1" si="2"/>
        <v>APLICAÇÃO MANUAL DE TINTA LÁTEX ACRÍLICA EM PAREDE EXTERNAS DE CASAS, DUAS DEMÃOS. AF_03/2024</v>
      </c>
      <c r="F225" s="164" t="str" cm="1">
        <f t="array" aca="1" ref="F225" ca="1">IF(RegimeExecucao="Global","",ORÇAMENTO.Unidade)</f>
        <v>M2</v>
      </c>
      <c r="G225" s="122" cm="1">
        <f t="array" aca="1" ref="G225" ca="1">IF(RegimeExecucao="Global","",ORÇAMENTO!T225)</f>
        <v>2545.5</v>
      </c>
      <c r="H225" s="122" cm="1">
        <f t="array" aca="1" ref="H225" ca="1">IF(RegimeExecucao="Global","",ORÇAMENTO!W225)</f>
        <v>20.91</v>
      </c>
      <c r="I225" s="125">
        <f ca="1">ORÇAMENTO!X225</f>
        <v>53226.41</v>
      </c>
      <c r="J225" s="333" cm="1">
        <f t="array" aca="1" ref="J225" ca="1">IF($A225="S",IF(CAIXA.Modo,BM.AFAnterior,BM.MEDAnterior),IF(AND(RegimeExecucao="Global",$I225&gt;0,COUNTIF($AB$13:$AM$13,BM.medicao-1)&gt;0),M225/$I225*100,0))</f>
        <v>0</v>
      </c>
      <c r="K225" s="122">
        <f t="shared" ca="1" si="3"/>
        <v>0</v>
      </c>
      <c r="L225" s="334" cm="1">
        <f t="array" aca="1" ref="L225" ca="1">IF($A225="S",IF(CAIXA.Modo,BM.AFAcumulado,BM.MEDAcumulado),IF(AND(RegimeExecucao="Global",$I225&gt;0,COUNTIF($AB$13:$AM$13,BM.medicao)&gt;0),O225/$I225*100,0))</f>
        <v>0</v>
      </c>
      <c r="M225" s="335" cm="1">
        <f t="array" aca="1" ref="M225" ca="1">IF($A225="S",VTOTALBM,IF($A225=0,0,ROUND(SomaAgrupBM,15-13*ORÇAMENTO!$AF$11)))</f>
        <v>0</v>
      </c>
      <c r="N225" s="336">
        <f t="shared" ca="1" si="4"/>
        <v>0</v>
      </c>
      <c r="O225" s="125" cm="1">
        <f t="array" aca="1" ref="O225" ca="1">IF($A225="S",VTOTALBM,IF($A225=0,0,ROUND(SomaAgrupBM,15-13*ORÇAMENTO!$AF$11)))</f>
        <v>0</v>
      </c>
      <c r="Q225" s="337"/>
      <c r="R225" s="338"/>
      <c r="T225" s="117" t="str">
        <f t="shared" ca="1" si="5"/>
        <v/>
      </c>
      <c r="U225" s="163" t="str">
        <f t="shared" ca="1" si="6"/>
        <v/>
      </c>
      <c r="V225" s="164" t="str" cm="1">
        <f t="array" aca="1" ref="V225" ca="1">IF(AND($W225&gt;0,RegimeExecucao="Unitário"),$F225,"")</f>
        <v/>
      </c>
      <c r="W225" s="454" cm="1">
        <f t="array" aca="1" ref="W225" ca="1">IF($Y225&gt;0,CHOOSE(MATCH(RegimeExecucao,{"Unitário","Global"},0),IF($A225="S",$Y225/$X225,""),($Y225/$X225)*100),0)</f>
        <v>0</v>
      </c>
      <c r="X225" s="339" t="str" cm="1">
        <f t="array" aca="1" ref="X225" ca="1">IF($Y225&gt;0,CHOOSE(MATCH(RegimeExecucao,{"Unitário","Global"},0),IF($A225="S",ROUND($H225,ORÇAMENTO!$AF$10),""),ROUND($I225,ORÇAMENTO!$AF$11)),"")</f>
        <v/>
      </c>
      <c r="Y225" s="339">
        <f t="shared" ca="1" si="7"/>
        <v>0</v>
      </c>
      <c r="Z225" s="473"/>
      <c r="AB225" s="337"/>
      <c r="AC225" s="437"/>
      <c r="AD225" s="437"/>
      <c r="AE225" s="437"/>
      <c r="AF225" s="437"/>
      <c r="AG225" s="437"/>
      <c r="AH225" s="437"/>
      <c r="AI225" s="437"/>
      <c r="AJ225" s="437"/>
      <c r="AK225" s="437"/>
      <c r="AL225" s="437"/>
      <c r="AM225" s="338"/>
      <c r="AO225"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x14ac:dyDescent="0.2">
      <c r="A226">
        <f ca="1">ORÇAMENTO!C226</f>
        <v>3</v>
      </c>
      <c r="B226">
        <f ca="1">ORÇAMENTO!D226</f>
        <v>8</v>
      </c>
      <c r="C226" s="114" t="str">
        <f t="shared" ca="1" si="1"/>
        <v>F</v>
      </c>
      <c r="D226" s="117" t="str">
        <f ca="1">ORÇAMENTO!O226</f>
        <v>1.12.2.</v>
      </c>
      <c r="E226" s="163" t="str">
        <f t="shared" si="2"/>
        <v>INTERNA</v>
      </c>
      <c r="F226" s="164" t="str" cm="1">
        <f t="array" aca="1" ref="F226" ca="1">IF(RegimeExecucao="Global","",ORÇAMENTO.Unidade)</f>
        <v>-</v>
      </c>
      <c r="G226" s="122" cm="1">
        <f t="array" aca="1" ref="G226" ca="1">IF(RegimeExecucao="Global","",ORÇAMENTO!T226)</f>
        <v>0</v>
      </c>
      <c r="H226" s="122" cm="1">
        <f t="array" aca="1" ref="H226" ca="1">IF(RegimeExecucao="Global","",ORÇAMENTO!W226)</f>
        <v>0</v>
      </c>
      <c r="I226" s="125">
        <f ca="1">ORÇAMENTO!X226</f>
        <v>71146.960000000006</v>
      </c>
      <c r="J226" s="333" cm="1">
        <f t="array" aca="1" ref="J226" ca="1">IF($A226="S",IF(CAIXA.Modo,BM.AFAnterior,BM.MEDAnterior),IF(AND(RegimeExecucao="Global",$I226&gt;0,COUNTIF($AB$13:$AM$13,BM.medicao-1)&gt;0),M226/$I226*100,0))</f>
        <v>0</v>
      </c>
      <c r="K226" s="122">
        <f t="shared" ca="1" si="3"/>
        <v>0</v>
      </c>
      <c r="L226" s="334" cm="1">
        <f t="array" aca="1" ref="L226" ca="1">IF($A226="S",IF(CAIXA.Modo,BM.AFAcumulado,BM.MEDAcumulado),IF(AND(RegimeExecucao="Global",$I226&gt;0,COUNTIF($AB$13:$AM$13,BM.medicao)&gt;0),O226/$I226*100,0))</f>
        <v>0</v>
      </c>
      <c r="M226" s="335" cm="1">
        <f t="array" aca="1" ref="M226" ca="1">IF($A226="S",VTOTALBM,IF($A226=0,0,ROUND(SomaAgrupBM,15-13*ORÇAMENTO!$AF$11)))</f>
        <v>0</v>
      </c>
      <c r="N226" s="336">
        <f t="shared" ca="1" si="4"/>
        <v>0</v>
      </c>
      <c r="O226" s="125" cm="1">
        <f t="array" aca="1" ref="O226" ca="1">IF($A226="S",VTOTALBM,IF($A226=0,0,ROUND(SomaAgrupBM,15-13*ORÇAMENTO!$AF$11)))</f>
        <v>0</v>
      </c>
      <c r="Q226" s="337"/>
      <c r="R226" s="338"/>
      <c r="T226" s="117" t="str">
        <f t="shared" ca="1" si="5"/>
        <v/>
      </c>
      <c r="U226" s="163" t="str">
        <f t="shared" ca="1" si="6"/>
        <v/>
      </c>
      <c r="V226" s="164" t="str" cm="1">
        <f t="array" aca="1" ref="V226" ca="1">IF(AND($W226&gt;0,RegimeExecucao="Unitário"),$F226,"")</f>
        <v/>
      </c>
      <c r="W226" s="454" cm="1">
        <f t="array" aca="1" ref="W226" ca="1">IF($Y226&gt;0,CHOOSE(MATCH(RegimeExecucao,{"Unitário","Global"},0),IF($A226="S",$Y226/$X226,""),($Y226/$X226)*100),0)</f>
        <v>0</v>
      </c>
      <c r="X226" s="339" t="str" cm="1">
        <f t="array" aca="1" ref="X226" ca="1">IF($Y226&gt;0,CHOOSE(MATCH(RegimeExecucao,{"Unitário","Global"},0),IF($A226="S",ROUND($H226,ORÇAMENTO!$AF$10),""),ROUND($I226,ORÇAMENTO!$AF$11)),"")</f>
        <v/>
      </c>
      <c r="Y226" s="339">
        <f t="shared" ca="1" si="7"/>
        <v>0</v>
      </c>
      <c r="Z226" s="473"/>
      <c r="AB226" s="337"/>
      <c r="AC226" s="437"/>
      <c r="AD226" s="437"/>
      <c r="AE226" s="437"/>
      <c r="AF226" s="437"/>
      <c r="AG226" s="437"/>
      <c r="AH226" s="437"/>
      <c r="AI226" s="437"/>
      <c r="AJ226" s="437"/>
      <c r="AK226" s="437"/>
      <c r="AL226" s="437"/>
      <c r="AM226" s="338"/>
      <c r="AO226"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x14ac:dyDescent="0.2">
      <c r="A227">
        <f ca="1">ORÇAMENTO!C227</f>
        <v>4</v>
      </c>
      <c r="B227">
        <f ca="1">ORÇAMENTO!D227</f>
        <v>3</v>
      </c>
      <c r="C227" s="114" t="str">
        <f t="shared" ca="1" si="1"/>
        <v>F</v>
      </c>
      <c r="D227" s="117" t="str">
        <f ca="1">ORÇAMENTO!O227</f>
        <v>1.12.2.1.</v>
      </c>
      <c r="E227" s="163" t="str">
        <f t="shared" si="2"/>
        <v>PAREDES</v>
      </c>
      <c r="F227" s="164" t="str" cm="1">
        <f t="array" aca="1" ref="F227" ca="1">IF(RegimeExecucao="Global","",ORÇAMENTO.Unidade)</f>
        <v>-</v>
      </c>
      <c r="G227" s="122" cm="1">
        <f t="array" aca="1" ref="G227" ca="1">IF(RegimeExecucao="Global","",ORÇAMENTO!T227)</f>
        <v>0</v>
      </c>
      <c r="H227" s="122" cm="1">
        <f t="array" aca="1" ref="H227" ca="1">IF(RegimeExecucao="Global","",ORÇAMENTO!W227)</f>
        <v>0</v>
      </c>
      <c r="I227" s="125">
        <f ca="1">ORÇAMENTO!X227</f>
        <v>52035.28</v>
      </c>
      <c r="J227" s="333" cm="1">
        <f t="array" aca="1" ref="J227" ca="1">IF($A227="S",IF(CAIXA.Modo,BM.AFAnterior,BM.MEDAnterior),IF(AND(RegimeExecucao="Global",$I227&gt;0,COUNTIF($AB$13:$AM$13,BM.medicao-1)&gt;0),M227/$I227*100,0))</f>
        <v>0</v>
      </c>
      <c r="K227" s="122">
        <f t="shared" ca="1" si="3"/>
        <v>0</v>
      </c>
      <c r="L227" s="334" cm="1">
        <f t="array" aca="1" ref="L227" ca="1">IF($A227="S",IF(CAIXA.Modo,BM.AFAcumulado,BM.MEDAcumulado),IF(AND(RegimeExecucao="Global",$I227&gt;0,COUNTIF($AB$13:$AM$13,BM.medicao)&gt;0),O227/$I227*100,0))</f>
        <v>0</v>
      </c>
      <c r="M227" s="335" cm="1">
        <f t="array" aca="1" ref="M227" ca="1">IF($A227="S",VTOTALBM,IF($A227=0,0,ROUND(SomaAgrupBM,15-13*ORÇAMENTO!$AF$11)))</f>
        <v>0</v>
      </c>
      <c r="N227" s="336">
        <f t="shared" ca="1" si="4"/>
        <v>0</v>
      </c>
      <c r="O227" s="125" cm="1">
        <f t="array" aca="1" ref="O227" ca="1">IF($A227="S",VTOTALBM,IF($A227=0,0,ROUND(SomaAgrupBM,15-13*ORÇAMENTO!$AF$11)))</f>
        <v>0</v>
      </c>
      <c r="Q227" s="337"/>
      <c r="R227" s="338"/>
      <c r="T227" s="117" t="str">
        <f t="shared" ca="1" si="5"/>
        <v/>
      </c>
      <c r="U227" s="163" t="str">
        <f t="shared" ca="1" si="6"/>
        <v/>
      </c>
      <c r="V227" s="164" t="str" cm="1">
        <f t="array" aca="1" ref="V227" ca="1">IF(AND($W227&gt;0,RegimeExecucao="Unitário"),$F227,"")</f>
        <v/>
      </c>
      <c r="W227" s="454" cm="1">
        <f t="array" aca="1" ref="W227" ca="1">IF($Y227&gt;0,CHOOSE(MATCH(RegimeExecucao,{"Unitário","Global"},0),IF($A227="S",$Y227/$X227,""),($Y227/$X227)*100),0)</f>
        <v>0</v>
      </c>
      <c r="X227" s="339" t="str" cm="1">
        <f t="array" aca="1" ref="X227" ca="1">IF($Y227&gt;0,CHOOSE(MATCH(RegimeExecucao,{"Unitário","Global"},0),IF($A227="S",ROUND($H227,ORÇAMENTO!$AF$10),""),ROUND($I227,ORÇAMENTO!$AF$11)),"")</f>
        <v/>
      </c>
      <c r="Y227" s="339">
        <f t="shared" ca="1" si="7"/>
        <v>0</v>
      </c>
      <c r="Z227" s="473"/>
      <c r="AB227" s="337"/>
      <c r="AC227" s="437"/>
      <c r="AD227" s="437"/>
      <c r="AE227" s="437"/>
      <c r="AF227" s="437"/>
      <c r="AG227" s="437"/>
      <c r="AH227" s="437"/>
      <c r="AI227" s="437"/>
      <c r="AJ227" s="437"/>
      <c r="AK227" s="437"/>
      <c r="AL227" s="437"/>
      <c r="AM227" s="338"/>
      <c r="AO227"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ht="25.5" x14ac:dyDescent="0.2">
      <c r="A228" t="str">
        <f ca="1">ORÇAMENTO!C228</f>
        <v>S</v>
      </c>
      <c r="B228">
        <f ca="1">ORÇAMENTO!D228</f>
        <v>0</v>
      </c>
      <c r="C228" s="114" t="str">
        <f t="shared" ca="1" si="1"/>
        <v>F</v>
      </c>
      <c r="D228" s="117" t="str">
        <f ca="1">ORÇAMENTO!O228</f>
        <v>1.12.2.1.1.</v>
      </c>
      <c r="E228" s="163" t="str">
        <f t="shared" ca="1" si="2"/>
        <v>FUNDO SELADOR ACRÍLICO, APLICAÇÃO MANUAL EM PAREDE, UMA DEMÃO. AF_04/2023</v>
      </c>
      <c r="F228" s="164" t="str" cm="1">
        <f t="array" aca="1" ref="F228" ca="1">IF(RegimeExecucao="Global","",ORÇAMENTO.Unidade)</f>
        <v>M2</v>
      </c>
      <c r="G228" s="122" cm="1">
        <f t="array" aca="1" ref="G228" ca="1">IF(RegimeExecucao="Global","",ORÇAMENTO!T228)</f>
        <v>2987.1</v>
      </c>
      <c r="H228" s="122" cm="1">
        <f t="array" aca="1" ref="H228" ca="1">IF(RegimeExecucao="Global","",ORÇAMENTO!W228)</f>
        <v>4.92</v>
      </c>
      <c r="I228" s="125">
        <f ca="1">ORÇAMENTO!X228</f>
        <v>14696.53</v>
      </c>
      <c r="J228" s="333" cm="1">
        <f t="array" aca="1" ref="J228" ca="1">IF($A228="S",IF(CAIXA.Modo,BM.AFAnterior,BM.MEDAnterior),IF(AND(RegimeExecucao="Global",$I228&gt;0,COUNTIF($AB$13:$AM$13,BM.medicao-1)&gt;0),M228/$I228*100,0))</f>
        <v>0</v>
      </c>
      <c r="K228" s="122">
        <f t="shared" ca="1" si="3"/>
        <v>0</v>
      </c>
      <c r="L228" s="334" cm="1">
        <f t="array" aca="1" ref="L228" ca="1">IF($A228="S",IF(CAIXA.Modo,BM.AFAcumulado,BM.MEDAcumulado),IF(AND(RegimeExecucao="Global",$I228&gt;0,COUNTIF($AB$13:$AM$13,BM.medicao)&gt;0),O228/$I228*100,0))</f>
        <v>0</v>
      </c>
      <c r="M228" s="335" cm="1">
        <f t="array" aca="1" ref="M228" ca="1">IF($A228="S",VTOTALBM,IF($A228=0,0,ROUND(SomaAgrupBM,15-13*ORÇAMENTO!$AF$11)))</f>
        <v>0</v>
      </c>
      <c r="N228" s="336">
        <f t="shared" ca="1" si="4"/>
        <v>0</v>
      </c>
      <c r="O228" s="125" cm="1">
        <f t="array" aca="1" ref="O228" ca="1">IF($A228="S",VTOTALBM,IF($A228=0,0,ROUND(SomaAgrupBM,15-13*ORÇAMENTO!$AF$11)))</f>
        <v>0</v>
      </c>
      <c r="Q228" s="337"/>
      <c r="R228" s="338"/>
      <c r="T228" s="117" t="str">
        <f t="shared" ca="1" si="5"/>
        <v/>
      </c>
      <c r="U228" s="163" t="str">
        <f t="shared" ca="1" si="6"/>
        <v/>
      </c>
      <c r="V228" s="164" t="str" cm="1">
        <f t="array" aca="1" ref="V228" ca="1">IF(AND($W228&gt;0,RegimeExecucao="Unitário"),$F228,"")</f>
        <v/>
      </c>
      <c r="W228" s="454" cm="1">
        <f t="array" aca="1" ref="W228" ca="1">IF($Y228&gt;0,CHOOSE(MATCH(RegimeExecucao,{"Unitário","Global"},0),IF($A228="S",$Y228/$X228,""),($Y228/$X228)*100),0)</f>
        <v>0</v>
      </c>
      <c r="X228" s="339" t="str" cm="1">
        <f t="array" aca="1" ref="X228" ca="1">IF($Y228&gt;0,CHOOSE(MATCH(RegimeExecucao,{"Unitário","Global"},0),IF($A228="S",ROUND($H228,ORÇAMENTO!$AF$10),""),ROUND($I228,ORÇAMENTO!$AF$11)),"")</f>
        <v/>
      </c>
      <c r="Y228" s="339">
        <f t="shared" ca="1" si="7"/>
        <v>0</v>
      </c>
      <c r="Z228" s="473"/>
      <c r="AB228" s="337"/>
      <c r="AC228" s="437"/>
      <c r="AD228" s="437"/>
      <c r="AE228" s="437"/>
      <c r="AF228" s="437"/>
      <c r="AG228" s="437"/>
      <c r="AH228" s="437"/>
      <c r="AI228" s="437"/>
      <c r="AJ228" s="437"/>
      <c r="AK228" s="437"/>
      <c r="AL228" s="437"/>
      <c r="AM228" s="338"/>
      <c r="AO22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ht="25.5" x14ac:dyDescent="0.2">
      <c r="A229" t="str">
        <f ca="1">ORÇAMENTO!C229</f>
        <v>S</v>
      </c>
      <c r="B229">
        <f ca="1">ORÇAMENTO!D229</f>
        <v>0</v>
      </c>
      <c r="C229" s="114" t="str">
        <f t="shared" ca="1" si="1"/>
        <v>F</v>
      </c>
      <c r="D229" s="117" t="str">
        <f ca="1">ORÇAMENTO!O229</f>
        <v>1.12.2.1.2.</v>
      </c>
      <c r="E229" s="163" t="str">
        <f t="shared" ca="1" si="2"/>
        <v>PINTURA LÁTEX ACRÍLICA ECONÔMICA, APLICAÇÃO MANUAL EM PAREDES, DUAS DEMÃOS. AF_04/2023</v>
      </c>
      <c r="F229" s="164" t="str" cm="1">
        <f t="array" aca="1" ref="F229" ca="1">IF(RegimeExecucao="Global","",ORÇAMENTO.Unidade)</f>
        <v>M2</v>
      </c>
      <c r="G229" s="122" cm="1">
        <f t="array" aca="1" ref="G229" ca="1">IF(RegimeExecucao="Global","",ORÇAMENTO!T229)</f>
        <v>2987.1</v>
      </c>
      <c r="H229" s="122" cm="1">
        <f t="array" aca="1" ref="H229" ca="1">IF(RegimeExecucao="Global","",ORÇAMENTO!W229)</f>
        <v>12.5</v>
      </c>
      <c r="I229" s="125">
        <f ca="1">ORÇAMENTO!X229</f>
        <v>37338.75</v>
      </c>
      <c r="J229" s="333" cm="1">
        <f t="array" aca="1" ref="J229" ca="1">IF($A229="S",IF(CAIXA.Modo,BM.AFAnterior,BM.MEDAnterior),IF(AND(RegimeExecucao="Global",$I229&gt;0,COUNTIF($AB$13:$AM$13,BM.medicao-1)&gt;0),M229/$I229*100,0))</f>
        <v>0</v>
      </c>
      <c r="K229" s="122">
        <f t="shared" ca="1" si="3"/>
        <v>0</v>
      </c>
      <c r="L229" s="334" cm="1">
        <f t="array" aca="1" ref="L229" ca="1">IF($A229="S",IF(CAIXA.Modo,BM.AFAcumulado,BM.MEDAcumulado),IF(AND(RegimeExecucao="Global",$I229&gt;0,COUNTIF($AB$13:$AM$13,BM.medicao)&gt;0),O229/$I229*100,0))</f>
        <v>0</v>
      </c>
      <c r="M229" s="335" cm="1">
        <f t="array" aca="1" ref="M229" ca="1">IF($A229="S",VTOTALBM,IF($A229=0,0,ROUND(SomaAgrupBM,15-13*ORÇAMENTO!$AF$11)))</f>
        <v>0</v>
      </c>
      <c r="N229" s="336">
        <f t="shared" ca="1" si="4"/>
        <v>0</v>
      </c>
      <c r="O229" s="125" cm="1">
        <f t="array" aca="1" ref="O229" ca="1">IF($A229="S",VTOTALBM,IF($A229=0,0,ROUND(SomaAgrupBM,15-13*ORÇAMENTO!$AF$11)))</f>
        <v>0</v>
      </c>
      <c r="Q229" s="337"/>
      <c r="R229" s="338"/>
      <c r="T229" s="117" t="str">
        <f t="shared" ca="1" si="5"/>
        <v/>
      </c>
      <c r="U229" s="163" t="str">
        <f t="shared" ca="1" si="6"/>
        <v/>
      </c>
      <c r="V229" s="164" t="str" cm="1">
        <f t="array" aca="1" ref="V229" ca="1">IF(AND($W229&gt;0,RegimeExecucao="Unitário"),$F229,"")</f>
        <v/>
      </c>
      <c r="W229" s="454" cm="1">
        <f t="array" aca="1" ref="W229" ca="1">IF($Y229&gt;0,CHOOSE(MATCH(RegimeExecucao,{"Unitário","Global"},0),IF($A229="S",$Y229/$X229,""),($Y229/$X229)*100),0)</f>
        <v>0</v>
      </c>
      <c r="X229" s="339" t="str" cm="1">
        <f t="array" aca="1" ref="X229" ca="1">IF($Y229&gt;0,CHOOSE(MATCH(RegimeExecucao,{"Unitário","Global"},0),IF($A229="S",ROUND($H229,ORÇAMENTO!$AF$10),""),ROUND($I229,ORÇAMENTO!$AF$11)),"")</f>
        <v/>
      </c>
      <c r="Y229" s="339">
        <f t="shared" ca="1" si="7"/>
        <v>0</v>
      </c>
      <c r="Z229" s="473"/>
      <c r="AB229" s="337"/>
      <c r="AC229" s="437"/>
      <c r="AD229" s="437"/>
      <c r="AE229" s="437"/>
      <c r="AF229" s="437"/>
      <c r="AG229" s="437"/>
      <c r="AH229" s="437"/>
      <c r="AI229" s="437"/>
      <c r="AJ229" s="437"/>
      <c r="AK229" s="437"/>
      <c r="AL229" s="437"/>
      <c r="AM229" s="338"/>
      <c r="AO229"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x14ac:dyDescent="0.2">
      <c r="A230">
        <f ca="1">ORÇAMENTO!C230</f>
        <v>4</v>
      </c>
      <c r="B230">
        <f ca="1">ORÇAMENTO!D230</f>
        <v>4</v>
      </c>
      <c r="C230" s="114" t="str">
        <f t="shared" ca="1" si="1"/>
        <v>F</v>
      </c>
      <c r="D230" s="117" t="str">
        <f ca="1">ORÇAMENTO!O230</f>
        <v>1.12.2.2.</v>
      </c>
      <c r="E230" s="163" t="str">
        <f t="shared" si="2"/>
        <v>ESQUADRIAS</v>
      </c>
      <c r="F230" s="164" t="str" cm="1">
        <f t="array" aca="1" ref="F230" ca="1">IF(RegimeExecucao="Global","",ORÇAMENTO.Unidade)</f>
        <v>-</v>
      </c>
      <c r="G230" s="122" cm="1">
        <f t="array" aca="1" ref="G230" ca="1">IF(RegimeExecucao="Global","",ORÇAMENTO!T230)</f>
        <v>0</v>
      </c>
      <c r="H230" s="122" cm="1">
        <f t="array" aca="1" ref="H230" ca="1">IF(RegimeExecucao="Global","",ORÇAMENTO!W230)</f>
        <v>0</v>
      </c>
      <c r="I230" s="125">
        <f ca="1">ORÇAMENTO!X230</f>
        <v>19111.68</v>
      </c>
      <c r="J230" s="333" cm="1">
        <f t="array" aca="1" ref="J230" ca="1">IF($A230="S",IF(CAIXA.Modo,BM.AFAnterior,BM.MEDAnterior),IF(AND(RegimeExecucao="Global",$I230&gt;0,COUNTIF($AB$13:$AM$13,BM.medicao-1)&gt;0),M230/$I230*100,0))</f>
        <v>0</v>
      </c>
      <c r="K230" s="122">
        <f t="shared" ca="1" si="3"/>
        <v>0</v>
      </c>
      <c r="L230" s="334" cm="1">
        <f t="array" aca="1" ref="L230" ca="1">IF($A230="S",IF(CAIXA.Modo,BM.AFAcumulado,BM.MEDAcumulado),IF(AND(RegimeExecucao="Global",$I230&gt;0,COUNTIF($AB$13:$AM$13,BM.medicao)&gt;0),O230/$I230*100,0))</f>
        <v>0</v>
      </c>
      <c r="M230" s="335" cm="1">
        <f t="array" aca="1" ref="M230" ca="1">IF($A230="S",VTOTALBM,IF($A230=0,0,ROUND(SomaAgrupBM,15-13*ORÇAMENTO!$AF$11)))</f>
        <v>0</v>
      </c>
      <c r="N230" s="336">
        <f t="shared" ca="1" si="4"/>
        <v>0</v>
      </c>
      <c r="O230" s="125" cm="1">
        <f t="array" aca="1" ref="O230" ca="1">IF($A230="S",VTOTALBM,IF($A230=0,0,ROUND(SomaAgrupBM,15-13*ORÇAMENTO!$AF$11)))</f>
        <v>0</v>
      </c>
      <c r="Q230" s="337"/>
      <c r="R230" s="338"/>
      <c r="T230" s="117" t="str">
        <f t="shared" ca="1" si="5"/>
        <v/>
      </c>
      <c r="U230" s="163" t="str">
        <f t="shared" ca="1" si="6"/>
        <v/>
      </c>
      <c r="V230" s="164" t="str" cm="1">
        <f t="array" aca="1" ref="V230" ca="1">IF(AND($W230&gt;0,RegimeExecucao="Unitário"),$F230,"")</f>
        <v/>
      </c>
      <c r="W230" s="454" cm="1">
        <f t="array" aca="1" ref="W230" ca="1">IF($Y230&gt;0,CHOOSE(MATCH(RegimeExecucao,{"Unitário","Global"},0),IF($A230="S",$Y230/$X230,""),($Y230/$X230)*100),0)</f>
        <v>0</v>
      </c>
      <c r="X230" s="339" t="str" cm="1">
        <f t="array" aca="1" ref="X230" ca="1">IF($Y230&gt;0,CHOOSE(MATCH(RegimeExecucao,{"Unitário","Global"},0),IF($A230="S",ROUND($H230,ORÇAMENTO!$AF$10),""),ROUND($I230,ORÇAMENTO!$AF$11)),"")</f>
        <v/>
      </c>
      <c r="Y230" s="339">
        <f t="shared" ca="1" si="7"/>
        <v>0</v>
      </c>
      <c r="Z230" s="473"/>
      <c r="AB230" s="337"/>
      <c r="AC230" s="437"/>
      <c r="AD230" s="437"/>
      <c r="AE230" s="437"/>
      <c r="AF230" s="437"/>
      <c r="AG230" s="437"/>
      <c r="AH230" s="437"/>
      <c r="AI230" s="437"/>
      <c r="AJ230" s="437"/>
      <c r="AK230" s="437"/>
      <c r="AL230" s="437"/>
      <c r="AM230" s="338"/>
      <c r="AO230"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ht="25.5" x14ac:dyDescent="0.2">
      <c r="A231" t="str">
        <f ca="1">ORÇAMENTO!C231</f>
        <v>S</v>
      </c>
      <c r="B231">
        <f ca="1">ORÇAMENTO!D231</f>
        <v>0</v>
      </c>
      <c r="C231" s="114" t="str">
        <f t="shared" ca="1" si="1"/>
        <v>F</v>
      </c>
      <c r="D231" s="117" t="str">
        <f ca="1">ORÇAMENTO!O231</f>
        <v>1.12.2.2.1.</v>
      </c>
      <c r="E231" s="163" t="str">
        <f t="shared" ca="1" si="2"/>
        <v>LIXAMENTO DE MADEIRA PARA APLICAÇÃO DE FUNDO OU PINTURA. AF_01/2021</v>
      </c>
      <c r="F231" s="164" t="str" cm="1">
        <f t="array" aca="1" ref="F231" ca="1">IF(RegimeExecucao="Global","",ORÇAMENTO.Unidade)</f>
        <v>M2</v>
      </c>
      <c r="G231" s="122" cm="1">
        <f t="array" aca="1" ref="G231" ca="1">IF(RegimeExecucao="Global","",ORÇAMENTO!T231)</f>
        <v>302.39999999999998</v>
      </c>
      <c r="H231" s="122" cm="1">
        <f t="array" aca="1" ref="H231" ca="1">IF(RegimeExecucao="Global","",ORÇAMENTO!W231)</f>
        <v>2.8</v>
      </c>
      <c r="I231" s="125">
        <f ca="1">ORÇAMENTO!X231</f>
        <v>846.72</v>
      </c>
      <c r="J231" s="333" cm="1">
        <f t="array" aca="1" ref="J231" ca="1">IF($A231="S",IF(CAIXA.Modo,BM.AFAnterior,BM.MEDAnterior),IF(AND(RegimeExecucao="Global",$I231&gt;0,COUNTIF($AB$13:$AM$13,BM.medicao-1)&gt;0),M231/$I231*100,0))</f>
        <v>0</v>
      </c>
      <c r="K231" s="122">
        <f t="shared" ca="1" si="3"/>
        <v>0</v>
      </c>
      <c r="L231" s="334" cm="1">
        <f t="array" aca="1" ref="L231" ca="1">IF($A231="S",IF(CAIXA.Modo,BM.AFAcumulado,BM.MEDAcumulado),IF(AND(RegimeExecucao="Global",$I231&gt;0,COUNTIF($AB$13:$AM$13,BM.medicao)&gt;0),O231/$I231*100,0))</f>
        <v>0</v>
      </c>
      <c r="M231" s="335" cm="1">
        <f t="array" aca="1" ref="M231" ca="1">IF($A231="S",VTOTALBM,IF($A231=0,0,ROUND(SomaAgrupBM,15-13*ORÇAMENTO!$AF$11)))</f>
        <v>0</v>
      </c>
      <c r="N231" s="336">
        <f t="shared" ca="1" si="4"/>
        <v>0</v>
      </c>
      <c r="O231" s="125" cm="1">
        <f t="array" aca="1" ref="O231" ca="1">IF($A231="S",VTOTALBM,IF($A231=0,0,ROUND(SomaAgrupBM,15-13*ORÇAMENTO!$AF$11)))</f>
        <v>0</v>
      </c>
      <c r="Q231" s="337"/>
      <c r="R231" s="338"/>
      <c r="T231" s="117" t="str">
        <f t="shared" ca="1" si="5"/>
        <v/>
      </c>
      <c r="U231" s="163" t="str">
        <f t="shared" ca="1" si="6"/>
        <v/>
      </c>
      <c r="V231" s="164" t="str" cm="1">
        <f t="array" aca="1" ref="V231" ca="1">IF(AND($W231&gt;0,RegimeExecucao="Unitário"),$F231,"")</f>
        <v/>
      </c>
      <c r="W231" s="454" cm="1">
        <f t="array" aca="1" ref="W231" ca="1">IF($Y231&gt;0,CHOOSE(MATCH(RegimeExecucao,{"Unitário","Global"},0),IF($A231="S",$Y231/$X231,""),($Y231/$X231)*100),0)</f>
        <v>0</v>
      </c>
      <c r="X231" s="339" t="str" cm="1">
        <f t="array" aca="1" ref="X231" ca="1">IF($Y231&gt;0,CHOOSE(MATCH(RegimeExecucao,{"Unitário","Global"},0),IF($A231="S",ROUND($H231,ORÇAMENTO!$AF$10),""),ROUND($I231,ORÇAMENTO!$AF$11)),"")</f>
        <v/>
      </c>
      <c r="Y231" s="339">
        <f t="shared" ca="1" si="7"/>
        <v>0</v>
      </c>
      <c r="Z231" s="473"/>
      <c r="AB231" s="337"/>
      <c r="AC231" s="437"/>
      <c r="AD231" s="437"/>
      <c r="AE231" s="437"/>
      <c r="AF231" s="437"/>
      <c r="AG231" s="437"/>
      <c r="AH231" s="437"/>
      <c r="AI231" s="437"/>
      <c r="AJ231" s="437"/>
      <c r="AK231" s="437"/>
      <c r="AL231" s="437"/>
      <c r="AM231" s="338"/>
      <c r="AO231" cm="1">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ht="25.5" x14ac:dyDescent="0.2">
      <c r="A232" t="str">
        <f ca="1">ORÇAMENTO!C232</f>
        <v>S</v>
      </c>
      <c r="B232">
        <f ca="1">ORÇAMENTO!D232</f>
        <v>0</v>
      </c>
      <c r="C232" s="114" t="str">
        <f t="shared" ca="1" si="1"/>
        <v>F</v>
      </c>
      <c r="D232" s="117" t="str">
        <f ca="1">ORÇAMENTO!O232</f>
        <v>1.12.2.2.2.</v>
      </c>
      <c r="E232" s="163" t="str">
        <f t="shared" ca="1" si="2"/>
        <v>PINTURA FUNDO NIVELADOR ALQUÍDICO BRANCO EM MADEIRA. AF_01/2021</v>
      </c>
      <c r="F232" s="164" t="str" cm="1">
        <f t="array" aca="1" ref="F232" ca="1">IF(RegimeExecucao="Global","",ORÇAMENTO.Unidade)</f>
        <v>M2</v>
      </c>
      <c r="G232" s="122" cm="1">
        <f t="array" aca="1" ref="G232" ca="1">IF(RegimeExecucao="Global","",ORÇAMENTO!T232)</f>
        <v>302.39999999999998</v>
      </c>
      <c r="H232" s="122" cm="1">
        <f t="array" aca="1" ref="H232" ca="1">IF(RegimeExecucao="Global","",ORÇAMENTO!W232)</f>
        <v>38.770000000000003</v>
      </c>
      <c r="I232" s="125">
        <f ca="1">ORÇAMENTO!X232</f>
        <v>11724.05</v>
      </c>
      <c r="J232" s="333" cm="1">
        <f t="array" aca="1" ref="J232" ca="1">IF($A232="S",IF(CAIXA.Modo,BM.AFAnterior,BM.MEDAnterior),IF(AND(RegimeExecucao="Global",$I232&gt;0,COUNTIF($AB$13:$AM$13,BM.medicao-1)&gt;0),M232/$I232*100,0))</f>
        <v>0</v>
      </c>
      <c r="K232" s="122">
        <f t="shared" ca="1" si="3"/>
        <v>0</v>
      </c>
      <c r="L232" s="334" cm="1">
        <f t="array" aca="1" ref="L232" ca="1">IF($A232="S",IF(CAIXA.Modo,BM.AFAcumulado,BM.MEDAcumulado),IF(AND(RegimeExecucao="Global",$I232&gt;0,COUNTIF($AB$13:$AM$13,BM.medicao)&gt;0),O232/$I232*100,0))</f>
        <v>0</v>
      </c>
      <c r="M232" s="335" cm="1">
        <f t="array" aca="1" ref="M232" ca="1">IF($A232="S",VTOTALBM,IF($A232=0,0,ROUND(SomaAgrupBM,15-13*ORÇAMENTO!$AF$11)))</f>
        <v>0</v>
      </c>
      <c r="N232" s="336">
        <f t="shared" ca="1" si="4"/>
        <v>0</v>
      </c>
      <c r="O232" s="125" cm="1">
        <f t="array" aca="1" ref="O232" ca="1">IF($A232="S",VTOTALBM,IF($A232=0,0,ROUND(SomaAgrupBM,15-13*ORÇAMENTO!$AF$11)))</f>
        <v>0</v>
      </c>
      <c r="Q232" s="337"/>
      <c r="R232" s="338"/>
      <c r="T232" s="117" t="str">
        <f t="shared" ca="1" si="5"/>
        <v/>
      </c>
      <c r="U232" s="163" t="str">
        <f t="shared" ca="1" si="6"/>
        <v/>
      </c>
      <c r="V232" s="164" t="str" cm="1">
        <f t="array" aca="1" ref="V232" ca="1">IF(AND($W232&gt;0,RegimeExecucao="Unitário"),$F232,"")</f>
        <v/>
      </c>
      <c r="W232" s="454" cm="1">
        <f t="array" aca="1" ref="W232" ca="1">IF($Y232&gt;0,CHOOSE(MATCH(RegimeExecucao,{"Unitário","Global"},0),IF($A232="S",$Y232/$X232,""),($Y232/$X232)*100),0)</f>
        <v>0</v>
      </c>
      <c r="X232" s="339" t="str" cm="1">
        <f t="array" aca="1" ref="X232" ca="1">IF($Y232&gt;0,CHOOSE(MATCH(RegimeExecucao,{"Unitário","Global"},0),IF($A232="S",ROUND($H232,ORÇAMENTO!$AF$10),""),ROUND($I232,ORÇAMENTO!$AF$11)),"")</f>
        <v/>
      </c>
      <c r="Y232" s="339">
        <f t="shared" ca="1" si="7"/>
        <v>0</v>
      </c>
      <c r="Z232" s="473"/>
      <c r="AB232" s="337"/>
      <c r="AC232" s="437"/>
      <c r="AD232" s="437"/>
      <c r="AE232" s="437"/>
      <c r="AF232" s="437"/>
      <c r="AG232" s="437"/>
      <c r="AH232" s="437"/>
      <c r="AI232" s="437"/>
      <c r="AJ232" s="437"/>
      <c r="AK232" s="437"/>
      <c r="AL232" s="437"/>
      <c r="AM232" s="338"/>
      <c r="AO232" cm="1">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ht="25.5" x14ac:dyDescent="0.2">
      <c r="A233" t="str">
        <f ca="1">ORÇAMENTO!C233</f>
        <v>S</v>
      </c>
      <c r="B233">
        <f ca="1">ORÇAMENTO!D233</f>
        <v>0</v>
      </c>
      <c r="C233" s="114" t="str">
        <f t="shared" ca="1" si="1"/>
        <v>F</v>
      </c>
      <c r="D233" s="117" t="str">
        <f ca="1">ORÇAMENTO!O233</f>
        <v>1.12.2.2.3.</v>
      </c>
      <c r="E233" s="163" t="str">
        <f t="shared" ca="1" si="2"/>
        <v>PINTURA TINTA DE ACABAMENTO (PIGMENTADA) ESMALTE SINTÉTICO FOSCO EM MADEIRA, 2 DEMÃOS. AF_01/2021</v>
      </c>
      <c r="F233" s="164" t="str" cm="1">
        <f t="array" aca="1" ref="F233" ca="1">IF(RegimeExecucao="Global","",ORÇAMENTO.Unidade)</f>
        <v>M2</v>
      </c>
      <c r="G233" s="122" cm="1">
        <f t="array" aca="1" ref="G233" ca="1">IF(RegimeExecucao="Global","",ORÇAMENTO!T233)</f>
        <v>302.39999999999998</v>
      </c>
      <c r="H233" s="122" cm="1">
        <f t="array" aca="1" ref="H233" ca="1">IF(RegimeExecucao="Global","",ORÇAMENTO!W233)</f>
        <v>21.63</v>
      </c>
      <c r="I233" s="125">
        <f ca="1">ORÇAMENTO!X233</f>
        <v>6540.91</v>
      </c>
      <c r="J233" s="333" cm="1">
        <f t="array" aca="1" ref="J233" ca="1">IF($A233="S",IF(CAIXA.Modo,BM.AFAnterior,BM.MEDAnterior),IF(AND(RegimeExecucao="Global",$I233&gt;0,COUNTIF($AB$13:$AM$13,BM.medicao-1)&gt;0),M233/$I233*100,0))</f>
        <v>0</v>
      </c>
      <c r="K233" s="122">
        <f t="shared" ca="1" si="3"/>
        <v>0</v>
      </c>
      <c r="L233" s="334" cm="1">
        <f t="array" aca="1" ref="L233" ca="1">IF($A233="S",IF(CAIXA.Modo,BM.AFAcumulado,BM.MEDAcumulado),IF(AND(RegimeExecucao="Global",$I233&gt;0,COUNTIF($AB$13:$AM$13,BM.medicao)&gt;0),O233/$I233*100,0))</f>
        <v>0</v>
      </c>
      <c r="M233" s="335" cm="1">
        <f t="array" aca="1" ref="M233" ca="1">IF($A233="S",VTOTALBM,IF($A233=0,0,ROUND(SomaAgrupBM,15-13*ORÇAMENTO!$AF$11)))</f>
        <v>0</v>
      </c>
      <c r="N233" s="336">
        <f t="shared" ca="1" si="4"/>
        <v>0</v>
      </c>
      <c r="O233" s="125" cm="1">
        <f t="array" aca="1" ref="O233" ca="1">IF($A233="S",VTOTALBM,IF($A233=0,0,ROUND(SomaAgrupBM,15-13*ORÇAMENTO!$AF$11)))</f>
        <v>0</v>
      </c>
      <c r="Q233" s="337"/>
      <c r="R233" s="338"/>
      <c r="T233" s="117" t="str">
        <f t="shared" ca="1" si="5"/>
        <v/>
      </c>
      <c r="U233" s="163" t="str">
        <f t="shared" ca="1" si="6"/>
        <v/>
      </c>
      <c r="V233" s="164" t="str" cm="1">
        <f t="array" aca="1" ref="V233" ca="1">IF(AND($W233&gt;0,RegimeExecucao="Unitário"),$F233,"")</f>
        <v/>
      </c>
      <c r="W233" s="454" cm="1">
        <f t="array" aca="1" ref="W233" ca="1">IF($Y233&gt;0,CHOOSE(MATCH(RegimeExecucao,{"Unitário","Global"},0),IF($A233="S",$Y233/$X233,""),($Y233/$X233)*100),0)</f>
        <v>0</v>
      </c>
      <c r="X233" s="339" t="str" cm="1">
        <f t="array" aca="1" ref="X233" ca="1">IF($Y233&gt;0,CHOOSE(MATCH(RegimeExecucao,{"Unitário","Global"},0),IF($A233="S",ROUND($H233,ORÇAMENTO!$AF$10),""),ROUND($I233,ORÇAMENTO!$AF$11)),"")</f>
        <v/>
      </c>
      <c r="Y233" s="339">
        <f t="shared" ca="1" si="7"/>
        <v>0</v>
      </c>
      <c r="Z233" s="473"/>
      <c r="AB233" s="337"/>
      <c r="AC233" s="437"/>
      <c r="AD233" s="437"/>
      <c r="AE233" s="437"/>
      <c r="AF233" s="437"/>
      <c r="AG233" s="437"/>
      <c r="AH233" s="437"/>
      <c r="AI233" s="437"/>
      <c r="AJ233" s="437"/>
      <c r="AK233" s="437"/>
      <c r="AL233" s="437"/>
      <c r="AM233" s="338"/>
      <c r="AO233" cm="1">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x14ac:dyDescent="0.2">
      <c r="A234">
        <f ca="1">ORÇAMENTO!C234</f>
        <v>2</v>
      </c>
      <c r="B234">
        <f ca="1">ORÇAMENTO!D234</f>
        <v>6</v>
      </c>
      <c r="C234" s="114" t="str">
        <f t="shared" ca="1" si="1"/>
        <v>F</v>
      </c>
      <c r="D234" s="117" t="str">
        <f ca="1">ORÇAMENTO!O234</f>
        <v>1.13.</v>
      </c>
      <c r="E234" s="163" t="str">
        <f t="shared" si="2"/>
        <v>LIMPEZA FINAL DE OBRA</v>
      </c>
      <c r="F234" s="164" t="str" cm="1">
        <f t="array" aca="1" ref="F234" ca="1">IF(RegimeExecucao="Global","",ORÇAMENTO.Unidade)</f>
        <v>-</v>
      </c>
      <c r="G234" s="122" cm="1">
        <f t="array" aca="1" ref="G234" ca="1">IF(RegimeExecucao="Global","",ORÇAMENTO!T234)</f>
        <v>0</v>
      </c>
      <c r="H234" s="122" cm="1">
        <f t="array" aca="1" ref="H234" ca="1">IF(RegimeExecucao="Global","",ORÇAMENTO!W234)</f>
        <v>0</v>
      </c>
      <c r="I234" s="125">
        <f ca="1">ORÇAMENTO!X234</f>
        <v>13927.63</v>
      </c>
      <c r="J234" s="333" cm="1">
        <f t="array" aca="1" ref="J234" ca="1">IF($A234="S",IF(CAIXA.Modo,BM.AFAnterior,BM.MEDAnterior),IF(AND(RegimeExecucao="Global",$I234&gt;0,COUNTIF($AB$13:$AM$13,BM.medicao-1)&gt;0),M234/$I234*100,0))</f>
        <v>0</v>
      </c>
      <c r="K234" s="122">
        <f t="shared" ca="1" si="3"/>
        <v>0</v>
      </c>
      <c r="L234" s="334" cm="1">
        <f t="array" aca="1" ref="L234" ca="1">IF($A234="S",IF(CAIXA.Modo,BM.AFAcumulado,BM.MEDAcumulado),IF(AND(RegimeExecucao="Global",$I234&gt;0,COUNTIF($AB$13:$AM$13,BM.medicao)&gt;0),O234/$I234*100,0))</f>
        <v>0</v>
      </c>
      <c r="M234" s="335" cm="1">
        <f t="array" aca="1" ref="M234" ca="1">IF($A234="S",VTOTALBM,IF($A234=0,0,ROUND(SomaAgrupBM,15-13*ORÇAMENTO!$AF$11)))</f>
        <v>0</v>
      </c>
      <c r="N234" s="336">
        <f t="shared" ca="1" si="4"/>
        <v>0</v>
      </c>
      <c r="O234" s="125" cm="1">
        <f t="array" aca="1" ref="O234" ca="1">IF($A234="S",VTOTALBM,IF($A234=0,0,ROUND(SomaAgrupBM,15-13*ORÇAMENTO!$AF$11)))</f>
        <v>0</v>
      </c>
      <c r="Q234" s="337"/>
      <c r="R234" s="338"/>
      <c r="T234" s="117" t="str">
        <f t="shared" ca="1" si="5"/>
        <v/>
      </c>
      <c r="U234" s="163" t="str">
        <f t="shared" ca="1" si="6"/>
        <v/>
      </c>
      <c r="V234" s="164" t="str" cm="1">
        <f t="array" aca="1" ref="V234" ca="1">IF(AND($W234&gt;0,RegimeExecucao="Unitário"),$F234,"")</f>
        <v/>
      </c>
      <c r="W234" s="454" cm="1">
        <f t="array" aca="1" ref="W234" ca="1">IF($Y234&gt;0,CHOOSE(MATCH(RegimeExecucao,{"Unitário","Global"},0),IF($A234="S",$Y234/$X234,""),($Y234/$X234)*100),0)</f>
        <v>0</v>
      </c>
      <c r="X234" s="339" t="str" cm="1">
        <f t="array" aca="1" ref="X234" ca="1">IF($Y234&gt;0,CHOOSE(MATCH(RegimeExecucao,{"Unitário","Global"},0),IF($A234="S",ROUND($H234,ORÇAMENTO!$AF$10),""),ROUND($I234,ORÇAMENTO!$AF$11)),"")</f>
        <v/>
      </c>
      <c r="Y234" s="339">
        <f t="shared" ca="1" si="7"/>
        <v>0</v>
      </c>
      <c r="Z234" s="473"/>
      <c r="AB234" s="337"/>
      <c r="AC234" s="437"/>
      <c r="AD234" s="437"/>
      <c r="AE234" s="437"/>
      <c r="AF234" s="437"/>
      <c r="AG234" s="437"/>
      <c r="AH234" s="437"/>
      <c r="AI234" s="437"/>
      <c r="AJ234" s="437"/>
      <c r="AK234" s="437"/>
      <c r="AL234" s="437"/>
      <c r="AM234" s="338"/>
      <c r="AO234" cm="1">
        <f t="array" aca="1" ref="AO234" ca="1">IF($A234="S",IF(BM!$I234=0,0,CHOOSE(MATCH(RegimeExecucao,{"Global","Unitário"},0),ROUND(ROUND(BM.MEDAcumulado,15-13*BM!$A$9)/100*BM!$I234,15-13*ORÇAMENTO!$AF$11),ROUND(ROUND(BM.MEDAcumulado,15-13*BM!$A$9)*ROUND(BM!$H234,15-13*ORÇAMENTO!$AF$10),15-13*ORÇAMENTO!$AF$11))),IF($A234=0,0,ROUND(SomaAgrupBM,15-13*ORÇAMENTO!$AF$11)))</f>
        <v>0</v>
      </c>
    </row>
    <row r="235" spans="1:41" ht="38.25" x14ac:dyDescent="0.2">
      <c r="A235" t="str">
        <f ca="1">ORÇAMENTO!C235</f>
        <v>S</v>
      </c>
      <c r="B235">
        <f ca="1">ORÇAMENTO!D235</f>
        <v>0</v>
      </c>
      <c r="C235" s="114" t="str">
        <f t="shared" ca="1" si="1"/>
        <v>F</v>
      </c>
      <c r="D235" s="117" t="str">
        <f ca="1">ORÇAMENTO!O235</f>
        <v>1.13.0.0.1.</v>
      </c>
      <c r="E235" s="163" t="str">
        <f t="shared" ca="1" si="2"/>
        <v>LIMPEZA DE PISO CERÂMICO/ PORCELANATO/ MÁRMORE/ GRANITO UTILIZANDO DETERGENTE NEUTRO E ESCOVAÇÃO MANUAL. AF_10/2025_PS</v>
      </c>
      <c r="F235" s="164" t="str" cm="1">
        <f t="array" aca="1" ref="F235" ca="1">IF(RegimeExecucao="Global","",ORÇAMENTO.Unidade)</f>
        <v>M2</v>
      </c>
      <c r="G235" s="122" cm="1">
        <f t="array" aca="1" ref="G235" ca="1">IF(RegimeExecucao="Global","",ORÇAMENTO!T235)</f>
        <v>1160.7</v>
      </c>
      <c r="H235" s="122" cm="1">
        <f t="array" aca="1" ref="H235" ca="1">IF(RegimeExecucao="Global","",ORÇAMENTO!W235)</f>
        <v>8.68</v>
      </c>
      <c r="I235" s="125">
        <f ca="1">ORÇAMENTO!X235</f>
        <v>10074.879999999999</v>
      </c>
      <c r="J235" s="333" cm="1">
        <f t="array" aca="1" ref="J235" ca="1">IF($A235="S",IF(CAIXA.Modo,BM.AFAnterior,BM.MEDAnterior),IF(AND(RegimeExecucao="Global",$I235&gt;0,COUNTIF($AB$13:$AM$13,BM.medicao-1)&gt;0),M235/$I235*100,0))</f>
        <v>0</v>
      </c>
      <c r="K235" s="122">
        <f t="shared" ca="1" si="3"/>
        <v>0</v>
      </c>
      <c r="L235" s="334" cm="1">
        <f t="array" aca="1" ref="L235" ca="1">IF($A235="S",IF(CAIXA.Modo,BM.AFAcumulado,BM.MEDAcumulado),IF(AND(RegimeExecucao="Global",$I235&gt;0,COUNTIF($AB$13:$AM$13,BM.medicao)&gt;0),O235/$I235*100,0))</f>
        <v>0</v>
      </c>
      <c r="M235" s="335" cm="1">
        <f t="array" aca="1" ref="M235" ca="1">IF($A235="S",VTOTALBM,IF($A235=0,0,ROUND(SomaAgrupBM,15-13*ORÇAMENTO!$AF$11)))</f>
        <v>0</v>
      </c>
      <c r="N235" s="336">
        <f t="shared" ca="1" si="4"/>
        <v>0</v>
      </c>
      <c r="O235" s="125" cm="1">
        <f t="array" aca="1" ref="O235" ca="1">IF($A235="S",VTOTALBM,IF($A235=0,0,ROUND(SomaAgrupBM,15-13*ORÇAMENTO!$AF$11)))</f>
        <v>0</v>
      </c>
      <c r="Q235" s="337"/>
      <c r="R235" s="338"/>
      <c r="T235" s="117" t="str">
        <f t="shared" ca="1" si="5"/>
        <v/>
      </c>
      <c r="U235" s="163" t="str">
        <f t="shared" ca="1" si="6"/>
        <v/>
      </c>
      <c r="V235" s="164" t="str" cm="1">
        <f t="array" aca="1" ref="V235" ca="1">IF(AND($W235&gt;0,RegimeExecucao="Unitário"),$F235,"")</f>
        <v/>
      </c>
      <c r="W235" s="454" cm="1">
        <f t="array" aca="1" ref="W235" ca="1">IF($Y235&gt;0,CHOOSE(MATCH(RegimeExecucao,{"Unitário","Global"},0),IF($A235="S",$Y235/$X235,""),($Y235/$X235)*100),0)</f>
        <v>0</v>
      </c>
      <c r="X235" s="339" t="str" cm="1">
        <f t="array" aca="1" ref="X235" ca="1">IF($Y235&gt;0,CHOOSE(MATCH(RegimeExecucao,{"Unitário","Global"},0),IF($A235="S",ROUND($H235,ORÇAMENTO!$AF$10),""),ROUND($I235,ORÇAMENTO!$AF$11)),"")</f>
        <v/>
      </c>
      <c r="Y235" s="339">
        <f t="shared" ca="1" si="7"/>
        <v>0</v>
      </c>
      <c r="Z235" s="473"/>
      <c r="AB235" s="337"/>
      <c r="AC235" s="437"/>
      <c r="AD235" s="437"/>
      <c r="AE235" s="437"/>
      <c r="AF235" s="437"/>
      <c r="AG235" s="437"/>
      <c r="AH235" s="437"/>
      <c r="AI235" s="437"/>
      <c r="AJ235" s="437"/>
      <c r="AK235" s="437"/>
      <c r="AL235" s="437"/>
      <c r="AM235" s="338"/>
      <c r="AO235" cm="1">
        <f t="array" aca="1" ref="AO235" ca="1">IF($A235="S",IF(BM!$I235=0,0,CHOOSE(MATCH(RegimeExecucao,{"Global","Unitário"},0),ROUND(ROUND(BM.MEDAcumulado,15-13*BM!$A$9)/100*BM!$I235,15-13*ORÇAMENTO!$AF$11),ROUND(ROUND(BM.MEDAcumulado,15-13*BM!$A$9)*ROUND(BM!$H235,15-13*ORÇAMENTO!$AF$10),15-13*ORÇAMENTO!$AF$11))),IF($A235=0,0,ROUND(SomaAgrupBM,15-13*ORÇAMENTO!$AF$11)))</f>
        <v>0</v>
      </c>
    </row>
    <row r="236" spans="1:41" ht="38.25" x14ac:dyDescent="0.2">
      <c r="A236" t="str">
        <f ca="1">ORÇAMENTO!C236</f>
        <v>S</v>
      </c>
      <c r="B236">
        <f ca="1">ORÇAMENTO!D236</f>
        <v>0</v>
      </c>
      <c r="C236" s="114" t="str">
        <f t="shared" ca="1" si="1"/>
        <v>F</v>
      </c>
      <c r="D236" s="117" t="str">
        <f ca="1">ORÇAMENTO!O236</f>
        <v>1.13.0.0.2.</v>
      </c>
      <c r="E236" s="163" t="str">
        <f t="shared" ca="1" si="2"/>
        <v>LIMPEZA DE REVESTIMENTO CERÂMICO/ MÁRMORE/ GRANITO EM PAREDE UTILIZANDO DETERGENTE NEUTRO E ESCOVAÇÃO MANUAL. AF_10/2025_PS</v>
      </c>
      <c r="F236" s="164" t="str" cm="1">
        <f t="array" aca="1" ref="F236" ca="1">IF(RegimeExecucao="Global","",ORÇAMENTO.Unidade)</f>
        <v>M2</v>
      </c>
      <c r="G236" s="122" cm="1">
        <f t="array" aca="1" ref="G236" ca="1">IF(RegimeExecucao="Global","",ORÇAMENTO!T236)</f>
        <v>751.5</v>
      </c>
      <c r="H236" s="122" cm="1">
        <f t="array" aca="1" ref="H236" ca="1">IF(RegimeExecucao="Global","",ORÇAMENTO!W236)</f>
        <v>4.0999999999999996</v>
      </c>
      <c r="I236" s="125">
        <f ca="1">ORÇAMENTO!X236</f>
        <v>3081.15</v>
      </c>
      <c r="J236" s="333" cm="1">
        <f t="array" aca="1" ref="J236" ca="1">IF($A236="S",IF(CAIXA.Modo,BM.AFAnterior,BM.MEDAnterior),IF(AND(RegimeExecucao="Global",$I236&gt;0,COUNTIF($AB$13:$AM$13,BM.medicao-1)&gt;0),M236/$I236*100,0))</f>
        <v>0</v>
      </c>
      <c r="K236" s="122">
        <f t="shared" ca="1" si="3"/>
        <v>0</v>
      </c>
      <c r="L236" s="334" cm="1">
        <f t="array" aca="1" ref="L236" ca="1">IF($A236="S",IF(CAIXA.Modo,BM.AFAcumulado,BM.MEDAcumulado),IF(AND(RegimeExecucao="Global",$I236&gt;0,COUNTIF($AB$13:$AM$13,BM.medicao)&gt;0),O236/$I236*100,0))</f>
        <v>0</v>
      </c>
      <c r="M236" s="335" cm="1">
        <f t="array" aca="1" ref="M236" ca="1">IF($A236="S",VTOTALBM,IF($A236=0,0,ROUND(SomaAgrupBM,15-13*ORÇAMENTO!$AF$11)))</f>
        <v>0</v>
      </c>
      <c r="N236" s="336">
        <f t="shared" ca="1" si="4"/>
        <v>0</v>
      </c>
      <c r="O236" s="125" cm="1">
        <f t="array" aca="1" ref="O236" ca="1">IF($A236="S",VTOTALBM,IF($A236=0,0,ROUND(SomaAgrupBM,15-13*ORÇAMENTO!$AF$11)))</f>
        <v>0</v>
      </c>
      <c r="Q236" s="337"/>
      <c r="R236" s="338"/>
      <c r="T236" s="117" t="str">
        <f t="shared" ca="1" si="5"/>
        <v/>
      </c>
      <c r="U236" s="163" t="str">
        <f t="shared" ca="1" si="6"/>
        <v/>
      </c>
      <c r="V236" s="164" t="str" cm="1">
        <f t="array" aca="1" ref="V236" ca="1">IF(AND($W236&gt;0,RegimeExecucao="Unitário"),$F236,"")</f>
        <v/>
      </c>
      <c r="W236" s="454" cm="1">
        <f t="array" aca="1" ref="W236" ca="1">IF($Y236&gt;0,CHOOSE(MATCH(RegimeExecucao,{"Unitário","Global"},0),IF($A236="S",$Y236/$X236,""),($Y236/$X236)*100),0)</f>
        <v>0</v>
      </c>
      <c r="X236" s="339" t="str" cm="1">
        <f t="array" aca="1" ref="X236" ca="1">IF($Y236&gt;0,CHOOSE(MATCH(RegimeExecucao,{"Unitário","Global"},0),IF($A236="S",ROUND($H236,ORÇAMENTO!$AF$10),""),ROUND($I236,ORÇAMENTO!$AF$11)),"")</f>
        <v/>
      </c>
      <c r="Y236" s="339">
        <f t="shared" ca="1" si="7"/>
        <v>0</v>
      </c>
      <c r="Z236" s="473"/>
      <c r="AB236" s="337"/>
      <c r="AC236" s="437"/>
      <c r="AD236" s="437"/>
      <c r="AE236" s="437"/>
      <c r="AF236" s="437"/>
      <c r="AG236" s="437"/>
      <c r="AH236" s="437"/>
      <c r="AI236" s="437"/>
      <c r="AJ236" s="437"/>
      <c r="AK236" s="437"/>
      <c r="AL236" s="437"/>
      <c r="AM236" s="338"/>
      <c r="AO236" cm="1">
        <f t="array" aca="1" ref="AO236" ca="1">IF($A236="S",IF(BM!$I236=0,0,CHOOSE(MATCH(RegimeExecucao,{"Global","Unitário"},0),ROUND(ROUND(BM.MEDAcumulado,15-13*BM!$A$9)/100*BM!$I236,15-13*ORÇAMENTO!$AF$11),ROUND(ROUND(BM.MEDAcumulado,15-13*BM!$A$9)*ROUND(BM!$H236,15-13*ORÇAMENTO!$AF$10),15-13*ORÇAMENTO!$AF$11))),IF($A236=0,0,ROUND(SomaAgrupBM,15-13*ORÇAMENTO!$AF$11)))</f>
        <v>0</v>
      </c>
    </row>
    <row r="237" spans="1:41" ht="25.5" x14ac:dyDescent="0.2">
      <c r="A237" t="str">
        <f ca="1">ORÇAMENTO!C237</f>
        <v>S</v>
      </c>
      <c r="B237">
        <f ca="1">ORÇAMENTO!D237</f>
        <v>0</v>
      </c>
      <c r="C237" s="114" t="str">
        <f t="shared" ca="1" si="1"/>
        <v>F</v>
      </c>
      <c r="D237" s="117" t="str">
        <f ca="1">ORÇAMENTO!O237</f>
        <v>1.13.0.0.3.</v>
      </c>
      <c r="E237" s="163" t="str">
        <f t="shared" ca="1" si="2"/>
        <v>LIMPEZA DE TANQUE OU LAVATÓRIO DE LOUÇA ISOLADO, INCLUSIVE METAIS CORRESPONDENTES. AF_10/2025_PS</v>
      </c>
      <c r="F237" s="164" t="str" cm="1">
        <f t="array" aca="1" ref="F237" ca="1">IF(RegimeExecucao="Global","",ORÇAMENTO.Unidade)</f>
        <v>UN</v>
      </c>
      <c r="G237" s="122" cm="1">
        <f t="array" aca="1" ref="G237" ca="1">IF(RegimeExecucao="Global","",ORÇAMENTO!T237)</f>
        <v>30</v>
      </c>
      <c r="H237" s="122" cm="1">
        <f t="array" aca="1" ref="H237" ca="1">IF(RegimeExecucao="Global","",ORÇAMENTO!W237)</f>
        <v>11.68</v>
      </c>
      <c r="I237" s="125">
        <f ca="1">ORÇAMENTO!X237</f>
        <v>350.4</v>
      </c>
      <c r="J237" s="333" cm="1">
        <f t="array" aca="1" ref="J237" ca="1">IF($A237="S",IF(CAIXA.Modo,BM.AFAnterior,BM.MEDAnterior),IF(AND(RegimeExecucao="Global",$I237&gt;0,COUNTIF($AB$13:$AM$13,BM.medicao-1)&gt;0),M237/$I237*100,0))</f>
        <v>0</v>
      </c>
      <c r="K237" s="122">
        <f t="shared" ca="1" si="3"/>
        <v>0</v>
      </c>
      <c r="L237" s="334" cm="1">
        <f t="array" aca="1" ref="L237" ca="1">IF($A237="S",IF(CAIXA.Modo,BM.AFAcumulado,BM.MEDAcumulado),IF(AND(RegimeExecucao="Global",$I237&gt;0,COUNTIF($AB$13:$AM$13,BM.medicao)&gt;0),O237/$I237*100,0))</f>
        <v>0</v>
      </c>
      <c r="M237" s="335" cm="1">
        <f t="array" aca="1" ref="M237" ca="1">IF($A237="S",VTOTALBM,IF($A237=0,0,ROUND(SomaAgrupBM,15-13*ORÇAMENTO!$AF$11)))</f>
        <v>0</v>
      </c>
      <c r="N237" s="336">
        <f t="shared" ca="1" si="4"/>
        <v>0</v>
      </c>
      <c r="O237" s="125" cm="1">
        <f t="array" aca="1" ref="O237" ca="1">IF($A237="S",VTOTALBM,IF($A237=0,0,ROUND(SomaAgrupBM,15-13*ORÇAMENTO!$AF$11)))</f>
        <v>0</v>
      </c>
      <c r="Q237" s="337"/>
      <c r="R237" s="338"/>
      <c r="T237" s="117" t="str">
        <f t="shared" ca="1" si="5"/>
        <v/>
      </c>
      <c r="U237" s="163" t="str">
        <f t="shared" ca="1" si="6"/>
        <v/>
      </c>
      <c r="V237" s="164" t="str" cm="1">
        <f t="array" aca="1" ref="V237" ca="1">IF(AND($W237&gt;0,RegimeExecucao="Unitário"),$F237,"")</f>
        <v/>
      </c>
      <c r="W237" s="454" cm="1">
        <f t="array" aca="1" ref="W237" ca="1">IF($Y237&gt;0,CHOOSE(MATCH(RegimeExecucao,{"Unitário","Global"},0),IF($A237="S",$Y237/$X237,""),($Y237/$X237)*100),0)</f>
        <v>0</v>
      </c>
      <c r="X237" s="339" t="str" cm="1">
        <f t="array" aca="1" ref="X237" ca="1">IF($Y237&gt;0,CHOOSE(MATCH(RegimeExecucao,{"Unitário","Global"},0),IF($A237="S",ROUND($H237,ORÇAMENTO!$AF$10),""),ROUND($I237,ORÇAMENTO!$AF$11)),"")</f>
        <v/>
      </c>
      <c r="Y237" s="339">
        <f t="shared" ca="1" si="7"/>
        <v>0</v>
      </c>
      <c r="Z237" s="473"/>
      <c r="AB237" s="337"/>
      <c r="AC237" s="437"/>
      <c r="AD237" s="437"/>
      <c r="AE237" s="437"/>
      <c r="AF237" s="437"/>
      <c r="AG237" s="437"/>
      <c r="AH237" s="437"/>
      <c r="AI237" s="437"/>
      <c r="AJ237" s="437"/>
      <c r="AK237" s="437"/>
      <c r="AL237" s="437"/>
      <c r="AM237" s="338"/>
      <c r="AO237" cm="1">
        <f t="array" aca="1" ref="AO237" ca="1">IF($A237="S",IF(BM!$I237=0,0,CHOOSE(MATCH(RegimeExecucao,{"Global","Unitário"},0),ROUND(ROUND(BM.MEDAcumulado,15-13*BM!$A$9)/100*BM!$I237,15-13*ORÇAMENTO!$AF$11),ROUND(ROUND(BM.MEDAcumulado,15-13*BM!$A$9)*ROUND(BM!$H237,15-13*ORÇAMENTO!$AF$10),15-13*ORÇAMENTO!$AF$11))),IF($A237=0,0,ROUND(SomaAgrupBM,15-13*ORÇAMENTO!$AF$11)))</f>
        <v>0</v>
      </c>
    </row>
    <row r="238" spans="1:41" ht="25.5" x14ac:dyDescent="0.2">
      <c r="A238" t="str">
        <f ca="1">ORÇAMENTO!C238</f>
        <v>S</v>
      </c>
      <c r="B238">
        <f ca="1">ORÇAMENTO!D238</f>
        <v>0</v>
      </c>
      <c r="C238" s="114" t="str">
        <f t="shared" ca="1" si="1"/>
        <v>F</v>
      </c>
      <c r="D238" s="117" t="str">
        <f ca="1">ORÇAMENTO!O238</f>
        <v>1.13.0.0.4.</v>
      </c>
      <c r="E238" s="163" t="str">
        <f t="shared" ca="1" si="2"/>
        <v>LIMPEZA DE BACIA SANITÁRIA, BIDÊ OU MICTÓRIO EM LOUÇA, INCLUSIVE METAIS CORRESPONDENTES. AF_10/2025_PS</v>
      </c>
      <c r="F238" s="164" t="str" cm="1">
        <f t="array" aca="1" ref="F238" ca="1">IF(RegimeExecucao="Global","",ORÇAMENTO.Unidade)</f>
        <v>UN</v>
      </c>
      <c r="G238" s="122" cm="1">
        <f t="array" aca="1" ref="G238" ca="1">IF(RegimeExecucao="Global","",ORÇAMENTO!T238)</f>
        <v>30</v>
      </c>
      <c r="H238" s="122" cm="1">
        <f t="array" aca="1" ref="H238" ca="1">IF(RegimeExecucao="Global","",ORÇAMENTO!W238)</f>
        <v>7.62</v>
      </c>
      <c r="I238" s="125">
        <f ca="1">ORÇAMENTO!X238</f>
        <v>228.6</v>
      </c>
      <c r="J238" s="333" cm="1">
        <f t="array" aca="1" ref="J238" ca="1">IF($A238="S",IF(CAIXA.Modo,BM.AFAnterior,BM.MEDAnterior),IF(AND(RegimeExecucao="Global",$I238&gt;0,COUNTIF($AB$13:$AM$13,BM.medicao-1)&gt;0),M238/$I238*100,0))</f>
        <v>0</v>
      </c>
      <c r="K238" s="122">
        <f t="shared" ca="1" si="3"/>
        <v>0</v>
      </c>
      <c r="L238" s="334" cm="1">
        <f t="array" aca="1" ref="L238" ca="1">IF($A238="S",IF(CAIXA.Modo,BM.AFAcumulado,BM.MEDAcumulado),IF(AND(RegimeExecucao="Global",$I238&gt;0,COUNTIF($AB$13:$AM$13,BM.medicao)&gt;0),O238/$I238*100,0))</f>
        <v>0</v>
      </c>
      <c r="M238" s="335" cm="1">
        <f t="array" aca="1" ref="M238" ca="1">IF($A238="S",VTOTALBM,IF($A238=0,0,ROUND(SomaAgrupBM,15-13*ORÇAMENTO!$AF$11)))</f>
        <v>0</v>
      </c>
      <c r="N238" s="336">
        <f t="shared" ca="1" si="4"/>
        <v>0</v>
      </c>
      <c r="O238" s="125" cm="1">
        <f t="array" aca="1" ref="O238" ca="1">IF($A238="S",VTOTALBM,IF($A238=0,0,ROUND(SomaAgrupBM,15-13*ORÇAMENTO!$AF$11)))</f>
        <v>0</v>
      </c>
      <c r="Q238" s="337"/>
      <c r="R238" s="338"/>
      <c r="T238" s="117" t="str">
        <f t="shared" ca="1" si="5"/>
        <v/>
      </c>
      <c r="U238" s="163" t="str">
        <f t="shared" ca="1" si="6"/>
        <v/>
      </c>
      <c r="V238" s="164" t="str" cm="1">
        <f t="array" aca="1" ref="V238" ca="1">IF(AND($W238&gt;0,RegimeExecucao="Unitário"),$F238,"")</f>
        <v/>
      </c>
      <c r="W238" s="454" cm="1">
        <f t="array" aca="1" ref="W238" ca="1">IF($Y238&gt;0,CHOOSE(MATCH(RegimeExecucao,{"Unitário","Global"},0),IF($A238="S",$Y238/$X238,""),($Y238/$X238)*100),0)</f>
        <v>0</v>
      </c>
      <c r="X238" s="339" t="str" cm="1">
        <f t="array" aca="1" ref="X238" ca="1">IF($Y238&gt;0,CHOOSE(MATCH(RegimeExecucao,{"Unitário","Global"},0),IF($A238="S",ROUND($H238,ORÇAMENTO!$AF$10),""),ROUND($I238,ORÇAMENTO!$AF$11)),"")</f>
        <v/>
      </c>
      <c r="Y238" s="339">
        <f t="shared" ca="1" si="7"/>
        <v>0</v>
      </c>
      <c r="Z238" s="473"/>
      <c r="AB238" s="337"/>
      <c r="AC238" s="437"/>
      <c r="AD238" s="437"/>
      <c r="AE238" s="437"/>
      <c r="AF238" s="437"/>
      <c r="AG238" s="437"/>
      <c r="AH238" s="437"/>
      <c r="AI238" s="437"/>
      <c r="AJ238" s="437"/>
      <c r="AK238" s="437"/>
      <c r="AL238" s="437"/>
      <c r="AM238" s="338"/>
      <c r="AO238" cm="1">
        <f t="array" aca="1" ref="AO238" ca="1">IF($A238="S",IF(BM!$I238=0,0,CHOOSE(MATCH(RegimeExecucao,{"Global","Unitário"},0),ROUND(ROUND(BM.MEDAcumulado,15-13*BM!$A$9)/100*BM!$I238,15-13*ORÇAMENTO!$AF$11),ROUND(ROUND(BM.MEDAcumulado,15-13*BM!$A$9)*ROUND(BM!$H238,15-13*ORÇAMENTO!$AF$10),15-13*ORÇAMENTO!$AF$11))),IF($A238=0,0,ROUND(SomaAgrupBM,15-13*ORÇAMENTO!$AF$11)))</f>
        <v>0</v>
      </c>
    </row>
    <row r="239" spans="1:41" ht="25.5" x14ac:dyDescent="0.2">
      <c r="A239" t="str">
        <f ca="1">ORÇAMENTO!C239</f>
        <v>S</v>
      </c>
      <c r="B239">
        <f ca="1">ORÇAMENTO!D239</f>
        <v>0</v>
      </c>
      <c r="C239" s="114" t="str">
        <f t="shared" ca="1" si="1"/>
        <v>F</v>
      </c>
      <c r="D239" s="117" t="str">
        <f ca="1">ORÇAMENTO!O239</f>
        <v>1.13.0.0.5.</v>
      </c>
      <c r="E239" s="163" t="str">
        <f t="shared" ca="1" si="2"/>
        <v>LIMPEZA DE JANELA DE VIDRO COM CAIXILHO EM AÇO/ALUMÍNIO/PVC. AF_10/2025_PS</v>
      </c>
      <c r="F239" s="164" t="str" cm="1">
        <f t="array" aca="1" ref="F239" ca="1">IF(RegimeExecucao="Global","",ORÇAMENTO.Unidade)</f>
        <v>M2</v>
      </c>
      <c r="G239" s="122" cm="1">
        <f t="array" aca="1" ref="G239" ca="1">IF(RegimeExecucao="Global","",ORÇAMENTO!T239)</f>
        <v>30</v>
      </c>
      <c r="H239" s="122" cm="1">
        <f t="array" aca="1" ref="H239" ca="1">IF(RegimeExecucao="Global","",ORÇAMENTO!W239)</f>
        <v>6.42</v>
      </c>
      <c r="I239" s="125">
        <f ca="1">ORÇAMENTO!X239</f>
        <v>192.6</v>
      </c>
      <c r="J239" s="333" cm="1">
        <f t="array" aca="1" ref="J239" ca="1">IF($A239="S",IF(CAIXA.Modo,BM.AFAnterior,BM.MEDAnterior),IF(AND(RegimeExecucao="Global",$I239&gt;0,COUNTIF($AB$13:$AM$13,BM.medicao-1)&gt;0),M239/$I239*100,0))</f>
        <v>0</v>
      </c>
      <c r="K239" s="122">
        <f t="shared" ca="1" si="3"/>
        <v>0</v>
      </c>
      <c r="L239" s="334" cm="1">
        <f t="array" aca="1" ref="L239" ca="1">IF($A239="S",IF(CAIXA.Modo,BM.AFAcumulado,BM.MEDAcumulado),IF(AND(RegimeExecucao="Global",$I239&gt;0,COUNTIF($AB$13:$AM$13,BM.medicao)&gt;0),O239/$I239*100,0))</f>
        <v>0</v>
      </c>
      <c r="M239" s="335" cm="1">
        <f t="array" aca="1" ref="M239" ca="1">IF($A239="S",VTOTALBM,IF($A239=0,0,ROUND(SomaAgrupBM,15-13*ORÇAMENTO!$AF$11)))</f>
        <v>0</v>
      </c>
      <c r="N239" s="336">
        <f t="shared" ca="1" si="4"/>
        <v>0</v>
      </c>
      <c r="O239" s="125" cm="1">
        <f t="array" aca="1" ref="O239" ca="1">IF($A239="S",VTOTALBM,IF($A239=0,0,ROUND(SomaAgrupBM,15-13*ORÇAMENTO!$AF$11)))</f>
        <v>0</v>
      </c>
      <c r="Q239" s="337"/>
      <c r="R239" s="338"/>
      <c r="T239" s="117" t="str">
        <f t="shared" ca="1" si="5"/>
        <v/>
      </c>
      <c r="U239" s="163" t="str">
        <f t="shared" ca="1" si="6"/>
        <v/>
      </c>
      <c r="V239" s="164" t="str" cm="1">
        <f t="array" aca="1" ref="V239" ca="1">IF(AND($W239&gt;0,RegimeExecucao="Unitário"),$F239,"")</f>
        <v/>
      </c>
      <c r="W239" s="454" cm="1">
        <f t="array" aca="1" ref="W239" ca="1">IF($Y239&gt;0,CHOOSE(MATCH(RegimeExecucao,{"Unitário","Global"},0),IF($A239="S",$Y239/$X239,""),($Y239/$X239)*100),0)</f>
        <v>0</v>
      </c>
      <c r="X239" s="339" t="str" cm="1">
        <f t="array" aca="1" ref="X239" ca="1">IF($Y239&gt;0,CHOOSE(MATCH(RegimeExecucao,{"Unitário","Global"},0),IF($A239="S",ROUND($H239,ORÇAMENTO!$AF$10),""),ROUND($I239,ORÇAMENTO!$AF$11)),"")</f>
        <v/>
      </c>
      <c r="Y239" s="339">
        <f t="shared" ca="1" si="7"/>
        <v>0</v>
      </c>
      <c r="Z239" s="473"/>
      <c r="AB239" s="337"/>
      <c r="AC239" s="437"/>
      <c r="AD239" s="437"/>
      <c r="AE239" s="437"/>
      <c r="AF239" s="437"/>
      <c r="AG239" s="437"/>
      <c r="AH239" s="437"/>
      <c r="AI239" s="437"/>
      <c r="AJ239" s="437"/>
      <c r="AK239" s="437"/>
      <c r="AL239" s="437"/>
      <c r="AM239" s="338"/>
      <c r="AO239" cm="1">
        <f t="array" aca="1" ref="AO239" ca="1">IF($A239="S",IF(BM!$I239=0,0,CHOOSE(MATCH(RegimeExecucao,{"Global","Unitário"},0),ROUND(ROUND(BM.MEDAcumulado,15-13*BM!$A$9)/100*BM!$I239,15-13*ORÇAMENTO!$AF$11),ROUND(ROUND(BM.MEDAcumulado,15-13*BM!$A$9)*ROUND(BM!$H239,15-13*ORÇAMENTO!$AF$10),15-13*ORÇAMENTO!$AF$11))),IF($A239=0,0,ROUND(SomaAgrupBM,15-13*ORÇAMENTO!$AF$11)))</f>
        <v>0</v>
      </c>
    </row>
    <row r="240" spans="1:41" ht="5.0999999999999996" customHeight="1" x14ac:dyDescent="0.2">
      <c r="C240" s="114" t="s">
        <v>536</v>
      </c>
      <c r="D240" s="618"/>
      <c r="E240" s="619"/>
      <c r="F240" s="619"/>
      <c r="G240" s="619"/>
      <c r="H240" s="619"/>
      <c r="I240" s="419"/>
      <c r="J240" s="618"/>
      <c r="K240" s="619"/>
      <c r="L240" s="419"/>
      <c r="M240" s="434"/>
      <c r="N240" s="435"/>
      <c r="O240" s="436"/>
      <c r="Q240" s="618"/>
      <c r="R240" s="419"/>
      <c r="T240" s="618"/>
      <c r="U240" s="619"/>
      <c r="V240" s="619"/>
      <c r="W240" s="619"/>
      <c r="X240" s="619"/>
      <c r="Y240" s="619"/>
      <c r="Z240" s="419"/>
      <c r="AB240" s="618"/>
      <c r="AC240" s="619"/>
      <c r="AD240" s="619"/>
      <c r="AE240" s="619"/>
      <c r="AF240" s="619"/>
      <c r="AG240" s="619"/>
      <c r="AH240" s="619"/>
      <c r="AI240" s="619"/>
      <c r="AJ240" s="619"/>
      <c r="AK240" s="619"/>
      <c r="AL240" s="619"/>
      <c r="AM240" s="419"/>
    </row>
    <row r="242" spans="4:26" ht="14.25" x14ac:dyDescent="0.2">
      <c r="D242" s="810" t="s">
        <v>689</v>
      </c>
      <c r="E242" s="810"/>
      <c r="F242" s="810"/>
      <c r="G242" s="810"/>
      <c r="H242" s="810"/>
      <c r="I242" s="810"/>
      <c r="J242" s="810"/>
      <c r="K242" s="810"/>
      <c r="L242" s="810"/>
      <c r="M242" s="810"/>
      <c r="N242" s="810"/>
      <c r="O242" s="810"/>
      <c r="T242" s="811" t="s">
        <v>865</v>
      </c>
      <c r="U242" s="811"/>
      <c r="V242" s="811"/>
      <c r="W242" s="811"/>
      <c r="X242" s="811"/>
      <c r="Y242" s="811"/>
      <c r="Z242" s="811"/>
    </row>
    <row r="243" spans="4:26" ht="12.75" customHeight="1" x14ac:dyDescent="0.2">
      <c r="D243" s="737"/>
      <c r="E243" s="737"/>
      <c r="F243" s="737"/>
      <c r="G243" s="737"/>
      <c r="H243" s="737"/>
      <c r="I243" s="737"/>
      <c r="J243" s="737"/>
      <c r="K243" s="737"/>
      <c r="L243" s="737"/>
      <c r="M243" s="737"/>
      <c r="N243" s="737"/>
      <c r="O243" s="737"/>
      <c r="T243" s="812"/>
      <c r="U243" s="812"/>
      <c r="V243" s="812"/>
      <c r="W243" s="812"/>
      <c r="X243" s="812"/>
      <c r="Y243" s="812"/>
      <c r="Z243" s="812"/>
    </row>
    <row r="244" spans="4:26" ht="12.75" customHeight="1" x14ac:dyDescent="0.2">
      <c r="D244" s="737"/>
      <c r="E244" s="737"/>
      <c r="F244" s="737"/>
      <c r="G244" s="737"/>
      <c r="H244" s="737"/>
      <c r="I244" s="737"/>
      <c r="J244" s="737"/>
      <c r="K244" s="737"/>
      <c r="L244" s="737"/>
      <c r="M244" s="737"/>
      <c r="N244" s="737"/>
      <c r="O244" s="737"/>
      <c r="T244" s="812"/>
      <c r="U244" s="812"/>
      <c r="V244" s="812"/>
      <c r="W244" s="812"/>
      <c r="X244" s="812"/>
      <c r="Y244" s="812"/>
      <c r="Z244" s="812"/>
    </row>
    <row r="245" spans="4:26" ht="12.75" customHeight="1" x14ac:dyDescent="0.2">
      <c r="D245" s="737"/>
      <c r="E245" s="737"/>
      <c r="F245" s="737"/>
      <c r="G245" s="737"/>
      <c r="H245" s="737"/>
      <c r="I245" s="737"/>
      <c r="J245" s="737"/>
      <c r="K245" s="737"/>
      <c r="L245" s="737"/>
      <c r="M245" s="737"/>
      <c r="N245" s="737"/>
      <c r="O245" s="737"/>
      <c r="T245" s="812"/>
      <c r="U245" s="812"/>
      <c r="V245" s="812"/>
      <c r="W245" s="812"/>
      <c r="X245" s="812"/>
      <c r="Y245" s="812"/>
      <c r="Z245" s="812"/>
    </row>
    <row r="246" spans="4:26" ht="14.25" x14ac:dyDescent="0.2">
      <c r="D246" s="443"/>
      <c r="E246" s="443"/>
      <c r="F246" s="443"/>
      <c r="G246" s="443"/>
      <c r="H246" s="443"/>
      <c r="I246" s="443"/>
      <c r="J246" s="443"/>
      <c r="K246" s="443"/>
      <c r="L246" s="443"/>
      <c r="M246" s="443"/>
      <c r="N246" s="443"/>
      <c r="O246" s="443"/>
    </row>
    <row r="247" spans="4:26" ht="15" customHeight="1" x14ac:dyDescent="0.25">
      <c r="D247" s="738" t="str" cm="1">
        <f t="array" aca="1" ref="D247"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47" s="738"/>
      <c r="F247" s="738"/>
      <c r="G247" s="738"/>
      <c r="H247" s="738"/>
      <c r="I247" s="738"/>
      <c r="J247" s="738"/>
      <c r="K247" s="738"/>
      <c r="L247" s="738"/>
    </row>
    <row r="248" spans="4:26" x14ac:dyDescent="0.2">
      <c r="D248" s="808"/>
      <c r="E248" s="808"/>
      <c r="F248" s="808"/>
      <c r="G248" s="808"/>
      <c r="H248" s="808"/>
      <c r="I248" s="808"/>
    </row>
    <row r="249" spans="4:26" x14ac:dyDescent="0.2">
      <c r="D249"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49" s="806"/>
      <c r="F249" s="806"/>
      <c r="G249" s="806"/>
      <c r="H249" s="806"/>
      <c r="I249" s="806"/>
      <c r="J249" s="806"/>
      <c r="K249" s="806"/>
      <c r="L249" s="806"/>
      <c r="M249" s="806"/>
      <c r="N249" s="806"/>
      <c r="O249" s="806"/>
    </row>
    <row r="250" spans="4:26" ht="39.950000000000003" customHeight="1" x14ac:dyDescent="0.25">
      <c r="E250" s="138" t="str">
        <f>Import.Município</f>
        <v>SARANDI/RS</v>
      </c>
      <c r="J250" s="585" t="str">
        <f ca="1">IF(DADOS!$D$50&lt;&gt;"","Preencher os Dados do Responsável pela Fiscalização, na aba DADOS.","")</f>
        <v/>
      </c>
      <c r="K250" s="585"/>
      <c r="L250" s="585"/>
      <c r="M250" s="585"/>
      <c r="W250" s="807"/>
      <c r="X250" s="807"/>
      <c r="Y250" s="807"/>
      <c r="Z250" s="807"/>
    </row>
    <row r="251" spans="4:26" x14ac:dyDescent="0.2">
      <c r="E251" s="9" t="s">
        <v>693</v>
      </c>
      <c r="J251" s="181" t="s">
        <v>841</v>
      </c>
      <c r="W251" s="181" t="s">
        <v>866</v>
      </c>
    </row>
    <row r="252" spans="4:26" x14ac:dyDescent="0.2">
      <c r="J252" s="77" t="s">
        <v>240</v>
      </c>
      <c r="K252" s="271">
        <f t="array" ref="K252:K255">Import.RespFiscalização</f>
        <v>0</v>
      </c>
      <c r="L252" s="78"/>
      <c r="W252" s="77" t="s">
        <v>240</v>
      </c>
      <c r="X252" s="805"/>
      <c r="Y252" s="805"/>
      <c r="Z252" s="805"/>
    </row>
    <row r="253" spans="4:26" x14ac:dyDescent="0.2">
      <c r="E253" s="459">
        <f>DADOS!$C$48</f>
        <v>0</v>
      </c>
      <c r="J253" s="77" t="s">
        <v>319</v>
      </c>
      <c r="K253" s="271">
        <v>0</v>
      </c>
      <c r="L253" s="78"/>
      <c r="W253" s="77" t="s">
        <v>867</v>
      </c>
      <c r="X253" s="805"/>
      <c r="Y253" s="805"/>
      <c r="Z253" s="805"/>
    </row>
    <row r="254" spans="4:26" x14ac:dyDescent="0.2">
      <c r="E254" s="140" t="s">
        <v>694</v>
      </c>
      <c r="J254" s="77" t="s">
        <v>243</v>
      </c>
      <c r="K254" s="271">
        <v>0</v>
      </c>
      <c r="L254" s="78"/>
      <c r="W254" s="77" t="s">
        <v>243</v>
      </c>
      <c r="X254" s="805"/>
      <c r="Y254" s="805"/>
      <c r="Z254" s="805"/>
    </row>
    <row r="255" spans="4:26" x14ac:dyDescent="0.2">
      <c r="J255" s="77" t="s">
        <v>246</v>
      </c>
      <c r="K255" s="12">
        <v>0</v>
      </c>
      <c r="W255" s="77"/>
      <c r="X255" s="12"/>
    </row>
  </sheetData>
  <sheetProtection algorithmName="SHA-512" hashValue="ntB7E3eAuteiHPCbvHQrrly9nY8ddMOitDpIrYfOh1cYPB089VPjz54JsvLwiCWzv08hdVEHwZttWAKHeYIG4g==" saltValue="LWD4OhgnGvrRFjWacIInFA==" spinCount="100000" sheet="1" objects="1" scenarios="1" autoFilter="0"/>
  <autoFilter ref="C15:C240"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247:L247"/>
    <mergeCell ref="D248:I248"/>
    <mergeCell ref="AB15:AM15"/>
    <mergeCell ref="D242:O242"/>
    <mergeCell ref="T242:Z242"/>
    <mergeCell ref="D243:O245"/>
    <mergeCell ref="T243:Z245"/>
    <mergeCell ref="D15:E15"/>
    <mergeCell ref="X254:Z254"/>
    <mergeCell ref="D249:O249"/>
    <mergeCell ref="W250:Z250"/>
    <mergeCell ref="X252:Z252"/>
    <mergeCell ref="X253:Z253"/>
  </mergeCells>
  <phoneticPr fontId="38" type="noConversion"/>
  <conditionalFormatting sqref="D14:O14 T14:Z14 T200:Z202 D200:O202 D178:O179 T178:Z179 D214:O218 T214:Z218 D187:O192 T187:Z192 D182:O184 T182:Z184 D164:O165 T164:Z165 D155:O159 T155:Z159 T171:Z174 D171:O174 D113:O119 T113:Z119 T121:Z122 D121:O122 D107:O110 T107:Z110 D73:O76 T73:Z76 D224:O239 T224:Z239 D27:O30 T27:Z30 D38:O39 T38:Z39 D47:O49 T47:Z49 D58:O59 T58:Z59 D91:O102 T91:Z102 D16:O24 T16:Z24">
    <cfRule type="expression" dxfId="256" priority="18907" stopIfTrue="1">
      <formula>OR(ACOMPANHAMENTO="PLE",TIPOORCAMENTO="Proposto",$L14&lt;0,AND($L14&gt;100,RegimeExecucao="Global"),$O14&gt;$I14,$O14&lt;0)</formula>
    </cfRule>
    <cfRule type="expression" dxfId="255" priority="18908" stopIfTrue="1">
      <formula>$A14=1</formula>
    </cfRule>
    <cfRule type="expression" dxfId="254" priority="18909" stopIfTrue="1">
      <formula>$A14&lt;&gt;"S"</formula>
    </cfRule>
  </conditionalFormatting>
  <conditionalFormatting sqref="Q14:R14 AB14:AM14 AB200:AM202 Q200:R202 Q178:R179 AB178:AM179 Q214:R218 AB214:AM218 Q187:R192 AB187:AM192 Q182:R184 AB182:AM184 Q164:R165 AB164:AM165 Q155:R159 AB155:AM159 AB171:AM174 Q171:R174 Q113:R119 AB113:AM119 AB121:AM122 Q121:R122 Q107:R110 AB107:AM110 Q73:R76 AB73:AM76 Q224:R239 AB224:AM239 Q27:R30 AB27:AM30 Q38:R39 AB38:AM39 Q47:R49 AB47:AM49 Q58:R59 AB58:AM59 Q91:R102 AB91:AM102 Q16:R24 AB16:AM24">
    <cfRule type="expression" dxfId="253" priority="18910" stopIfTrue="1">
      <formula>$A14=1</formula>
    </cfRule>
    <cfRule type="expression" dxfId="252" priority="18911" stopIfTrue="1">
      <formula>$A14&lt;&gt;"S"</formula>
    </cfRule>
  </conditionalFormatting>
  <conditionalFormatting sqref="E2">
    <cfRule type="expression" dxfId="251" priority="18912" stopIfTrue="1">
      <formula>Import.RegimeExecução="(SELECIONAR)"</formula>
    </cfRule>
  </conditionalFormatting>
  <conditionalFormatting sqref="F13:H13">
    <cfRule type="expression" dxfId="250" priority="18913" stopIfTrue="1">
      <formula>RegimeExecucao="Global"</formula>
    </cfRule>
  </conditionalFormatting>
  <conditionalFormatting sqref="D15:O15">
    <cfRule type="expression" dxfId="249" priority="18914" stopIfTrue="1">
      <formula>OR(ACOMPANHAMENTO="PLE",TIPOORCAMENTO="Proposto")</formula>
    </cfRule>
  </conditionalFormatting>
  <conditionalFormatting sqref="AB13">
    <cfRule type="cellIs" dxfId="248" priority="18915" stopIfTrue="1" operator="notEqual">
      <formula>1</formula>
    </cfRule>
  </conditionalFormatting>
  <conditionalFormatting sqref="O11">
    <cfRule type="expression" dxfId="247" priority="13774">
      <formula>ROUND($P$11,4)&gt;ROUND($P$10,4)</formula>
    </cfRule>
  </conditionalFormatting>
  <conditionalFormatting sqref="D25:O25 T25:Z25 T103:Z103 D103:O103 D111:O112 T111:Z112 D106:O106 T106:Z106">
    <cfRule type="expression" dxfId="246" priority="456" stopIfTrue="1">
      <formula>OR(ACOMPANHAMENTO="PLE",TIPOORCAMENTO="Proposto",$L25&lt;0,AND($L25&gt;100,RegimeExecucao="Global"),$O25&gt;$I25,$O25&lt;0)</formula>
    </cfRule>
    <cfRule type="expression" dxfId="245" priority="457" stopIfTrue="1">
      <formula>$A25=1</formula>
    </cfRule>
    <cfRule type="expression" dxfId="244" priority="458" stopIfTrue="1">
      <formula>$A25&lt;&gt;"S"</formula>
    </cfRule>
  </conditionalFormatting>
  <conditionalFormatting sqref="Q25:R25 AB25:AM25 AB103:AM103 Q103:R103 Q111:R112 AB111:AM112 Q106:R106 AB106:AM106">
    <cfRule type="expression" dxfId="243" priority="459" stopIfTrue="1">
      <formula>$A25=1</formula>
    </cfRule>
    <cfRule type="expression" dxfId="242" priority="460" stopIfTrue="1">
      <formula>$A25&lt;&gt;"S"</formula>
    </cfRule>
  </conditionalFormatting>
  <conditionalFormatting sqref="D132:O133 T132:Z133 T219:Z220 D219:O220 T175:Z176 D175:O176 D193:O194 T193:Z194 D222:O222 T222:Z222">
    <cfRule type="expression" dxfId="241" priority="451" stopIfTrue="1">
      <formula>OR(ACOMPANHAMENTO="PLE",TIPOORCAMENTO="Proposto",$L132&lt;0,AND($L132&gt;100,RegimeExecucao="Global"),$O132&gt;$I132,$O132&lt;0)</formula>
    </cfRule>
    <cfRule type="expression" dxfId="240" priority="452" stopIfTrue="1">
      <formula>$A132=1</formula>
    </cfRule>
    <cfRule type="expression" dxfId="239" priority="453" stopIfTrue="1">
      <formula>$A132&lt;&gt;"S"</formula>
    </cfRule>
  </conditionalFormatting>
  <conditionalFormatting sqref="Q132:R133 AB132:AM133 AB219:AM220 Q219:R220 AB175:AM176 Q175:R176 Q193:R194 AB193:AM194 Q222:R222 AB222:AM222">
    <cfRule type="expression" dxfId="238" priority="454" stopIfTrue="1">
      <formula>$A132=1</formula>
    </cfRule>
    <cfRule type="expression" dxfId="237" priority="455" stopIfTrue="1">
      <formula>$A132&lt;&gt;"S"</formula>
    </cfRule>
  </conditionalFormatting>
  <conditionalFormatting sqref="D223:O223 T223:Z223">
    <cfRule type="expression" dxfId="236" priority="446" stopIfTrue="1">
      <formula>OR(ACOMPANHAMENTO="PLE",TIPOORCAMENTO="Proposto",$L223&lt;0,AND($L223&gt;100,RegimeExecucao="Global"),$O223&gt;$I223,$O223&lt;0)</formula>
    </cfRule>
    <cfRule type="expression" dxfId="235" priority="447" stopIfTrue="1">
      <formula>$A223=1</formula>
    </cfRule>
    <cfRule type="expression" dxfId="234" priority="448" stopIfTrue="1">
      <formula>$A223&lt;&gt;"S"</formula>
    </cfRule>
  </conditionalFormatting>
  <conditionalFormatting sqref="Q223:R223 AB223:AM223">
    <cfRule type="expression" dxfId="233" priority="449" stopIfTrue="1">
      <formula>$A223=1</formula>
    </cfRule>
    <cfRule type="expression" dxfId="232" priority="450" stopIfTrue="1">
      <formula>$A223&lt;&gt;"S"</formula>
    </cfRule>
  </conditionalFormatting>
  <conditionalFormatting sqref="D26:O26 T26:Z26 T45:Z46 D45:O46 D55:O56 T55:Z56 T62:Z63 D62:O63 T31:Z32 D31:O32">
    <cfRule type="expression" dxfId="231" priority="321" stopIfTrue="1">
      <formula>OR(ACOMPANHAMENTO="PLE",TIPOORCAMENTO="Proposto",$L26&lt;0,AND($L26&gt;100,RegimeExecucao="Global"),$O26&gt;$I26,$O26&lt;0)</formula>
    </cfRule>
    <cfRule type="expression" dxfId="230" priority="322" stopIfTrue="1">
      <formula>$A26=1</formula>
    </cfRule>
    <cfRule type="expression" dxfId="229" priority="323" stopIfTrue="1">
      <formula>$A26&lt;&gt;"S"</formula>
    </cfRule>
  </conditionalFormatting>
  <conditionalFormatting sqref="Q26:R26 AB26:AM26 AB45:AM46 Q45:R46 Q55:R56 AB55:AM56 AB62:AM63 Q62:R63 AB31:AM32 Q31:R32">
    <cfRule type="expression" dxfId="228" priority="324" stopIfTrue="1">
      <formula>$A26=1</formula>
    </cfRule>
    <cfRule type="expression" dxfId="227" priority="325" stopIfTrue="1">
      <formula>$A26&lt;&gt;"S"</formula>
    </cfRule>
  </conditionalFormatting>
  <conditionalFormatting sqref="D82:O83 T82:Z83">
    <cfRule type="expression" dxfId="226" priority="311" stopIfTrue="1">
      <formula>OR(ACOMPANHAMENTO="PLE",TIPOORCAMENTO="Proposto",$L82&lt;0,AND($L82&gt;100,RegimeExecucao="Global"),$O82&gt;$I82,$O82&lt;0)</formula>
    </cfRule>
    <cfRule type="expression" dxfId="225" priority="312" stopIfTrue="1">
      <formula>$A82=1</formula>
    </cfRule>
    <cfRule type="expression" dxfId="224" priority="313" stopIfTrue="1">
      <formula>$A82&lt;&gt;"S"</formula>
    </cfRule>
  </conditionalFormatting>
  <conditionalFormatting sqref="Q82:R83 AB82:AM83">
    <cfRule type="expression" dxfId="223" priority="314" stopIfTrue="1">
      <formula>$A82=1</formula>
    </cfRule>
    <cfRule type="expression" dxfId="222" priority="315" stopIfTrue="1">
      <formula>$A82&lt;&gt;"S"</formula>
    </cfRule>
  </conditionalFormatting>
  <conditionalFormatting sqref="D77:O78 T77:Z78">
    <cfRule type="expression" dxfId="221" priority="301" stopIfTrue="1">
      <formula>OR(ACOMPANHAMENTO="PLE",TIPOORCAMENTO="Proposto",$L77&lt;0,AND($L77&gt;100,RegimeExecucao="Global"),$O77&gt;$I77,$O77&lt;0)</formula>
    </cfRule>
    <cfRule type="expression" dxfId="220" priority="302" stopIfTrue="1">
      <formula>$A77=1</formula>
    </cfRule>
    <cfRule type="expression" dxfId="219" priority="303" stopIfTrue="1">
      <formula>$A77&lt;&gt;"S"</formula>
    </cfRule>
  </conditionalFormatting>
  <conditionalFormatting sqref="Q77:R78 AB77:AM78">
    <cfRule type="expression" dxfId="218" priority="304" stopIfTrue="1">
      <formula>$A77=1</formula>
    </cfRule>
    <cfRule type="expression" dxfId="217" priority="305" stopIfTrue="1">
      <formula>$A77&lt;&gt;"S"</formula>
    </cfRule>
  </conditionalFormatting>
  <conditionalFormatting sqref="D40:O41 T40:Z41">
    <cfRule type="expression" dxfId="216" priority="296" stopIfTrue="1">
      <formula>OR(ACOMPANHAMENTO="PLE",TIPOORCAMENTO="Proposto",$L40&lt;0,AND($L40&gt;100,RegimeExecucao="Global"),$O40&gt;$I40,$O40&lt;0)</formula>
    </cfRule>
    <cfRule type="expression" dxfId="215" priority="297" stopIfTrue="1">
      <formula>$A40=1</formula>
    </cfRule>
    <cfRule type="expression" dxfId="214" priority="298" stopIfTrue="1">
      <formula>$A40&lt;&gt;"S"</formula>
    </cfRule>
  </conditionalFormatting>
  <conditionalFormatting sqref="Q40:R41 AB40:AM41">
    <cfRule type="expression" dxfId="213" priority="299" stopIfTrue="1">
      <formula>$A40=1</formula>
    </cfRule>
    <cfRule type="expression" dxfId="212" priority="300" stopIfTrue="1">
      <formula>$A40&lt;&gt;"S"</formula>
    </cfRule>
  </conditionalFormatting>
  <conditionalFormatting sqref="D50:O51 T50:Z51">
    <cfRule type="expression" dxfId="211" priority="291" stopIfTrue="1">
      <formula>OR(ACOMPANHAMENTO="PLE",TIPOORCAMENTO="Proposto",$L50&lt;0,AND($L50&gt;100,RegimeExecucao="Global"),$O50&gt;$I50,$O50&lt;0)</formula>
    </cfRule>
    <cfRule type="expression" dxfId="210" priority="292" stopIfTrue="1">
      <formula>$A50=1</formula>
    </cfRule>
    <cfRule type="expression" dxfId="209" priority="293" stopIfTrue="1">
      <formula>$A50&lt;&gt;"S"</formula>
    </cfRule>
  </conditionalFormatting>
  <conditionalFormatting sqref="Q50:R51 AB50:AM51">
    <cfRule type="expression" dxfId="208" priority="294" stopIfTrue="1">
      <formula>$A50=1</formula>
    </cfRule>
    <cfRule type="expression" dxfId="207" priority="295" stopIfTrue="1">
      <formula>$A50&lt;&gt;"S"</formula>
    </cfRule>
  </conditionalFormatting>
  <conditionalFormatting sqref="D89:O90 T89:Z90">
    <cfRule type="expression" dxfId="206" priority="286" stopIfTrue="1">
      <formula>OR(ACOMPANHAMENTO="PLE",TIPOORCAMENTO="Proposto",$L89&lt;0,AND($L89&gt;100,RegimeExecucao="Global"),$O89&gt;$I89,$O89&lt;0)</formula>
    </cfRule>
    <cfRule type="expression" dxfId="205" priority="287" stopIfTrue="1">
      <formula>$A89=1</formula>
    </cfRule>
    <cfRule type="expression" dxfId="204" priority="288" stopIfTrue="1">
      <formula>$A89&lt;&gt;"S"</formula>
    </cfRule>
  </conditionalFormatting>
  <conditionalFormatting sqref="Q89:R90 AB89:AM90">
    <cfRule type="expression" dxfId="203" priority="289" stopIfTrue="1">
      <formula>$A89=1</formula>
    </cfRule>
    <cfRule type="expression" dxfId="202" priority="290" stopIfTrue="1">
      <formula>$A89&lt;&gt;"S"</formula>
    </cfRule>
  </conditionalFormatting>
  <conditionalFormatting sqref="D195:O197 T195:Z197 T203:Z204 D203:O204">
    <cfRule type="expression" dxfId="201" priority="276" stopIfTrue="1">
      <formula>OR(ACOMPANHAMENTO="PLE",TIPOORCAMENTO="Proposto",$L195&lt;0,AND($L195&gt;100,RegimeExecucao="Global"),$O195&gt;$I195,$O195&lt;0)</formula>
    </cfRule>
    <cfRule type="expression" dxfId="200" priority="277" stopIfTrue="1">
      <formula>$A195=1</formula>
    </cfRule>
    <cfRule type="expression" dxfId="199" priority="278" stopIfTrue="1">
      <formula>$A195&lt;&gt;"S"</formula>
    </cfRule>
  </conditionalFormatting>
  <conditionalFormatting sqref="Q195:R197 AB195:AM197 AB203:AM204 Q203:R204">
    <cfRule type="expression" dxfId="198" priority="279" stopIfTrue="1">
      <formula>$A195=1</formula>
    </cfRule>
    <cfRule type="expression" dxfId="197" priority="280" stopIfTrue="1">
      <formula>$A195&lt;&gt;"S"</formula>
    </cfRule>
  </conditionalFormatting>
  <conditionalFormatting sqref="D71:O72 T71:Z72">
    <cfRule type="expression" dxfId="196" priority="271" stopIfTrue="1">
      <formula>OR(ACOMPANHAMENTO="PLE",TIPOORCAMENTO="Proposto",$L71&lt;0,AND($L71&gt;100,RegimeExecucao="Global"),$O71&gt;$I71,$O71&lt;0)</formula>
    </cfRule>
    <cfRule type="expression" dxfId="195" priority="272" stopIfTrue="1">
      <formula>$A71=1</formula>
    </cfRule>
    <cfRule type="expression" dxfId="194" priority="273" stopIfTrue="1">
      <formula>$A71&lt;&gt;"S"</formula>
    </cfRule>
  </conditionalFormatting>
  <conditionalFormatting sqref="Q71:R72 AB71:AM72">
    <cfRule type="expression" dxfId="193" priority="274" stopIfTrue="1">
      <formula>$A71=1</formula>
    </cfRule>
    <cfRule type="expression" dxfId="192" priority="275" stopIfTrue="1">
      <formula>$A71&lt;&gt;"S"</formula>
    </cfRule>
  </conditionalFormatting>
  <conditionalFormatting sqref="D120:O120 T120:Z120">
    <cfRule type="expression" dxfId="191" priority="261" stopIfTrue="1">
      <formula>OR(ACOMPANHAMENTO="PLE",TIPOORCAMENTO="Proposto",$L120&lt;0,AND($L120&gt;100,RegimeExecucao="Global"),$O120&gt;$I120,$O120&lt;0)</formula>
    </cfRule>
    <cfRule type="expression" dxfId="190" priority="262" stopIfTrue="1">
      <formula>$A120=1</formula>
    </cfRule>
    <cfRule type="expression" dxfId="189" priority="263" stopIfTrue="1">
      <formula>$A120&lt;&gt;"S"</formula>
    </cfRule>
  </conditionalFormatting>
  <conditionalFormatting sqref="Q120:R120 AB120:AM120">
    <cfRule type="expression" dxfId="188" priority="264" stopIfTrue="1">
      <formula>$A120=1</formula>
    </cfRule>
    <cfRule type="expression" dxfId="187" priority="265" stopIfTrue="1">
      <formula>$A120&lt;&gt;"S"</formula>
    </cfRule>
  </conditionalFormatting>
  <conditionalFormatting sqref="D123:O123 T123:Z123 T130:Z131 D130:O131 T127:Z128 D127:O128">
    <cfRule type="expression" dxfId="186" priority="256" stopIfTrue="1">
      <formula>OR(ACOMPANHAMENTO="PLE",TIPOORCAMENTO="Proposto",$L123&lt;0,AND($L123&gt;100,RegimeExecucao="Global"),$O123&gt;$I123,$O123&lt;0)</formula>
    </cfRule>
    <cfRule type="expression" dxfId="185" priority="257" stopIfTrue="1">
      <formula>$A123=1</formula>
    </cfRule>
    <cfRule type="expression" dxfId="184" priority="258" stopIfTrue="1">
      <formula>$A123&lt;&gt;"S"</formula>
    </cfRule>
  </conditionalFormatting>
  <conditionalFormatting sqref="Q123:R123 AB123:AM123 AB130:AM131 Q130:R131 AB127:AM128 Q127:R128">
    <cfRule type="expression" dxfId="183" priority="259" stopIfTrue="1">
      <formula>$A123=1</formula>
    </cfRule>
    <cfRule type="expression" dxfId="182" priority="260" stopIfTrue="1">
      <formula>$A123&lt;&gt;"S"</formula>
    </cfRule>
  </conditionalFormatting>
  <conditionalFormatting sqref="D134:O134 T134:Z134 T166:Z167 D166:O167 T140:Z141 D140:O141 D153:O154 T153:Z154 T160:Z161 D160:O161">
    <cfRule type="expression" dxfId="181" priority="251" stopIfTrue="1">
      <formula>OR(ACOMPANHAMENTO="PLE",TIPOORCAMENTO="Proposto",$L134&lt;0,AND($L134&gt;100,RegimeExecucao="Global"),$O134&gt;$I134,$O134&lt;0)</formula>
    </cfRule>
    <cfRule type="expression" dxfId="180" priority="252" stopIfTrue="1">
      <formula>$A134=1</formula>
    </cfRule>
    <cfRule type="expression" dxfId="179" priority="253" stopIfTrue="1">
      <formula>$A134&lt;&gt;"S"</formula>
    </cfRule>
  </conditionalFormatting>
  <conditionalFormatting sqref="Q134:R134 AB134:AM134 AB166:AM167 Q166:R167 AB140:AM141 Q140:R141 Q153:R154 AB153:AM154 AB160:AM161 Q160:R161">
    <cfRule type="expression" dxfId="178" priority="254" stopIfTrue="1">
      <formula>$A134=1</formula>
    </cfRule>
    <cfRule type="expression" dxfId="177" priority="255" stopIfTrue="1">
      <formula>$A134&lt;&gt;"S"</formula>
    </cfRule>
  </conditionalFormatting>
  <conditionalFormatting sqref="D168:O170 T168:Z170">
    <cfRule type="expression" dxfId="176" priority="241" stopIfTrue="1">
      <formula>OR(ACOMPANHAMENTO="PLE",TIPOORCAMENTO="Proposto",$L168&lt;0,AND($L168&gt;100,RegimeExecucao="Global"),$O168&gt;$I168,$O168&lt;0)</formula>
    </cfRule>
    <cfRule type="expression" dxfId="175" priority="242" stopIfTrue="1">
      <formula>$A168=1</formula>
    </cfRule>
    <cfRule type="expression" dxfId="174" priority="243" stopIfTrue="1">
      <formula>$A168&lt;&gt;"S"</formula>
    </cfRule>
  </conditionalFormatting>
  <conditionalFormatting sqref="Q168:R170 AB168:AM170">
    <cfRule type="expression" dxfId="173" priority="244" stopIfTrue="1">
      <formula>$A168=1</formula>
    </cfRule>
    <cfRule type="expression" dxfId="172" priority="245" stopIfTrue="1">
      <formula>$A168&lt;&gt;"S"</formula>
    </cfRule>
  </conditionalFormatting>
  <conditionalFormatting sqref="D162:O163 T162:Z163">
    <cfRule type="expression" dxfId="171" priority="231" stopIfTrue="1">
      <formula>OR(ACOMPANHAMENTO="PLE",TIPOORCAMENTO="Proposto",$L162&lt;0,AND($L162&gt;100,RegimeExecucao="Global"),$O162&gt;$I162,$O162&lt;0)</formula>
    </cfRule>
    <cfRule type="expression" dxfId="170" priority="232" stopIfTrue="1">
      <formula>$A162=1</formula>
    </cfRule>
    <cfRule type="expression" dxfId="169" priority="233" stopIfTrue="1">
      <formula>$A162&lt;&gt;"S"</formula>
    </cfRule>
  </conditionalFormatting>
  <conditionalFormatting sqref="Q162:R163 AB162:AM163">
    <cfRule type="expression" dxfId="168" priority="234" stopIfTrue="1">
      <formula>$A162=1</formula>
    </cfRule>
    <cfRule type="expression" dxfId="167" priority="235" stopIfTrue="1">
      <formula>$A162&lt;&gt;"S"</formula>
    </cfRule>
  </conditionalFormatting>
  <conditionalFormatting sqref="D177:O177 T177:Z177 T180:Z181 D180:O181 D185:O186 T185:Z186">
    <cfRule type="expression" dxfId="166" priority="226" stopIfTrue="1">
      <formula>OR(ACOMPANHAMENTO="PLE",TIPOORCAMENTO="Proposto",$L177&lt;0,AND($L177&gt;100,RegimeExecucao="Global"),$O177&gt;$I177,$O177&lt;0)</formula>
    </cfRule>
    <cfRule type="expression" dxfId="165" priority="227" stopIfTrue="1">
      <formula>$A177=1</formula>
    </cfRule>
    <cfRule type="expression" dxfId="164" priority="228" stopIfTrue="1">
      <formula>$A177&lt;&gt;"S"</formula>
    </cfRule>
  </conditionalFormatting>
  <conditionalFormatting sqref="Q177:R177 AB177:AM177 AB180:AM181 Q180:R181 Q185:R186 AB185:AM186">
    <cfRule type="expression" dxfId="163" priority="229" stopIfTrue="1">
      <formula>$A177=1</formula>
    </cfRule>
    <cfRule type="expression" dxfId="162" priority="230" stopIfTrue="1">
      <formula>$A177&lt;&gt;"S"</formula>
    </cfRule>
  </conditionalFormatting>
  <conditionalFormatting sqref="D198:O198 T198:Z198">
    <cfRule type="expression" dxfId="161" priority="211" stopIfTrue="1">
      <formula>OR(ACOMPANHAMENTO="PLE",TIPOORCAMENTO="Proposto",$L198&lt;0,AND($L198&gt;100,RegimeExecucao="Global"),$O198&gt;$I198,$O198&lt;0)</formula>
    </cfRule>
    <cfRule type="expression" dxfId="160" priority="212" stopIfTrue="1">
      <formula>$A198=1</formula>
    </cfRule>
    <cfRule type="expression" dxfId="159" priority="213" stopIfTrue="1">
      <formula>$A198&lt;&gt;"S"</formula>
    </cfRule>
  </conditionalFormatting>
  <conditionalFormatting sqref="Q198:R198 AB198:AM198">
    <cfRule type="expression" dxfId="158" priority="214" stopIfTrue="1">
      <formula>$A198=1</formula>
    </cfRule>
    <cfRule type="expression" dxfId="157" priority="215" stopIfTrue="1">
      <formula>$A198&lt;&gt;"S"</formula>
    </cfRule>
  </conditionalFormatting>
  <conditionalFormatting sqref="D205:O205 T205:Z205 T211:Z212 D211:O212">
    <cfRule type="expression" dxfId="156" priority="206" stopIfTrue="1">
      <formula>OR(ACOMPANHAMENTO="PLE",TIPOORCAMENTO="Proposto",$L205&lt;0,AND($L205&gt;100,RegimeExecucao="Global"),$O205&gt;$I205,$O205&lt;0)</formula>
    </cfRule>
    <cfRule type="expression" dxfId="155" priority="207" stopIfTrue="1">
      <formula>$A205=1</formula>
    </cfRule>
    <cfRule type="expression" dxfId="154" priority="208" stopIfTrue="1">
      <formula>$A205&lt;&gt;"S"</formula>
    </cfRule>
  </conditionalFormatting>
  <conditionalFormatting sqref="Q205:R205 AB205:AM205 AB211:AM212 Q211:R212">
    <cfRule type="expression" dxfId="153" priority="209" stopIfTrue="1">
      <formula>$A205=1</formula>
    </cfRule>
    <cfRule type="expression" dxfId="152" priority="210" stopIfTrue="1">
      <formula>$A205&lt;&gt;"S"</formula>
    </cfRule>
  </conditionalFormatting>
  <conditionalFormatting sqref="D221:O221 T221:Z221">
    <cfRule type="expression" dxfId="151" priority="181" stopIfTrue="1">
      <formula>OR(ACOMPANHAMENTO="PLE",TIPOORCAMENTO="Proposto",$L221&lt;0,AND($L221&gt;100,RegimeExecucao="Global"),$O221&gt;$I221,$O221&lt;0)</formula>
    </cfRule>
    <cfRule type="expression" dxfId="150" priority="182" stopIfTrue="1">
      <formula>$A221=1</formula>
    </cfRule>
    <cfRule type="expression" dxfId="149" priority="183" stopIfTrue="1">
      <formula>$A221&lt;&gt;"S"</formula>
    </cfRule>
  </conditionalFormatting>
  <conditionalFormatting sqref="Q221:R221 AB221:AM221">
    <cfRule type="expression" dxfId="148" priority="184" stopIfTrue="1">
      <formula>$A221=1</formula>
    </cfRule>
    <cfRule type="expression" dxfId="147" priority="185" stopIfTrue="1">
      <formula>$A221&lt;&gt;"S"</formula>
    </cfRule>
  </conditionalFormatting>
  <conditionalFormatting sqref="D199:O199 T199:Z199">
    <cfRule type="expression" dxfId="146" priority="176" stopIfTrue="1">
      <formula>OR(ACOMPANHAMENTO="PLE",TIPOORCAMENTO="Proposto",$L199&lt;0,AND($L199&gt;100,RegimeExecucao="Global"),$O199&gt;$I199,$O199&lt;0)</formula>
    </cfRule>
    <cfRule type="expression" dxfId="145" priority="177" stopIfTrue="1">
      <formula>$A199=1</formula>
    </cfRule>
    <cfRule type="expression" dxfId="144" priority="178" stopIfTrue="1">
      <formula>$A199&lt;&gt;"S"</formula>
    </cfRule>
  </conditionalFormatting>
  <conditionalFormatting sqref="Q199:R199 AB199:AM199">
    <cfRule type="expression" dxfId="143" priority="179" stopIfTrue="1">
      <formula>$A199=1</formula>
    </cfRule>
    <cfRule type="expression" dxfId="142" priority="180" stopIfTrue="1">
      <formula>$A199&lt;&gt;"S"</formula>
    </cfRule>
  </conditionalFormatting>
  <conditionalFormatting sqref="D206:O207 T206:Z207">
    <cfRule type="expression" dxfId="141" priority="171" stopIfTrue="1">
      <formula>OR(ACOMPANHAMENTO="PLE",TIPOORCAMENTO="Proposto",$L206&lt;0,AND($L206&gt;100,RegimeExecucao="Global"),$O206&gt;$I206,$O206&lt;0)</formula>
    </cfRule>
    <cfRule type="expression" dxfId="140" priority="172" stopIfTrue="1">
      <formula>$A206=1</formula>
    </cfRule>
    <cfRule type="expression" dxfId="139" priority="173" stopIfTrue="1">
      <formula>$A206&lt;&gt;"S"</formula>
    </cfRule>
  </conditionalFormatting>
  <conditionalFormatting sqref="Q206:R207 AB206:AM207">
    <cfRule type="expression" dxfId="138" priority="174" stopIfTrue="1">
      <formula>$A206=1</formula>
    </cfRule>
    <cfRule type="expression" dxfId="137" priority="175" stopIfTrue="1">
      <formula>$A206&lt;&gt;"S"</formula>
    </cfRule>
  </conditionalFormatting>
  <conditionalFormatting sqref="D208:O210 T208:Z210">
    <cfRule type="expression" dxfId="136" priority="166" stopIfTrue="1">
      <formula>OR(ACOMPANHAMENTO="PLE",TIPOORCAMENTO="Proposto",$L208&lt;0,AND($L208&gt;100,RegimeExecucao="Global"),$O208&gt;$I208,$O208&lt;0)</formula>
    </cfRule>
    <cfRule type="expression" dxfId="135" priority="167" stopIfTrue="1">
      <formula>$A208=1</formula>
    </cfRule>
    <cfRule type="expression" dxfId="134" priority="168" stopIfTrue="1">
      <formula>$A208&lt;&gt;"S"</formula>
    </cfRule>
  </conditionalFormatting>
  <conditionalFormatting sqref="Q208:R210 AB208:AM210">
    <cfRule type="expression" dxfId="133" priority="169" stopIfTrue="1">
      <formula>$A208=1</formula>
    </cfRule>
    <cfRule type="expression" dxfId="132" priority="170" stopIfTrue="1">
      <formula>$A208&lt;&gt;"S"</formula>
    </cfRule>
  </conditionalFormatting>
  <conditionalFormatting sqref="D213:O213 T213:Z213">
    <cfRule type="expression" dxfId="131" priority="156" stopIfTrue="1">
      <formula>OR(ACOMPANHAMENTO="PLE",TIPOORCAMENTO="Proposto",$L213&lt;0,AND($L213&gt;100,RegimeExecucao="Global"),$O213&gt;$I213,$O213&lt;0)</formula>
    </cfRule>
    <cfRule type="expression" dxfId="130" priority="157" stopIfTrue="1">
      <formula>$A213=1</formula>
    </cfRule>
    <cfRule type="expression" dxfId="129" priority="158" stopIfTrue="1">
      <formula>$A213&lt;&gt;"S"</formula>
    </cfRule>
  </conditionalFormatting>
  <conditionalFormatting sqref="Q213:R213 AB213:AM213">
    <cfRule type="expression" dxfId="128" priority="159" stopIfTrue="1">
      <formula>$A213=1</formula>
    </cfRule>
    <cfRule type="expression" dxfId="127" priority="160" stopIfTrue="1">
      <formula>$A213&lt;&gt;"S"</formula>
    </cfRule>
  </conditionalFormatting>
  <conditionalFormatting sqref="D135:O139 T135:Z139">
    <cfRule type="expression" dxfId="126" priority="136" stopIfTrue="1">
      <formula>OR(ACOMPANHAMENTO="PLE",TIPOORCAMENTO="Proposto",$L135&lt;0,AND($L135&gt;100,RegimeExecucao="Global"),$O135&gt;$I135,$O135&lt;0)</formula>
    </cfRule>
    <cfRule type="expression" dxfId="125" priority="137" stopIfTrue="1">
      <formula>$A135=1</formula>
    </cfRule>
    <cfRule type="expression" dxfId="124" priority="138" stopIfTrue="1">
      <formula>$A135&lt;&gt;"S"</formula>
    </cfRule>
  </conditionalFormatting>
  <conditionalFormatting sqref="Q135:R139 AB135:AM139">
    <cfRule type="expression" dxfId="123" priority="139" stopIfTrue="1">
      <formula>$A135=1</formula>
    </cfRule>
    <cfRule type="expression" dxfId="122" priority="140" stopIfTrue="1">
      <formula>$A135&lt;&gt;"S"</formula>
    </cfRule>
  </conditionalFormatting>
  <conditionalFormatting sqref="D142:O146 T142:Z146">
    <cfRule type="expression" dxfId="121" priority="131" stopIfTrue="1">
      <formula>OR(ACOMPANHAMENTO="PLE",TIPOORCAMENTO="Proposto",$L142&lt;0,AND($L142&gt;100,RegimeExecucao="Global"),$O142&gt;$I142,$O142&lt;0)</formula>
    </cfRule>
    <cfRule type="expression" dxfId="120" priority="132" stopIfTrue="1">
      <formula>$A142=1</formula>
    </cfRule>
    <cfRule type="expression" dxfId="119" priority="133" stopIfTrue="1">
      <formula>$A142&lt;&gt;"S"</formula>
    </cfRule>
  </conditionalFormatting>
  <conditionalFormatting sqref="Q142:R146 AB142:AM146">
    <cfRule type="expression" dxfId="118" priority="134" stopIfTrue="1">
      <formula>$A142=1</formula>
    </cfRule>
    <cfRule type="expression" dxfId="117" priority="135" stopIfTrue="1">
      <formula>$A142&lt;&gt;"S"</formula>
    </cfRule>
  </conditionalFormatting>
  <conditionalFormatting sqref="D147:O151 T147:Z151">
    <cfRule type="expression" dxfId="116" priority="126" stopIfTrue="1">
      <formula>OR(ACOMPANHAMENTO="PLE",TIPOORCAMENTO="Proposto",$L147&lt;0,AND($L147&gt;100,RegimeExecucao="Global"),$O147&gt;$I147,$O147&lt;0)</formula>
    </cfRule>
    <cfRule type="expression" dxfId="115" priority="127" stopIfTrue="1">
      <formula>$A147=1</formula>
    </cfRule>
    <cfRule type="expression" dxfId="114" priority="128" stopIfTrue="1">
      <formula>$A147&lt;&gt;"S"</formula>
    </cfRule>
  </conditionalFormatting>
  <conditionalFormatting sqref="Q147:R151 AB147:AM151">
    <cfRule type="expression" dxfId="113" priority="129" stopIfTrue="1">
      <formula>$A147=1</formula>
    </cfRule>
    <cfRule type="expression" dxfId="112" priority="130" stopIfTrue="1">
      <formula>$A147&lt;&gt;"S"</formula>
    </cfRule>
  </conditionalFormatting>
  <conditionalFormatting sqref="D152:O152 T152:Z152">
    <cfRule type="expression" dxfId="111" priority="121" stopIfTrue="1">
      <formula>OR(ACOMPANHAMENTO="PLE",TIPOORCAMENTO="Proposto",$L152&lt;0,AND($L152&gt;100,RegimeExecucao="Global"),$O152&gt;$I152,$O152&lt;0)</formula>
    </cfRule>
    <cfRule type="expression" dxfId="110" priority="122" stopIfTrue="1">
      <formula>$A152=1</formula>
    </cfRule>
    <cfRule type="expression" dxfId="109" priority="123" stopIfTrue="1">
      <formula>$A152&lt;&gt;"S"</formula>
    </cfRule>
  </conditionalFormatting>
  <conditionalFormatting sqref="Q152:R152 AB152:AM152">
    <cfRule type="expression" dxfId="108" priority="124" stopIfTrue="1">
      <formula>$A152=1</formula>
    </cfRule>
    <cfRule type="expression" dxfId="107" priority="125" stopIfTrue="1">
      <formula>$A152&lt;&gt;"S"</formula>
    </cfRule>
  </conditionalFormatting>
  <conditionalFormatting sqref="D129:O129 T129:Z129">
    <cfRule type="expression" dxfId="106" priority="91" stopIfTrue="1">
      <formula>OR(ACOMPANHAMENTO="PLE",TIPOORCAMENTO="Proposto",$L129&lt;0,AND($L129&gt;100,RegimeExecucao="Global"),$O129&gt;$I129,$O129&lt;0)</formula>
    </cfRule>
    <cfRule type="expression" dxfId="105" priority="92" stopIfTrue="1">
      <formula>$A129=1</formula>
    </cfRule>
    <cfRule type="expression" dxfId="104" priority="93" stopIfTrue="1">
      <formula>$A129&lt;&gt;"S"</formula>
    </cfRule>
  </conditionalFormatting>
  <conditionalFormatting sqref="Q129:R129 AB129:AM129">
    <cfRule type="expression" dxfId="103" priority="94" stopIfTrue="1">
      <formula>$A129=1</formula>
    </cfRule>
    <cfRule type="expression" dxfId="102" priority="95" stopIfTrue="1">
      <formula>$A129&lt;&gt;"S"</formula>
    </cfRule>
  </conditionalFormatting>
  <conditionalFormatting sqref="D124:O126 T124:Z126">
    <cfRule type="expression" dxfId="101" priority="86" stopIfTrue="1">
      <formula>OR(ACOMPANHAMENTO="PLE",TIPOORCAMENTO="Proposto",$L124&lt;0,AND($L124&gt;100,RegimeExecucao="Global"),$O124&gt;$I124,$O124&lt;0)</formula>
    </cfRule>
    <cfRule type="expression" dxfId="100" priority="87" stopIfTrue="1">
      <formula>$A124=1</formula>
    </cfRule>
    <cfRule type="expression" dxfId="99" priority="88" stopIfTrue="1">
      <formula>$A124&lt;&gt;"S"</formula>
    </cfRule>
  </conditionalFormatting>
  <conditionalFormatting sqref="Q124:R126 AB124:AM126">
    <cfRule type="expression" dxfId="98" priority="89" stopIfTrue="1">
      <formula>$A124=1</formula>
    </cfRule>
    <cfRule type="expression" dxfId="97" priority="90" stopIfTrue="1">
      <formula>$A124&lt;&gt;"S"</formula>
    </cfRule>
  </conditionalFormatting>
  <conditionalFormatting sqref="D57:O57 T57:Z57 T60:Z61 D60:O61">
    <cfRule type="expression" dxfId="96" priority="81" stopIfTrue="1">
      <formula>OR(ACOMPANHAMENTO="PLE",TIPOORCAMENTO="Proposto",$L57&lt;0,AND($L57&gt;100,RegimeExecucao="Global"),$O57&gt;$I57,$O57&lt;0)</formula>
    </cfRule>
    <cfRule type="expression" dxfId="95" priority="82" stopIfTrue="1">
      <formula>$A57=1</formula>
    </cfRule>
    <cfRule type="expression" dxfId="94" priority="83" stopIfTrue="1">
      <formula>$A57&lt;&gt;"S"</formula>
    </cfRule>
  </conditionalFormatting>
  <conditionalFormatting sqref="Q57:R57 AB57:AM57 AB60:AM61 Q60:R61">
    <cfRule type="expression" dxfId="93" priority="84" stopIfTrue="1">
      <formula>$A57=1</formula>
    </cfRule>
    <cfRule type="expression" dxfId="92" priority="85" stopIfTrue="1">
      <formula>$A57&lt;&gt;"S"</formula>
    </cfRule>
  </conditionalFormatting>
  <conditionalFormatting sqref="D33:O37 T33:Z37">
    <cfRule type="expression" dxfId="91" priority="71" stopIfTrue="1">
      <formula>OR(ACOMPANHAMENTO="PLE",TIPOORCAMENTO="Proposto",$L33&lt;0,AND($L33&gt;100,RegimeExecucao="Global"),$O33&gt;$I33,$O33&lt;0)</formula>
    </cfRule>
    <cfRule type="expression" dxfId="90" priority="72" stopIfTrue="1">
      <formula>$A33=1</formula>
    </cfRule>
    <cfRule type="expression" dxfId="89" priority="73" stopIfTrue="1">
      <formula>$A33&lt;&gt;"S"</formula>
    </cfRule>
  </conditionalFormatting>
  <conditionalFormatting sqref="Q33:R37 AB33:AM37">
    <cfRule type="expression" dxfId="88" priority="74" stopIfTrue="1">
      <formula>$A33=1</formula>
    </cfRule>
    <cfRule type="expression" dxfId="87" priority="75" stopIfTrue="1">
      <formula>$A33&lt;&gt;"S"</formula>
    </cfRule>
  </conditionalFormatting>
  <conditionalFormatting sqref="D42:O44 T42:Z44">
    <cfRule type="expression" dxfId="86" priority="61" stopIfTrue="1">
      <formula>OR(ACOMPANHAMENTO="PLE",TIPOORCAMENTO="Proposto",$L42&lt;0,AND($L42&gt;100,RegimeExecucao="Global"),$O42&gt;$I42,$O42&lt;0)</formula>
    </cfRule>
    <cfRule type="expression" dxfId="85" priority="62" stopIfTrue="1">
      <formula>$A42=1</formula>
    </cfRule>
    <cfRule type="expression" dxfId="84" priority="63" stopIfTrue="1">
      <formula>$A42&lt;&gt;"S"</formula>
    </cfRule>
  </conditionalFormatting>
  <conditionalFormatting sqref="Q42:R44 AB42:AM44">
    <cfRule type="expression" dxfId="83" priority="64" stopIfTrue="1">
      <formula>$A42=1</formula>
    </cfRule>
    <cfRule type="expression" dxfId="82" priority="65" stopIfTrue="1">
      <formula>$A42&lt;&gt;"S"</formula>
    </cfRule>
  </conditionalFormatting>
  <conditionalFormatting sqref="D79:O81 T79:Z81">
    <cfRule type="expression" dxfId="81" priority="56" stopIfTrue="1">
      <formula>OR(ACOMPANHAMENTO="PLE",TIPOORCAMENTO="Proposto",$L79&lt;0,AND($L79&gt;100,RegimeExecucao="Global"),$O79&gt;$I79,$O79&lt;0)</formula>
    </cfRule>
    <cfRule type="expression" dxfId="80" priority="57" stopIfTrue="1">
      <formula>$A79=1</formula>
    </cfRule>
    <cfRule type="expression" dxfId="79" priority="58" stopIfTrue="1">
      <formula>$A79&lt;&gt;"S"</formula>
    </cfRule>
  </conditionalFormatting>
  <conditionalFormatting sqref="Q79:R81 AB79:AM81">
    <cfRule type="expression" dxfId="78" priority="59" stopIfTrue="1">
      <formula>$A79=1</formula>
    </cfRule>
    <cfRule type="expression" dxfId="77" priority="60" stopIfTrue="1">
      <formula>$A79&lt;&gt;"S"</formula>
    </cfRule>
  </conditionalFormatting>
  <conditionalFormatting sqref="D104:O105 T104:Z105">
    <cfRule type="expression" dxfId="76" priority="46" stopIfTrue="1">
      <formula>OR(ACOMPANHAMENTO="PLE",TIPOORCAMENTO="Proposto",$L104&lt;0,AND($L104&gt;100,RegimeExecucao="Global"),$O104&gt;$I104,$O104&lt;0)</formula>
    </cfRule>
    <cfRule type="expression" dxfId="75" priority="47" stopIfTrue="1">
      <formula>$A104=1</formula>
    </cfRule>
    <cfRule type="expression" dxfId="74" priority="48" stopIfTrue="1">
      <formula>$A104&lt;&gt;"S"</formula>
    </cfRule>
  </conditionalFormatting>
  <conditionalFormatting sqref="Q104:R105 AB104:AM105">
    <cfRule type="expression" dxfId="73" priority="49" stopIfTrue="1">
      <formula>$A104=1</formula>
    </cfRule>
    <cfRule type="expression" dxfId="72" priority="50" stopIfTrue="1">
      <formula>$A104&lt;&gt;"S"</formula>
    </cfRule>
  </conditionalFormatting>
  <conditionalFormatting sqref="D52:O54 T52:Z54">
    <cfRule type="expression" dxfId="71" priority="41" stopIfTrue="1">
      <formula>OR(ACOMPANHAMENTO="PLE",TIPOORCAMENTO="Proposto",$L52&lt;0,AND($L52&gt;100,RegimeExecucao="Global"),$O52&gt;$I52,$O52&lt;0)</formula>
    </cfRule>
    <cfRule type="expression" dxfId="70" priority="42" stopIfTrue="1">
      <formula>$A52=1</formula>
    </cfRule>
    <cfRule type="expression" dxfId="69" priority="43" stopIfTrue="1">
      <formula>$A52&lt;&gt;"S"</formula>
    </cfRule>
  </conditionalFormatting>
  <conditionalFormatting sqref="Q52:R54 AB52:AM54">
    <cfRule type="expression" dxfId="68" priority="44" stopIfTrue="1">
      <formula>$A52=1</formula>
    </cfRule>
    <cfRule type="expression" dxfId="67" priority="45" stopIfTrue="1">
      <formula>$A52&lt;&gt;"S"</formula>
    </cfRule>
  </conditionalFormatting>
  <conditionalFormatting sqref="D64:O67 T64:Z67 T69:Z69 D69:O69">
    <cfRule type="expression" dxfId="66" priority="31" stopIfTrue="1">
      <formula>OR(ACOMPANHAMENTO="PLE",TIPOORCAMENTO="Proposto",$L64&lt;0,AND($L64&gt;100,RegimeExecucao="Global"),$O64&gt;$I64,$O64&lt;0)</formula>
    </cfRule>
    <cfRule type="expression" dxfId="65" priority="32" stopIfTrue="1">
      <formula>$A64=1</formula>
    </cfRule>
    <cfRule type="expression" dxfId="64" priority="33" stopIfTrue="1">
      <formula>$A64&lt;&gt;"S"</formula>
    </cfRule>
  </conditionalFormatting>
  <conditionalFormatting sqref="Q64:R67 AB64:AM67 AB69:AM69 Q69:R69">
    <cfRule type="expression" dxfId="63" priority="34" stopIfTrue="1">
      <formula>$A64=1</formula>
    </cfRule>
    <cfRule type="expression" dxfId="62" priority="35" stopIfTrue="1">
      <formula>$A64&lt;&gt;"S"</formula>
    </cfRule>
  </conditionalFormatting>
  <conditionalFormatting sqref="D70:O70 T70:Z70">
    <cfRule type="expression" dxfId="61" priority="21" stopIfTrue="1">
      <formula>OR(ACOMPANHAMENTO="PLE",TIPOORCAMENTO="Proposto",$L70&lt;0,AND($L70&gt;100,RegimeExecucao="Global"),$O70&gt;$I70,$O70&lt;0)</formula>
    </cfRule>
    <cfRule type="expression" dxfId="60" priority="22" stopIfTrue="1">
      <formula>$A70=1</formula>
    </cfRule>
    <cfRule type="expression" dxfId="59" priority="23" stopIfTrue="1">
      <formula>$A70&lt;&gt;"S"</formula>
    </cfRule>
  </conditionalFormatting>
  <conditionalFormatting sqref="Q70:R70 AB70:AM70">
    <cfRule type="expression" dxfId="58" priority="24" stopIfTrue="1">
      <formula>$A70=1</formula>
    </cfRule>
    <cfRule type="expression" dxfId="57" priority="25" stopIfTrue="1">
      <formula>$A70&lt;&gt;"S"</formula>
    </cfRule>
  </conditionalFormatting>
  <conditionalFormatting sqref="D84:O88 T84:Z88">
    <cfRule type="expression" dxfId="56" priority="11" stopIfTrue="1">
      <formula>OR(ACOMPANHAMENTO="PLE",TIPOORCAMENTO="Proposto",$L84&lt;0,AND($L84&gt;100,RegimeExecucao="Global"),$O84&gt;$I84,$O84&lt;0)</formula>
    </cfRule>
    <cfRule type="expression" dxfId="55" priority="12" stopIfTrue="1">
      <formula>$A84=1</formula>
    </cfRule>
    <cfRule type="expression" dxfId="54" priority="13" stopIfTrue="1">
      <formula>$A84&lt;&gt;"S"</formula>
    </cfRule>
  </conditionalFormatting>
  <conditionalFormatting sqref="Q84:R88 AB84:AM88">
    <cfRule type="expression" dxfId="53" priority="14" stopIfTrue="1">
      <formula>$A84=1</formula>
    </cfRule>
    <cfRule type="expression" dxfId="52" priority="15" stopIfTrue="1">
      <formula>$A84&lt;&gt;"S"</formula>
    </cfRule>
  </conditionalFormatting>
  <conditionalFormatting sqref="D68:O68 T68:Z68">
    <cfRule type="expression" dxfId="51" priority="1" stopIfTrue="1">
      <formula>OR(ACOMPANHAMENTO="PLE",TIPOORCAMENTO="Proposto",$L68&lt;0,AND($L68&gt;100,RegimeExecucao="Global"),$O68&gt;$I68,$O68&lt;0)</formula>
    </cfRule>
    <cfRule type="expression" dxfId="50" priority="2" stopIfTrue="1">
      <formula>$A68=1</formula>
    </cfRule>
    <cfRule type="expression" dxfId="49" priority="3" stopIfTrue="1">
      <formula>$A68&lt;&gt;"S"</formula>
    </cfRule>
  </conditionalFormatting>
  <conditionalFormatting sqref="Q68:R68 AB68:AM68">
    <cfRule type="expression" dxfId="48" priority="4" stopIfTrue="1">
      <formula>$A68=1</formula>
    </cfRule>
    <cfRule type="expression" dxfId="47" priority="5" stopIfTrue="1">
      <formula>$A68&lt;&gt;"S"</formula>
    </cfRule>
  </conditionalFormatting>
  <dataValidations count="4">
    <dataValidation type="list" allowBlank="1" showErrorMessage="1" sqref="Z14 Z16:Z239"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39"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39"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7" t="s">
        <v>652</v>
      </c>
      <c r="F3" s="727"/>
      <c r="G3" s="727"/>
      <c r="H3" s="727"/>
      <c r="I3" s="718" t="s">
        <v>650</v>
      </c>
      <c r="J3" s="718"/>
      <c r="K3" s="718"/>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32" t="str">
        <f>Import.Proponente</f>
        <v>MUNICIPIO DE SARANDI/RS</v>
      </c>
      <c r="F4" s="732"/>
      <c r="G4" s="732"/>
      <c r="H4" s="732"/>
      <c r="I4" s="721">
        <f>Import.CR</f>
        <v>0</v>
      </c>
      <c r="J4" s="721"/>
      <c r="K4" s="721"/>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18" t="s">
        <v>708</v>
      </c>
      <c r="F6" s="718"/>
      <c r="G6" s="718"/>
      <c r="H6" s="718"/>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0" t="s">
        <v>655</v>
      </c>
      <c r="E7" s="721" t="str">
        <f>Import.Apelido</f>
        <v>A CASA É SUA</v>
      </c>
      <c r="F7" s="721"/>
      <c r="G7" s="721"/>
      <c r="H7" s="721"/>
      <c r="I7" s="841" t="str">
        <f>Import.Município</f>
        <v>SARANDI/RS</v>
      </c>
      <c r="J7" s="841"/>
      <c r="K7" s="841"/>
      <c r="L7" s="841"/>
      <c r="M7" s="353">
        <f>Import.Repasse</f>
        <v>2400000</v>
      </c>
      <c r="N7" s="354">
        <f>Import.Contrapartida</f>
        <v>0</v>
      </c>
      <c r="O7" s="353">
        <f>M7+N7</f>
        <v>2400000</v>
      </c>
      <c r="P7" s="423">
        <f ca="1">IF(ACOMPANHAMENTO="PLE",PLE.Medicao,BM.medicao)</f>
        <v>1</v>
      </c>
      <c r="R7" s="146"/>
      <c r="S7" s="146"/>
      <c r="T7" s="146"/>
      <c r="U7" s="146"/>
    </row>
    <row r="8" spans="1:41" x14ac:dyDescent="0.2">
      <c r="D8" s="690"/>
      <c r="E8" s="92"/>
      <c r="F8" s="92"/>
      <c r="G8" s="92"/>
      <c r="H8" s="92"/>
      <c r="I8" s="92"/>
      <c r="J8" s="92"/>
      <c r="K8" s="92"/>
      <c r="L8" s="92"/>
      <c r="M8" s="92"/>
      <c r="N8" s="92"/>
      <c r="O8" s="92"/>
      <c r="P8" s="92"/>
      <c r="R8" s="146"/>
      <c r="S8" s="146"/>
      <c r="T8" s="146"/>
      <c r="U8" s="146"/>
    </row>
    <row r="9" spans="1:41" ht="12.75" customHeight="1" x14ac:dyDescent="0.2">
      <c r="D9" s="690"/>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0"/>
      <c r="G10" s="693" t="str">
        <f ca="1">IF(J10="-","-",IF($P$24&lt;J10,"Atrasada",IF($P$24&gt;J10,"Adiantada","Normal")))</f>
        <v>Normal</v>
      </c>
      <c r="H10" s="693"/>
      <c r="I10" s="358">
        <f>DATE(YEAR($L$35),MONTH($L$35),1)</f>
        <v>1</v>
      </c>
      <c r="J10" s="359">
        <f ca="1">IF($I$10&lt;DATE(YEAR(CRONO!$U$13),MONTH(CRONO!$U$13),1),0,IF($I$10&gt;OFFSET(CRONO!$AG$13,0,-1),1,INDEX(CRONO!$T$62:$AH$62,MATCH(RRE!$I$10,CRONO!$T$13:$AG$13,0))))</f>
        <v>0</v>
      </c>
      <c r="K10" s="355"/>
      <c r="L10" s="843"/>
      <c r="M10" s="360">
        <f ca="1">QCI!L10</f>
        <v>0</v>
      </c>
      <c r="N10" s="280">
        <f ca="1">QCI!M10</f>
        <v>-2106430.94</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0"/>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MATCH(E12,ORÇAMENTO!$E$15:$E$240,0)-1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MATCH(E14,ORÇAMENTO!$E$15:$E$240,0)-1</f>
        <v>1</v>
      </c>
      <c r="B14">
        <f ca="1">IF(ISERROR($A14),NA(),OFFSET(ORÇAMENTO!$D$15,$A14,0))</f>
        <v>224</v>
      </c>
      <c r="C14" t="str">
        <f ca="1">QCI!B14</f>
        <v>Automático</v>
      </c>
      <c r="D14" t="str">
        <f t="shared" ref="D14:D22" ca="1" si="0">IF(L14&gt;0,"F","")</f>
        <v>F</v>
      </c>
      <c r="E14" s="281">
        <f>QCI!D14</f>
        <v>1</v>
      </c>
      <c r="F14" s="362" t="str">
        <f ca="1">QCI!G14</f>
        <v>CASA PADRÃO</v>
      </c>
      <c r="G14" s="363">
        <f>QCI!H14</f>
        <v>0</v>
      </c>
      <c r="H14" s="282">
        <f>QCI!I14</f>
        <v>0</v>
      </c>
      <c r="I14" s="282" t="str">
        <f ca="1">QCI!J14</f>
        <v/>
      </c>
      <c r="J14" s="364" t="str">
        <f ca="1">QCI!K14</f>
        <v>LOTE 1</v>
      </c>
      <c r="K14" s="365" cm="1">
        <f t="array" aca="1" ref="K14" ca="1">IF($C14="Automático",IF(ACOMPANHAMENTO="BM",BM.medicao,PLE.Medicao),IF(ISBLANK($X14),"",$X14))</f>
        <v>1</v>
      </c>
      <c r="L14" s="286">
        <f ca="1">QCI!$O14</f>
        <v>4506430.9400000004</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MATCH(E15,ORÇAMENTO!$E$15:$E$240,0)-1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MATCH(E16,ORÇAMENTO!$E$15:$E$240,0)-1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MATCH(E17,ORÇAMENTO!$E$15:$E$240,0)-1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MATCH(E18,ORÇAMENTO!$E$15:$E$240,0)-1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MATCH(E19,ORÇAMENTO!$E$15:$E$240,0)-1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MATCH(E20,ORÇAMENTO!$E$15:$E$240,0)-1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MATCH(E21,ORÇAMENTO!$E$15:$E$240,0)-1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MATCH(E22,ORÇAMENTO!$E$15:$E$240,0)-1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MATCH(E23,ORÇAMENTO!$E$15:$E$240,0)-1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26" t="s">
        <v>889</v>
      </c>
      <c r="K24" s="827"/>
      <c r="L24" s="369">
        <f ca="1">IF(ISERROR(L28/$L28),0,ROUND(L28/$L28,4))</f>
        <v>1</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2400000.0000000005</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2106430.94</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4506430.9400000004</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685" t="str">
        <f>Import.Município</f>
        <v>SARANDI/RS</v>
      </c>
      <c r="F35" s="685"/>
      <c r="G35" s="685"/>
      <c r="I35" s="391"/>
      <c r="K35" s="584"/>
      <c r="L35" s="684">
        <f>DADOS!$C$48</f>
        <v>0</v>
      </c>
      <c r="M35" s="684"/>
      <c r="N35" s="684"/>
      <c r="O35" s="684"/>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PABLO LUIZ ALIEVI MARI</v>
      </c>
      <c r="L40" s="77" t="s">
        <v>240</v>
      </c>
      <c r="M40" s="806">
        <f>IF(CAIXA.Modo,BM!X252,DADOS!C51)</f>
        <v>0</v>
      </c>
      <c r="N40" s="806"/>
      <c r="O40" s="806"/>
    </row>
    <row r="41" spans="5:16" x14ac:dyDescent="0.2">
      <c r="E41" s="77" t="str">
        <f>IF(CAIXA.Modo,"Função:","Cargo:")</f>
        <v>Cargo:</v>
      </c>
      <c r="F41" s="271" t="str">
        <f>IF(CAIXA.Modo,DADOS!C61,DADOS!C29)</f>
        <v>PREFEITO MUNICIPAL</v>
      </c>
      <c r="L41" s="77" t="str">
        <f>IF(CAIXA.Modo,"Matrícula:","Profissão:")</f>
        <v>Profissão:</v>
      </c>
      <c r="M41" s="806">
        <f>IF(CAIXA.Modo,BM!X253,DADOS!C52)</f>
        <v>0</v>
      </c>
      <c r="N41" s="806"/>
      <c r="O41" s="806"/>
    </row>
    <row r="42" spans="5:16" x14ac:dyDescent="0.2">
      <c r="L42" s="77" t="s">
        <v>243</v>
      </c>
      <c r="M42" s="806">
        <f>IF(CAIXA.Modo,BM!X254,DADOS!C53)</f>
        <v>0</v>
      </c>
      <c r="N42" s="806"/>
      <c r="O42" s="80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sTQoM/ClzWPLbX8nEDQiI5x+5o5Kw3ZFMViGc8dgQoaLQopt90jCH+z+AeJbpwDgVJGeykZxN36GE3jXQ2QIrA==" saltValue="KZx0C+spouWAgzJpZ5bVp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SARANDI/RS, 00 de janeiro de 1900</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PROGRAMA "A CASA É SUA" (30 UH)</v>
      </c>
      <c r="D18" s="857"/>
      <c r="E18" s="857"/>
      <c r="F18" s="857"/>
      <c r="G18" s="857"/>
    </row>
    <row r="19" spans="2:7" ht="12.75" customHeight="1" x14ac:dyDescent="0.2">
      <c r="B19" s="853" t="s">
        <v>903</v>
      </c>
      <c r="C19" s="854" t="str">
        <f>Import.Proponente</f>
        <v>MUNICIPIO DE SARANDI/RS</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2400000.0000000005</v>
      </c>
      <c r="E30" s="399">
        <f ca="1">RRE!N25</f>
        <v>0</v>
      </c>
      <c r="F30" s="848">
        <f ca="1">RRE!O25</f>
        <v>0</v>
      </c>
      <c r="G30" s="848"/>
    </row>
    <row r="31" spans="2:7" x14ac:dyDescent="0.2">
      <c r="B31" s="847" t="s">
        <v>906</v>
      </c>
      <c r="C31" s="847"/>
      <c r="D31" s="399">
        <f ca="1">RRE!L26</f>
        <v>2106430.94</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4506430.9400000004</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PABLO LUIZ ALIEVI MARI</v>
      </c>
      <c r="C54" s="845"/>
      <c r="D54" s="845"/>
      <c r="E54" s="845"/>
      <c r="F54" s="845"/>
      <c r="G54" s="845"/>
    </row>
    <row r="55" spans="2:7" x14ac:dyDescent="0.2">
      <c r="B55" s="845" t="str">
        <f>DADOS!$C$29</f>
        <v>PREFEITO MUNICIPAL</v>
      </c>
      <c r="C55" s="845"/>
      <c r="D55" s="845"/>
      <c r="E55" s="845"/>
      <c r="F55" s="845"/>
      <c r="G55" s="845"/>
    </row>
    <row r="56" spans="2:7" x14ac:dyDescent="0.2">
      <c r="B56" s="846"/>
      <c r="C56" s="846"/>
      <c r="D56" s="846"/>
      <c r="E56" s="846"/>
      <c r="F56" s="846"/>
      <c r="G56" s="846"/>
    </row>
  </sheetData>
  <sheetProtection algorithmName="SHA-512" hashValue="YWB9OmzrM8SB8/ym5o64P7HWUbsjafO6Fm0nuINh4OY108OcFycTxlxcorO/BRq56ND7kU5Hnr5UDUc550gZkw==" saltValue="Kz/4QO7+AJ6T4zldgPTPM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kauanna damiani</cp:lastModifiedBy>
  <cp:revision>5</cp:revision>
  <cp:lastPrinted>2026-05-25T19:13:19Z</cp:lastPrinted>
  <dcterms:created xsi:type="dcterms:W3CDTF">1997-01-10T22:22:50Z</dcterms:created>
  <dcterms:modified xsi:type="dcterms:W3CDTF">2026-06-17T17:53:14Z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