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EstaPasta_de_trabalho"/>
  <mc:AlternateContent xmlns:mc="http://schemas.openxmlformats.org/markup-compatibility/2006">
    <mc:Choice Requires="x15">
      <x15ac:absPath xmlns:x15ac="http://schemas.microsoft.com/office/spreadsheetml/2010/11/ac" url="C:\Users\PC\Desktop\Licitações 2026\Concorrência Eletrônica - n° 000-2026 - Reforma do Ginásio Comunitário Área 10 - Processo Licitatório - n° 000-2026 - SMEC\"/>
    </mc:Choice>
  </mc:AlternateContent>
  <xr:revisionPtr revIDLastSave="0" documentId="8_{255493E2-AD16-43C4-94D3-43EB66D09C61}" xr6:coauthVersionLast="47" xr6:coauthVersionMax="47" xr10:uidLastSave="{00000000-0000-0000-0000-000000000000}"/>
  <workbookProtection workbookAlgorithmName="SHA-512" workbookHashValue="fVngqgQX7A7u4aK48KP620GjtnnU2wnyDhuFMQIR2Xn9voLHzYtKr3oiLLigUQ33tOHaHiVPY+UTG5FtWhNb9A==" workbookSaltValue="+g3aLxnQ4jyXgsF0yMT5xQ==" workbookSpinCount="100000" lockStructure="1"/>
  <bookViews>
    <workbookView xWindow="-120" yWindow="-120" windowWidth="29040" windowHeight="1572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BM!$C$15:$C$89</definedName>
    <definedName name="_xlnm._FilterDatabase" localSheetId="6" hidden="1">CÁLCULO!$C$15:$C$89</definedName>
    <definedName name="_xlnm._FilterDatabase" localSheetId="8" hidden="1">CRONO!$G$13:$G$109</definedName>
    <definedName name="_xlnm._FilterDatabase" localSheetId="7" hidden="1">CRONOPLE!$A$13:$A$84</definedName>
    <definedName name="_xlnm._FilterDatabase" localSheetId="5" hidden="1">EVENTOS!$A$13:$A$43</definedName>
    <definedName name="_xlnm._FilterDatabase" localSheetId="4" hidden="1">ORÇAMENTO!$L$15:$L$89</definedName>
    <definedName name="_xlnm._FilterDatabase" localSheetId="10" hidden="1">PLE!$A$13:$A$86</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IF(VALUE(MENU!$O$4)=2,"BM","PLE")</definedName>
    <definedName name="AdmLocal" hidden="1">IF(AND(Import.TipoArredondamento="Tradicional",AUTOEVENTO="Manual"),"Automática",IF(CRONOPLE!$B$8="","Sem Adm","Manual"))</definedName>
    <definedName name="_xlnm.Print_Area" localSheetId="3">BDI!$J$1:$S$132</definedName>
    <definedName name="_xlnm.Print_Area" localSheetId="11">BM!$D$1:$O$104</definedName>
    <definedName name="_xlnm.Print_Area" localSheetId="6">CÁLCULO!$E$6:$AA$97</definedName>
    <definedName name="_xlnm.Print_Area" localSheetId="8">CRONO!$I$1:$AG$109</definedName>
    <definedName name="_xlnm.Print_Area" localSheetId="5">EVENTOS!$C$2:$Z$43</definedName>
    <definedName name="_xlnm.Print_Area" localSheetId="1">MENU!$A$1:$I$25</definedName>
    <definedName name="_xlnm.Print_Area" localSheetId="13">OFÍCIO!$A$1:$G$56</definedName>
    <definedName name="_xlnm.Print_Area" localSheetId="4">ORÇAMENTO!$O$1:$Y$106</definedName>
    <definedName name="_xlnm.Print_Area" localSheetId="10">PLE!$B$3:$AG$87</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BM!$C$15:$C$89</definedName>
    <definedName name="BM.firstrow" hidden="1">BM!$15:$15</definedName>
    <definedName name="BM.FormulaMed" hidden="1">BM!$AO$7</definedName>
    <definedName name="BM.lastrow" hidden="1">BM!$89:$89</definedName>
    <definedName name="BM.LinhaPadrão" hidden="1">BM!$14:$14</definedName>
    <definedName name="BM.MaxMed" hidden="1">IF(RegimeExecucao="Global",1,BM!$G1)</definedName>
    <definedName name="BM.MCAIXA.Filter" hidden="1">BM!$C$15:$Z$89</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CÁLCULO!$C$15:$C$89</definedName>
    <definedName name="CÁLCULO.firstcol" hidden="1">CÁLCULO!$P:$P</definedName>
    <definedName name="CÁLCULO.firstrow" hidden="1">CÁLCULO!$15:$15</definedName>
    <definedName name="CÁLCULO.Frenterow" hidden="1">CÁLCULO!$12:$12</definedName>
    <definedName name="CÁLCULO.FrentesPreenchidas" hidden="1">SUM(OFFSET(CÁLCULO!$P$1,0,1):OFFSET(CÁLCULO!$AA$1,0,-1))</definedName>
    <definedName name="CÁLCULO.lastcol" hidden="1">CÁLCULO!$AA:$AA</definedName>
    <definedName name="CÁLCULO.lastrow" hidden="1">CÁLCULO!$89:$89</definedName>
    <definedName name="CÁLCULO.LinhaPadrão" hidden="1">CÁLCULO!$14:$14</definedName>
    <definedName name="CÁLCULO.margemrow" hidden="1">CÁLCULO!$97:$97</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CÁLCULO!$89:$89</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CÁLCULO!$89:$89</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CÁLCULO!$89:$89</definedName>
    <definedName name="CÁLCULO.nEvento" hidden="1">CÁLCULO!$M$12</definedName>
    <definedName name="CÁLCULO.NúmeroDeEventos" hidden="1">IF(AUTOEVENTO&lt;&gt;"manual",MAX(CÁLCULO!$M$15:$M$89),MAX(OFFSET(EVENTOS!$C$1:$C$36,1,0)))</definedName>
    <definedName name="CÁLCULO.NúmeroDeFrentes" hidden="1">COLUMN(CÁLCULO!$AA$15)-COLUMN(CÁLCULO!$Q$15)</definedName>
    <definedName name="CÁLCULO.Título" hidden="1">CÁLCULO!$F$6</definedName>
    <definedName name="CÁLCULO.TotalAdmLocal" hidden="1">IF(AUTOEVENTO="manual",SUMIF(CÁLCULO!$M$15:$M$89,1,ORÇAMENTO!$X$15:$X$89),0)</definedName>
    <definedName name="CRONO.ColAux" hidden="1">CRONO!$M:$R</definedName>
    <definedName name="CRONO.ColunaPadrão" hidden="1">CRONO!$E:$E</definedName>
    <definedName name="CRONO.Erro" hidden="1">CRONO!$K$10</definedName>
    <definedName name="CRONO.Filtro" hidden="1">CRONO!$G$13:$G$109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CRONO!$92:$92</definedName>
    <definedName name="CRONO.lastrow2" hidden="1">CRONO!$104:$104</definedName>
    <definedName name="CRONO.LinhaPadrão" hidden="1">CRONO!$1:$3</definedName>
    <definedName name="CRONO.LinhasNecessarias" hidden="1">COUNTIF(QCI!$B$13:$B$24,"Manual")+COUNTIF(QCI!$B$13:$B$24,"SemiAuto")+COUNT(ORÇAMENTO.ListaCrono)</definedName>
    <definedName name="CRONO.margemrow" hidden="1">CRONO!$109:$109</definedName>
    <definedName name="CRONO.MaxParc" hidden="1">CRONO!$H1048576+CRONO!A1</definedName>
    <definedName name="CRONO.NivelExibicao" hidden="1">CRONO!$H$10</definedName>
    <definedName name="CRONO.Parcela1" hidden="1">CRONO!$U$12:$U$13</definedName>
    <definedName name="CRONO.ParcelaFinal" hidden="1">MATCH(100%,CRONO!$U$98:$AG$98,0)</definedName>
    <definedName name="CRONO.Título" hidden="1">CRONO!$S$4</definedName>
    <definedName name="CRONOPLE.ColunaPadrão" hidden="1">CRONOPLE!$E:$E</definedName>
    <definedName name="CRONOPLE.Erro" hidden="1">CRONOPLE!$B$6</definedName>
    <definedName name="CRONOPLE.Filtro" hidden="1">CRONOPLE!$A$13:$A$84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CRONOPLE!$70:$70</definedName>
    <definedName name="CRONOPLE.lastrow2" hidden="1">CRONOPLE!$79:$79</definedName>
    <definedName name="CRONOPLE.LinhaPadrão" hidden="1">CRONOPLE!$1:$1</definedName>
    <definedName name="CRONOPLE.margemrow" hidden="1">CRONOPLE!$86:$86</definedName>
    <definedName name="CRONOPLE.Título" hidden="1">CRONOPLE!$G$2</definedName>
    <definedName name="CRONOPLE.ValorDoEvento" hidden="1">SUMIF(CÁLCULO!$M$15:$M$89,CRONOPLE!$B1,OFFSET(CÁLCULO!$AA$15:$AA$89,0,CRONOPLE!A$12))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EVENTOS!$A$13:$A$43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EVENTOS!$36:$36</definedName>
    <definedName name="EVENTOS.LinhaPadrão" hidden="1">EVENTOS!$1:$1</definedName>
    <definedName name="EVENTOS.Lista" hidden="1">EVENTOS!$C$15:OFFSET(EVENTOS!$C$36,-1,0)</definedName>
    <definedName name="EVENTOS.ListaValidacao" hidden="1">EVENTOS!$B$15:OFFSET(EVENTOS!$B$36,-1,0)</definedName>
    <definedName name="EVENTOS.Manual.Preenchidos" hidden="1">EVENTOS!$C$10</definedName>
    <definedName name="EVENTOS.MargemRow" hidden="1">EVENTOS!$43:$43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BM!$D$92</definedName>
    <definedName name="Import.BMAFAcumulado" hidden="1">OFFSET(BM!$R$15,1,0):OFFSET(BM!$R$89,-1,0)</definedName>
    <definedName name="Import.BMArred" hidden="1">BM!$A$9</definedName>
    <definedName name="Import.CNPJ" hidden="1">DADOS!$C$39</definedName>
    <definedName name="Import.Código" hidden="1">OFFSET(ORÇAMENTO!$Q$15,1,0):OFFSET(ORÇAMENTO!$Q$89,-1,0)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OFFSET(CRONOPLE!$F$15,1,1):OFFSET(CRONOPLE!$AF$70,-1,-1)</definedName>
    <definedName name="Import.CTEF" hidden="1">DADOS!$C$37</definedName>
    <definedName name="Import.CustoUnitário" hidden="1">OFFSET(ORÇAMENTO!$U$15,1,0):OFFSET(ORÇAMENTO!$U$89,-1,0)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OFFSET(ORÇAMENTO!$R$15,1,0):OFFSET(ORÇAMENTO!$R$89,-1,0)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OFFSET(EVENTOS!$D$15,1,0):OFFSET(EVENTOS!$D$36,-1,0)</definedName>
    <definedName name="Import.Fonte" hidden="1">OFFSET(ORÇAMENTO!$P$15,1,0):OFFSET(ORÇAMENTO!$P$89,-1,0)</definedName>
    <definedName name="Import.FrenteDeObra" hidden="1">CÁLCULO!$Q$12:OFFSET(CÁLCULO!$AA$12,0,-1)</definedName>
    <definedName name="Import.MacrosserviçoAdmLocal" hidden="1">CRONO!$H$103</definedName>
    <definedName name="Import.Município" hidden="1">DADOS!$C$6</definedName>
    <definedName name="Import.Nível" hidden="1">OFFSET(ORÇAMENTO!$M$15,1,0):OFFSET(ORÇAMENTO!$M$89,-1,0)</definedName>
    <definedName name="Import.Ofício.Dest" hidden="1">OFÍCIO!$B$11</definedName>
    <definedName name="Import.Ofício.GIGOV" hidden="1">OFÍCIO!$C$11</definedName>
    <definedName name="Import.Ofício.Num" hidden="1">OFÍCIO!$C$6</definedName>
    <definedName name="Import.OpcaoBDI" hidden="1">OFFSET(ORÇAMENTO!$V$15,1,0):OFFSET(ORÇAMENTO!$V$89,-1,0)</definedName>
    <definedName name="Import.ORÇAMENTO.DivRecurso" hidden="1">OFFSET(ORÇAMENTO!$Y$15,1,0):OFFSET(ORÇAMENTO!$Y$89,-1,0)</definedName>
    <definedName name="Import.ORÇAMENTO.Obs" hidden="1">ORÇAMENTO!$O$95</definedName>
    <definedName name="Import.PLE" hidden="1">OFFSET(PLE!$G$15,1,1):OFFSET(PLE!$AG$70,-1,-1)</definedName>
    <definedName name="Import.PLE.Datas" hidden="1">PLE!$I$73:$AF$73</definedName>
    <definedName name="Import.PLQ" hidden="1">OFFSET(CÁLCULO!$P$15,1,1):OFFSET(CÁLCULO!$AA$89,-1,-1)</definedName>
    <definedName name="Import.PLQ.MemCalc" hidden="1">OFFSET(CÁLCULO!$I$15,1,0):OFFSET(CÁLCULO!$I$89,-1,0)</definedName>
    <definedName name="Import.PLQ.nAgrupEvent" hidden="1">OFFSET(CÁLCULO!$K$15,1,0):OFFSET(CÁLCULO!$K$89,-1,0)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OFFSET(ORÇAMENTO!$AJ$15,1,0):OFFSET(ORÇAMENTO!$AJ$89,-1,0)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OFFSET(ORÇAMENTO!$S$15,1,0):OFFSET(ORÇAMENTO!$S$89,-1,0)</definedName>
    <definedName name="Import.UnitarioLicitado" hidden="1">OFFSET(ORÇAMENTO!$AL$15,1,0):OFFSET(ORÇAMENTO!$AL$89,-1,0)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ORÇAMENTO!$R$12</definedName>
    <definedName name="ORÇAMENTO.Filtro" hidden="1">ORÇAMENTO!$L$15:$L$89</definedName>
    <definedName name="ORÇAMENTO.firstrow" hidden="1">ORÇAMENTO!$15:$15</definedName>
    <definedName name="ORÇAMENTO.Fonte" hidden="1">ORÇAMENTO!$P1</definedName>
    <definedName name="ORÇAMENTO.lastrow" hidden="1">ORÇAMENTO!$89:$89</definedName>
    <definedName name="ORÇAMENTO.LinhaPadrão" hidden="1">ORÇAMENTO!$14:$14</definedName>
    <definedName name="ORÇAMENTO.ListaCrono" hidden="1">OFFSET(ORÇAMENTO!$AD$15,1,0):OFFSET(ORÇAMENTO!$AD$89,-1,0)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OFFSET(ORÇAMENTO!$P$15,1,0):OFFSET(ORÇAMENTO!$S$89,-1,0)</definedName>
    <definedName name="ORÇAMENTO.PasteFormat2" hidden="1">OFFSET(ORÇAMENTO!$U$15,1,0):OFFSET(ORÇAMENTO!$V$89,-1,0)</definedName>
    <definedName name="ORÇAMENTO.PrecoUnitarioLicitado" hidden="1">ORÇAMENTO!$AL1</definedName>
    <definedName name="ORÇAMENTO.QuantBM" hidden="1">ORÇAMENTO!$AJ1</definedName>
    <definedName name="ORÇAMENTO.RangeQuant" hidden="1">OFFSET(ORÇAMENTO!$T$15,1,0):OFFSET(ORÇAMENTO!$T$89,-1,0)</definedName>
    <definedName name="ORÇAMENTO.SumCPMANUAL" hidden="1">SUMIF(ORÇAMENTO!$Z$15:$Z$89,"CP",ORÇAMENTO!$AA$15:$AA$89)</definedName>
    <definedName name="ORÇAMENTO.SumINVMANUAL" hidden="1">SUMIF(ORÇAMENTO!$Z$15:$Z$89,"RP",ORÇAMENTO!$X$15:$X$89)+SUMIF(ORÇAMENTO!$Z$15:$Z$89,"CP",ORÇAMENTO!$X$15:$X$89)+SUMIF(ORÇAMENTO!$Z$15:$Z$89,"OU",ORÇAMENTO!$X$15:$X$89)</definedName>
    <definedName name="ORÇAMENTO.SumOUTROSMANUAL" hidden="1">SUMIF(ORÇAMENTO!$Z$15:$Z$89,"OU",ORÇAMENTO!$AB$15:$AB$89)</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PLE!$A$13:$A$86</definedName>
    <definedName name="PLE.FirstCol" hidden="1">PLE!$G:$G</definedName>
    <definedName name="PLE.firstrow" hidden="1">PLE!$15:$15</definedName>
    <definedName name="PLE.FrenteRow" hidden="1">PLE!$11:$11</definedName>
    <definedName name="PLE.LastCol" hidden="1">PLE!$AG:$AG</definedName>
    <definedName name="PLE.lastrow" hidden="1">PLE!$70:$70</definedName>
    <definedName name="PLE.LinhaPadrão" hidden="1">PLE!$1:$1</definedName>
    <definedName name="PLE.margemrow" hidden="1">PLE!$87:$87</definedName>
    <definedName name="PLE.Medicao" hidden="1">PLE!$J$9</definedName>
    <definedName name="PLE.MEDIÇÕES.firstrow" hidden="1">PLE!$71:$71</definedName>
    <definedName name="PLE.MEDIÇÕES.lastrow" hidden="1">PLE!$81:$81</definedName>
    <definedName name="PLE.MEDIÇÕES.LinhaPadrão" hidden="1">PLE!$71:$78</definedName>
    <definedName name="PLE.Título" hidden="1">PLE!$H$3</definedName>
    <definedName name="PLE.ValorDoEvento" hidden="1">SUMIF(CÁLCULO!$M$15:$M$89,PLE!$B1,OFFSET(CÁLCULO!$AA$15:$AA$89,0,PLE!A$12))</definedName>
    <definedName name="PO.ValoresBDI" hidden="1">OFFSET(ORÇAMENTO!$AH$15,1,0):OFFSET(ORÇAMENTO!$AH$89,-1,0)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8" i="12" l="1"/>
  <c r="G88" i="12"/>
  <c r="F88" i="12"/>
  <c r="A88" i="5"/>
  <c r="H86" i="12"/>
  <c r="G86" i="12"/>
  <c r="F86" i="12"/>
  <c r="A86" i="5"/>
  <c r="H87" i="12"/>
  <c r="G87" i="12"/>
  <c r="F87" i="12"/>
  <c r="A87" i="5"/>
  <c r="H73" i="12"/>
  <c r="G73" i="12"/>
  <c r="F73" i="12"/>
  <c r="A73" i="5"/>
  <c r="Q65" i="6"/>
  <c r="Q55" i="6"/>
  <c r="Q54" i="6"/>
  <c r="Q53" i="6"/>
  <c r="Q57" i="6"/>
  <c r="Q51" i="6"/>
  <c r="Q50" i="6"/>
  <c r="Q36" i="6"/>
  <c r="Q34" i="6"/>
  <c r="Q33" i="6"/>
  <c r="Q32" i="6"/>
  <c r="Q31" i="6"/>
  <c r="Q45" i="6"/>
  <c r="Q46" i="6"/>
  <c r="Q44" i="6"/>
  <c r="Q43" i="6"/>
  <c r="Q41" i="6"/>
  <c r="Q40" i="6"/>
  <c r="Q39" i="6"/>
  <c r="Q38" i="6"/>
  <c r="Q35" i="6"/>
  <c r="Q62" i="6" l="1"/>
  <c r="Q63" i="6" s="1"/>
  <c r="Q60" i="6"/>
  <c r="Q70" i="6"/>
  <c r="Q69" i="6"/>
  <c r="H85" i="12"/>
  <c r="G85" i="12"/>
  <c r="F85" i="12"/>
  <c r="H84" i="12"/>
  <c r="G84" i="12"/>
  <c r="F84" i="12"/>
  <c r="H83" i="12"/>
  <c r="G83" i="12"/>
  <c r="F83" i="12"/>
  <c r="H82" i="12"/>
  <c r="G82" i="12"/>
  <c r="F82" i="12"/>
  <c r="H81" i="12"/>
  <c r="G81" i="12"/>
  <c r="F81" i="12"/>
  <c r="H80" i="12"/>
  <c r="G80" i="12"/>
  <c r="F80" i="12"/>
  <c r="H79" i="12"/>
  <c r="G79" i="12"/>
  <c r="F79" i="12"/>
  <c r="H78" i="12"/>
  <c r="G78" i="12"/>
  <c r="F78" i="12"/>
  <c r="H77" i="12"/>
  <c r="G77" i="12"/>
  <c r="F77" i="12"/>
  <c r="H76" i="12"/>
  <c r="G76" i="12"/>
  <c r="F76" i="12"/>
  <c r="H75" i="12"/>
  <c r="G75" i="12"/>
  <c r="F75" i="12"/>
  <c r="A85" i="5"/>
  <c r="A84" i="5"/>
  <c r="A83" i="5"/>
  <c r="A82" i="5"/>
  <c r="A81" i="5"/>
  <c r="A80" i="5"/>
  <c r="A79" i="5"/>
  <c r="A78" i="5"/>
  <c r="A77" i="5"/>
  <c r="A76" i="5"/>
  <c r="A75" i="5"/>
  <c r="H70" i="12"/>
  <c r="G70" i="12"/>
  <c r="F70" i="12"/>
  <c r="H69" i="12"/>
  <c r="G69" i="12"/>
  <c r="F69" i="12"/>
  <c r="H68" i="12"/>
  <c r="G68" i="12"/>
  <c r="F68" i="12"/>
  <c r="A70" i="5"/>
  <c r="A69" i="5"/>
  <c r="A68" i="5"/>
  <c r="H74" i="12"/>
  <c r="G74" i="12"/>
  <c r="F74" i="12"/>
  <c r="H72" i="12"/>
  <c r="G72" i="12"/>
  <c r="F72" i="12"/>
  <c r="H71" i="12"/>
  <c r="G71" i="12"/>
  <c r="F71" i="12"/>
  <c r="A74" i="5"/>
  <c r="A72" i="5"/>
  <c r="A71" i="5"/>
  <c r="Q27" i="6" l="1"/>
  <c r="Q26" i="6"/>
  <c r="Q25" i="6"/>
  <c r="Q22" i="6"/>
  <c r="H58" i="12"/>
  <c r="G58" i="12"/>
  <c r="F58" i="12"/>
  <c r="A58" i="5"/>
  <c r="A21" i="7" l="1"/>
  <c r="A20" i="7"/>
  <c r="A19" i="7"/>
  <c r="A18" i="7"/>
  <c r="A17" i="7"/>
  <c r="Q28" i="6"/>
  <c r="Q18" i="6"/>
  <c r="Q13" i="6"/>
  <c r="R13" i="6" l="1"/>
  <c r="S13" i="6" l="1"/>
  <c r="T13" i="6" l="1"/>
  <c r="U13" i="6" l="1"/>
  <c r="V13" i="6" l="1"/>
  <c r="W13" i="6" l="1"/>
  <c r="X13" i="6" l="1"/>
  <c r="Y13" i="6" l="1"/>
  <c r="Z13" i="6" l="1"/>
  <c r="H57" i="12" l="1"/>
  <c r="G57" i="12"/>
  <c r="F57" i="12"/>
  <c r="A57" i="5"/>
  <c r="H56" i="12"/>
  <c r="G56" i="12"/>
  <c r="F56" i="12"/>
  <c r="A56" i="5"/>
  <c r="H63" i="12"/>
  <c r="G63" i="12"/>
  <c r="F63" i="12"/>
  <c r="A63" i="5"/>
  <c r="H51" i="12" l="1"/>
  <c r="G51" i="12"/>
  <c r="F51" i="12"/>
  <c r="A51" i="5"/>
  <c r="H50" i="12"/>
  <c r="G50" i="12"/>
  <c r="F50" i="12"/>
  <c r="A50" i="5"/>
  <c r="H54" i="12" l="1"/>
  <c r="G54" i="12"/>
  <c r="F54" i="12"/>
  <c r="A54" i="5"/>
  <c r="H36" i="12"/>
  <c r="G36" i="12"/>
  <c r="F36" i="12"/>
  <c r="A36" i="5"/>
  <c r="H61" i="12"/>
  <c r="G61" i="12"/>
  <c r="F61" i="12"/>
  <c r="A61" i="5"/>
  <c r="H55" i="12"/>
  <c r="G55" i="12"/>
  <c r="F55" i="12"/>
  <c r="H53" i="12"/>
  <c r="G53" i="12"/>
  <c r="F53" i="12"/>
  <c r="A55" i="5"/>
  <c r="A53" i="5"/>
  <c r="H49" i="12"/>
  <c r="G49" i="12"/>
  <c r="F49" i="12"/>
  <c r="H48" i="12"/>
  <c r="G48" i="12"/>
  <c r="F48" i="12"/>
  <c r="H47" i="12"/>
  <c r="G47" i="12"/>
  <c r="F47" i="12"/>
  <c r="A49" i="5"/>
  <c r="A48" i="5"/>
  <c r="A47" i="5"/>
  <c r="H19" i="12"/>
  <c r="G19" i="12"/>
  <c r="F19" i="12"/>
  <c r="H18" i="12"/>
  <c r="G18" i="12"/>
  <c r="F18" i="12"/>
  <c r="H17" i="12"/>
  <c r="G17" i="12"/>
  <c r="F17" i="12"/>
  <c r="A19" i="5"/>
  <c r="A18" i="5"/>
  <c r="A17" i="5"/>
  <c r="H62" i="12"/>
  <c r="G62" i="12"/>
  <c r="F62" i="12"/>
  <c r="A62" i="5"/>
  <c r="H28" i="12"/>
  <c r="G28" i="12"/>
  <c r="F28" i="12"/>
  <c r="A28" i="5"/>
  <c r="H27" i="12"/>
  <c r="G27" i="12"/>
  <c r="F27" i="12"/>
  <c r="A27" i="5"/>
  <c r="H23" i="13" l="1"/>
  <c r="G23" i="13"/>
  <c r="H22" i="13"/>
  <c r="G22" i="13"/>
  <c r="H21" i="13"/>
  <c r="G21" i="13"/>
  <c r="H20" i="13"/>
  <c r="G20" i="13"/>
  <c r="E20" i="13"/>
  <c r="H19" i="13"/>
  <c r="G19" i="13"/>
  <c r="G18" i="13"/>
  <c r="G17" i="13"/>
  <c r="G16" i="13"/>
  <c r="E16" i="13"/>
  <c r="G15"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E18" i="13" s="1"/>
  <c r="A18" i="11"/>
  <c r="S17" i="11"/>
  <c r="J17" i="11"/>
  <c r="I17" i="13" s="1"/>
  <c r="D17" i="11"/>
  <c r="S16" i="11"/>
  <c r="J16" i="11"/>
  <c r="I16" i="13" s="1"/>
  <c r="D16" i="11"/>
  <c r="A16" i="11"/>
  <c r="S15" i="11"/>
  <c r="J15" i="11"/>
  <c r="I15" i="13" s="1"/>
  <c r="D15" i="11"/>
  <c r="S14" i="11"/>
  <c r="J14" i="11"/>
  <c r="I14" i="13" s="1"/>
  <c r="D14" i="11"/>
  <c r="A14" i="11"/>
  <c r="B14" i="8"/>
  <c r="A35" i="7"/>
  <c r="A34" i="7"/>
  <c r="A33" i="7"/>
  <c r="A32" i="7"/>
  <c r="A31" i="7"/>
  <c r="A30" i="7"/>
  <c r="A29" i="7"/>
  <c r="A28" i="7"/>
  <c r="A27" i="7"/>
  <c r="A26" i="7"/>
  <c r="A25" i="7"/>
  <c r="A24" i="7"/>
  <c r="A23" i="7"/>
  <c r="A22" i="7"/>
  <c r="A16" i="7"/>
  <c r="A67" i="5"/>
  <c r="A66" i="5"/>
  <c r="A65" i="5"/>
  <c r="A64" i="5"/>
  <c r="A60" i="5"/>
  <c r="A59" i="5"/>
  <c r="A52" i="5"/>
  <c r="A46" i="5"/>
  <c r="A45" i="5"/>
  <c r="A44" i="5"/>
  <c r="A43" i="5"/>
  <c r="A42" i="5"/>
  <c r="A41" i="5"/>
  <c r="A40" i="5"/>
  <c r="A39" i="5"/>
  <c r="A38" i="5"/>
  <c r="A37" i="5"/>
  <c r="A35" i="5"/>
  <c r="A34" i="5"/>
  <c r="A33" i="5"/>
  <c r="A32" i="5"/>
  <c r="A31" i="5"/>
  <c r="A30" i="5"/>
  <c r="A29" i="5"/>
  <c r="A26" i="5"/>
  <c r="A25" i="5"/>
  <c r="A24" i="5"/>
  <c r="A23" i="5"/>
  <c r="A22" i="5"/>
  <c r="A21" i="5"/>
  <c r="A20" i="5"/>
  <c r="C16" i="5"/>
  <c r="A16" i="5"/>
  <c r="P7" i="13"/>
  <c r="A23" i="11" l="1"/>
  <c r="F16" i="5"/>
  <c r="C17" i="5"/>
  <c r="H16" i="5"/>
  <c r="G16" i="5"/>
  <c r="I16" i="5"/>
  <c r="A16" i="12"/>
  <c r="B16" i="6"/>
  <c r="J16" i="6" s="1" a="1"/>
  <c r="J16" i="6" s="1"/>
  <c r="B16" i="5"/>
  <c r="W16" i="5"/>
  <c r="H16" i="12" s="1"/>
  <c r="AE16" i="5"/>
  <c r="N16" i="5"/>
  <c r="A17" i="11"/>
  <c r="E17" i="13"/>
  <c r="B17" i="8"/>
  <c r="E19" i="13"/>
  <c r="A19" i="11"/>
  <c r="E15" i="13"/>
  <c r="A15" i="11"/>
  <c r="H72" i="9"/>
  <c r="W17" i="5" l="1"/>
  <c r="H17" i="5"/>
  <c r="B17" i="6"/>
  <c r="J17" i="6" s="1" a="1"/>
  <c r="J17" i="6" s="1"/>
  <c r="B17" i="5"/>
  <c r="AE17" i="5"/>
  <c r="N17" i="5"/>
  <c r="F17" i="5"/>
  <c r="A17" i="12"/>
  <c r="C18" i="5"/>
  <c r="I17" i="5"/>
  <c r="G17" i="5"/>
  <c r="F20" i="6"/>
  <c r="AD16" i="5"/>
  <c r="AD17" i="5" s="1"/>
  <c r="E16" i="12"/>
  <c r="F16" i="6"/>
  <c r="D16" i="6"/>
  <c r="B20" i="8"/>
  <c r="E16" i="5"/>
  <c r="E17" i="5" s="1"/>
  <c r="C93" i="3"/>
  <c r="C94" i="3"/>
  <c r="D17" i="6" l="1"/>
  <c r="J18" i="5"/>
  <c r="A18" i="12"/>
  <c r="C19" i="5"/>
  <c r="AD18" i="5"/>
  <c r="H18" i="5"/>
  <c r="G18" i="5"/>
  <c r="K18" i="5"/>
  <c r="F18" i="5"/>
  <c r="AE18" i="5"/>
  <c r="E18" i="5"/>
  <c r="D18" i="5"/>
  <c r="B18" i="12" s="1"/>
  <c r="N18" i="5"/>
  <c r="B18" i="6"/>
  <c r="B18" i="5"/>
  <c r="F17" i="6"/>
  <c r="E17" i="12"/>
  <c r="E20" i="12"/>
  <c r="A14" i="13"/>
  <c r="B14" i="11"/>
  <c r="B23" i="8"/>
  <c r="H16" i="6" a="1"/>
  <c r="H16" i="6" s="1"/>
  <c r="T16" i="5" s="1"/>
  <c r="G16" i="6"/>
  <c r="N16" i="6"/>
  <c r="M16" i="6"/>
  <c r="AC89" i="5"/>
  <c r="F19" i="5" l="1"/>
  <c r="B19" i="6"/>
  <c r="D19" i="5"/>
  <c r="B19" i="12" s="1"/>
  <c r="G19" i="5"/>
  <c r="B19" i="5"/>
  <c r="E19" i="5"/>
  <c r="A19" i="12"/>
  <c r="AE19" i="5"/>
  <c r="N19" i="5"/>
  <c r="AD19" i="5"/>
  <c r="J19" i="5"/>
  <c r="H19" i="5"/>
  <c r="K19" i="5"/>
  <c r="H17" i="6" a="1"/>
  <c r="H17" i="6" s="1"/>
  <c r="T17" i="5" s="1"/>
  <c r="N17" i="6"/>
  <c r="M17" i="6"/>
  <c r="G17" i="6"/>
  <c r="D18" i="6"/>
  <c r="B26" i="8"/>
  <c r="G16" i="12"/>
  <c r="G14" i="11"/>
  <c r="F14" i="13" s="1"/>
  <c r="C14" i="13"/>
  <c r="K14" i="11"/>
  <c r="J14" i="13" s="1"/>
  <c r="G20" i="12"/>
  <c r="Q1" i="6"/>
  <c r="O1" i="6"/>
  <c r="C20" i="5" l="1"/>
  <c r="D19" i="6"/>
  <c r="K14" i="13"/>
  <c r="B29" i="8"/>
  <c r="R1" i="6"/>
  <c r="S1" i="6" s="1"/>
  <c r="T1" i="6" s="1"/>
  <c r="U1" i="6" s="1"/>
  <c r="V1" i="6" s="1"/>
  <c r="W1" i="6" s="1"/>
  <c r="X1" i="6" s="1"/>
  <c r="Y1" i="6" s="1"/>
  <c r="Z1" i="6" s="1"/>
  <c r="C98" i="3"/>
  <c r="H18" i="6" l="1" a="1"/>
  <c r="H18" i="6" s="1"/>
  <c r="T18" i="5" s="1"/>
  <c r="B20" i="5"/>
  <c r="AE20" i="5"/>
  <c r="N20" i="5"/>
  <c r="D20" i="6" s="1"/>
  <c r="I20" i="5"/>
  <c r="W20" i="5"/>
  <c r="H20" i="12" s="1"/>
  <c r="H20" i="5"/>
  <c r="A20" i="12"/>
  <c r="G20" i="5"/>
  <c r="C21" i="5"/>
  <c r="F20" i="5"/>
  <c r="B20" i="6"/>
  <c r="J20" i="6" s="1" a="1"/>
  <c r="J20" i="6" s="1"/>
  <c r="AD20" i="5"/>
  <c r="E20" i="5"/>
  <c r="H19" i="6" a="1"/>
  <c r="H19" i="6" s="1"/>
  <c r="T19" i="5" s="1"/>
  <c r="B32" i="8"/>
  <c r="C5" i="14"/>
  <c r="E2" i="12"/>
  <c r="J21" i="5" l="1"/>
  <c r="F21" i="5"/>
  <c r="C22" i="5"/>
  <c r="N21" i="5"/>
  <c r="D21" i="6" s="1"/>
  <c r="H21" i="6" s="1" a="1"/>
  <c r="H21" i="6" s="1"/>
  <c r="T21" i="5" s="1"/>
  <c r="H21" i="5"/>
  <c r="G21" i="5"/>
  <c r="K21" i="5"/>
  <c r="AD21" i="5"/>
  <c r="B21" i="5"/>
  <c r="D21" i="5"/>
  <c r="B21" i="12" s="1"/>
  <c r="B21" i="6"/>
  <c r="AE21" i="5"/>
  <c r="A21" i="12"/>
  <c r="E21" i="5"/>
  <c r="N20" i="6"/>
  <c r="M20" i="6"/>
  <c r="H20" i="6" a="1"/>
  <c r="H20" i="6" s="1"/>
  <c r="T20" i="5" s="1"/>
  <c r="G20" i="6"/>
  <c r="B35" i="8"/>
  <c r="G23" i="12"/>
  <c r="G22" i="12"/>
  <c r="G21" i="12"/>
  <c r="S12" i="11"/>
  <c r="H22" i="5" l="1"/>
  <c r="G22" i="5"/>
  <c r="AE22" i="5"/>
  <c r="N22" i="5"/>
  <c r="D22" i="6" s="1"/>
  <c r="H22" i="6" s="1" a="1"/>
  <c r="H22" i="6" s="1"/>
  <c r="T22" i="5" s="1"/>
  <c r="B22" i="6"/>
  <c r="D22" i="5"/>
  <c r="B22" i="12" s="1"/>
  <c r="J22" i="5"/>
  <c r="AD22" i="5"/>
  <c r="A22" i="12"/>
  <c r="F22" i="5"/>
  <c r="B22" i="5"/>
  <c r="K22" i="5"/>
  <c r="C23" i="5"/>
  <c r="E22" i="5"/>
  <c r="G24" i="12"/>
  <c r="B38" i="8"/>
  <c r="C1" i="7" a="1"/>
  <c r="C1" i="7" s="1"/>
  <c r="B1" i="7" s="1"/>
  <c r="D40" i="2"/>
  <c r="D39" i="2"/>
  <c r="D41" i="2"/>
  <c r="D37" i="2"/>
  <c r="D38" i="2"/>
  <c r="D36" i="2"/>
  <c r="AE23" i="5" l="1"/>
  <c r="K23" i="5"/>
  <c r="B23" i="5"/>
  <c r="D23" i="5"/>
  <c r="B23" i="12" s="1"/>
  <c r="B23" i="6"/>
  <c r="N23" i="5"/>
  <c r="D23" i="6" s="1"/>
  <c r="H23" i="6" s="1" a="1"/>
  <c r="H23" i="6" s="1"/>
  <c r="T23" i="5" s="1"/>
  <c r="J23" i="5"/>
  <c r="AD23" i="5"/>
  <c r="A23" i="12"/>
  <c r="C24" i="5"/>
  <c r="H23" i="5"/>
  <c r="G23" i="5"/>
  <c r="F23" i="5"/>
  <c r="E23" i="5"/>
  <c r="G25" i="12"/>
  <c r="B41" i="8"/>
  <c r="U94" i="4"/>
  <c r="U54" i="4"/>
  <c r="U11" i="4"/>
  <c r="U10" i="4"/>
  <c r="D31" i="2"/>
  <c r="D29" i="2"/>
  <c r="D28" i="2"/>
  <c r="D24" i="2"/>
  <c r="D23" i="2"/>
  <c r="D22" i="2"/>
  <c r="D19" i="2"/>
  <c r="D18" i="2"/>
  <c r="D17" i="2"/>
  <c r="D16" i="2"/>
  <c r="D9" i="2"/>
  <c r="D8" i="2"/>
  <c r="D7" i="2"/>
  <c r="D6" i="2"/>
  <c r="D5" i="2"/>
  <c r="D4" i="2"/>
  <c r="C116" i="3"/>
  <c r="C114" i="3"/>
  <c r="C110" i="3"/>
  <c r="C109" i="3"/>
  <c r="C106" i="3"/>
  <c r="C105" i="3"/>
  <c r="C101" i="3"/>
  <c r="C90" i="3"/>
  <c r="F8" i="7"/>
  <c r="C11" i="7"/>
  <c r="U106" i="4"/>
  <c r="U26" i="4"/>
  <c r="U66" i="4"/>
  <c r="F24" i="5" l="1"/>
  <c r="C25" i="5"/>
  <c r="D24" i="5"/>
  <c r="B24" i="12" s="1"/>
  <c r="B24" i="5"/>
  <c r="AE24" i="5"/>
  <c r="J24" i="5"/>
  <c r="A24" i="12"/>
  <c r="K24" i="5"/>
  <c r="N24" i="5"/>
  <c r="D24" i="6" s="1"/>
  <c r="H24" i="6" s="1" a="1"/>
  <c r="H24" i="6" s="1"/>
  <c r="T24" i="5" s="1"/>
  <c r="AD24" i="5"/>
  <c r="G24" i="5"/>
  <c r="H24" i="5"/>
  <c r="B24" i="6"/>
  <c r="E24" i="5"/>
  <c r="B44" i="8"/>
  <c r="G26" i="12"/>
  <c r="D27" i="2"/>
  <c r="D15" i="2"/>
  <c r="D35" i="2"/>
  <c r="H13" i="7"/>
  <c r="E25" i="5" l="1"/>
  <c r="B25" i="6"/>
  <c r="J25" i="5"/>
  <c r="F25" i="5"/>
  <c r="K25" i="5"/>
  <c r="AD25" i="5"/>
  <c r="A25" i="12"/>
  <c r="N25" i="5"/>
  <c r="D25" i="6" s="1"/>
  <c r="H25" i="6" s="1" a="1"/>
  <c r="H25" i="6" s="1"/>
  <c r="T25" i="5" s="1"/>
  <c r="H25" i="5"/>
  <c r="G25" i="5"/>
  <c r="B25" i="5"/>
  <c r="C26" i="5"/>
  <c r="AE25" i="5"/>
  <c r="D25" i="5"/>
  <c r="B25" i="12" s="1"/>
  <c r="B47" i="8"/>
  <c r="G29" i="12"/>
  <c r="H10" i="7"/>
  <c r="C27" i="5" l="1"/>
  <c r="H26" i="5"/>
  <c r="K26" i="5"/>
  <c r="AD26" i="5"/>
  <c r="J26" i="5"/>
  <c r="A26" i="12"/>
  <c r="B26" i="6"/>
  <c r="D26" i="5"/>
  <c r="B26" i="12" s="1"/>
  <c r="AE26" i="5"/>
  <c r="E26" i="5"/>
  <c r="F26" i="5"/>
  <c r="B26" i="5"/>
  <c r="N26" i="5"/>
  <c r="D26" i="6" s="1"/>
  <c r="H26" i="6" s="1" a="1"/>
  <c r="H26" i="6" s="1"/>
  <c r="T26" i="5" s="1"/>
  <c r="G26" i="5"/>
  <c r="G30" i="12"/>
  <c r="B50" i="8"/>
  <c r="AG104" i="8"/>
  <c r="H102" i="8"/>
  <c r="H104" i="8"/>
  <c r="E13" i="7"/>
  <c r="G27" i="5" l="1"/>
  <c r="H27" i="5"/>
  <c r="C28" i="5"/>
  <c r="AE27" i="5"/>
  <c r="AD27" i="5"/>
  <c r="J27" i="5"/>
  <c r="D27" i="5"/>
  <c r="B27" i="12" s="1"/>
  <c r="B27" i="6"/>
  <c r="A27" i="12"/>
  <c r="K27" i="5"/>
  <c r="N27" i="5"/>
  <c r="D27" i="6" s="1"/>
  <c r="H27" i="6" s="1" a="1"/>
  <c r="H27" i="6" s="1"/>
  <c r="T27" i="5" s="1"/>
  <c r="F27" i="5"/>
  <c r="E27" i="5"/>
  <c r="B27" i="5"/>
  <c r="B53" i="8"/>
  <c r="C103" i="3"/>
  <c r="C100" i="3"/>
  <c r="C96" i="3"/>
  <c r="G28" i="5" l="1"/>
  <c r="B28" i="5"/>
  <c r="C29" i="5" s="1"/>
  <c r="H28" i="5"/>
  <c r="E28" i="5"/>
  <c r="D28" i="5"/>
  <c r="B28" i="12" s="1"/>
  <c r="AE28" i="5"/>
  <c r="AD28" i="5"/>
  <c r="K28" i="5"/>
  <c r="N28" i="5"/>
  <c r="D28" i="6" s="1"/>
  <c r="H28" i="6" s="1" a="1"/>
  <c r="H28" i="6" s="1"/>
  <c r="T28" i="5" s="1"/>
  <c r="J28" i="5"/>
  <c r="B28" i="6"/>
  <c r="A28" i="12"/>
  <c r="F28" i="5"/>
  <c r="G31" i="12"/>
  <c r="B56" i="8"/>
  <c r="C92" i="3"/>
  <c r="G29" i="5" l="1"/>
  <c r="F29" i="5"/>
  <c r="B29" i="6"/>
  <c r="N29" i="5"/>
  <c r="D29" i="6" s="1"/>
  <c r="H29" i="6" s="1" a="1"/>
  <c r="H29" i="6" s="1"/>
  <c r="T29" i="5" s="1"/>
  <c r="B29" i="5"/>
  <c r="C30" i="5" s="1"/>
  <c r="AE29" i="5"/>
  <c r="E29" i="5"/>
  <c r="H29" i="5"/>
  <c r="A29" i="12"/>
  <c r="AD29" i="5"/>
  <c r="B59" i="8"/>
  <c r="C112" i="3"/>
  <c r="C108" i="3"/>
  <c r="C70" i="3"/>
  <c r="L35" i="13"/>
  <c r="L34" i="13" s="1"/>
  <c r="C84" i="3"/>
  <c r="A30" i="12" l="1"/>
  <c r="G30" i="5"/>
  <c r="AE30" i="5"/>
  <c r="AD30" i="5"/>
  <c r="F30" i="5"/>
  <c r="B30" i="5"/>
  <c r="B30" i="6"/>
  <c r="E30" i="5"/>
  <c r="H30" i="5"/>
  <c r="N30" i="5"/>
  <c r="D30" i="6" s="1"/>
  <c r="H30" i="6" s="1" a="1"/>
  <c r="H30" i="6" s="1"/>
  <c r="T30" i="5" s="1"/>
  <c r="G32" i="12"/>
  <c r="B62" i="8"/>
  <c r="C56" i="3"/>
  <c r="B65" i="8" l="1"/>
  <c r="G33" i="12"/>
  <c r="A1" i="7"/>
  <c r="V41" i="7" a="1"/>
  <c r="V41" i="7" s="1"/>
  <c r="Y5" i="7"/>
  <c r="X5" i="7"/>
  <c r="P5" i="7"/>
  <c r="C60" i="3"/>
  <c r="S4" i="8"/>
  <c r="F5" i="7"/>
  <c r="B68" i="8" l="1"/>
  <c r="V42" i="7"/>
  <c r="V43" i="7"/>
  <c r="N5" i="7"/>
  <c r="O5" i="7"/>
  <c r="C31" i="5" l="1"/>
  <c r="B71" i="8"/>
  <c r="E10" i="7"/>
  <c r="C57" i="3"/>
  <c r="C82" i="3"/>
  <c r="C77" i="3"/>
  <c r="B83" i="9"/>
  <c r="D42" i="7"/>
  <c r="V82" i="9" a="1"/>
  <c r="V84" i="9" s="1"/>
  <c r="B80" i="9"/>
  <c r="J72" i="9"/>
  <c r="L72" i="9" s="1"/>
  <c r="N72" i="9" s="1"/>
  <c r="P72" i="9" s="1"/>
  <c r="R72" i="9" s="1"/>
  <c r="T72" i="9" s="1"/>
  <c r="V72" i="9" s="1"/>
  <c r="X72" i="9" s="1"/>
  <c r="Z72" i="9" s="1"/>
  <c r="AB72" i="9" s="1"/>
  <c r="AD72" i="9" s="1"/>
  <c r="M5" i="9"/>
  <c r="J5" i="9"/>
  <c r="G5" i="9"/>
  <c r="B5" i="9"/>
  <c r="B31" i="6" l="1"/>
  <c r="D31" i="5"/>
  <c r="B31" i="12" s="1"/>
  <c r="E31" i="5"/>
  <c r="N31" i="5"/>
  <c r="D31" i="6" s="1"/>
  <c r="H31" i="6" s="1" a="1"/>
  <c r="H31" i="6" s="1"/>
  <c r="T31" i="5" s="1"/>
  <c r="AE31" i="5"/>
  <c r="B31" i="5"/>
  <c r="H31" i="5"/>
  <c r="F31" i="5"/>
  <c r="A31" i="12"/>
  <c r="G31" i="5"/>
  <c r="J31" i="5"/>
  <c r="AD31" i="5"/>
  <c r="K31" i="5"/>
  <c r="B74" i="8"/>
  <c r="B77" i="8" s="1"/>
  <c r="B80" i="8" s="1"/>
  <c r="G34" i="12"/>
  <c r="V82" i="9"/>
  <c r="V83" i="9"/>
  <c r="L41" i="7" a="1"/>
  <c r="L43" i="7" s="1"/>
  <c r="D39" i="7"/>
  <c r="C5" i="7"/>
  <c r="B83" i="8" l="1"/>
  <c r="C32" i="5"/>
  <c r="G35" i="12"/>
  <c r="I13" i="7"/>
  <c r="J13" i="7" s="1"/>
  <c r="K13" i="7" s="1"/>
  <c r="L13" i="7" s="1"/>
  <c r="M13" i="7" s="1"/>
  <c r="N13" i="7" s="1"/>
  <c r="O13" i="7" s="1"/>
  <c r="M1" i="6" a="1"/>
  <c r="M1" i="6" s="1"/>
  <c r="L41" i="7"/>
  <c r="L42"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B86" i="8" l="1"/>
  <c r="A32" i="12"/>
  <c r="B32" i="6"/>
  <c r="B32" i="5"/>
  <c r="E32" i="5"/>
  <c r="AE32" i="5"/>
  <c r="D32" i="5"/>
  <c r="B32" i="12" s="1"/>
  <c r="G32" i="5"/>
  <c r="J32" i="5"/>
  <c r="F32" i="5"/>
  <c r="C33" i="5"/>
  <c r="K32" i="5"/>
  <c r="N32" i="5"/>
  <c r="D32" i="6" s="1"/>
  <c r="H32" i="6" s="1" a="1"/>
  <c r="H32" i="6" s="1"/>
  <c r="T32" i="5" s="1"/>
  <c r="H32" i="5"/>
  <c r="AD32" i="5"/>
  <c r="J10" i="7"/>
  <c r="I10" i="7"/>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AX13" i="6"/>
  <c r="AX12" i="6" s="1"/>
  <c r="AB13" i="6"/>
  <c r="AB12" i="6" s="1"/>
  <c r="AM13" i="6"/>
  <c r="AM12" i="6" s="1"/>
  <c r="H12" i="10"/>
  <c r="H11" i="10" s="1"/>
  <c r="S27" i="4"/>
  <c r="U27" i="4" s="1"/>
  <c r="BG15" i="6"/>
  <c r="BF15" i="6"/>
  <c r="BE15" i="6"/>
  <c r="BD15" i="6"/>
  <c r="BC15" i="6"/>
  <c r="BB15" i="6"/>
  <c r="BA15" i="6"/>
  <c r="AZ15" i="6"/>
  <c r="AY15" i="6"/>
  <c r="AX15" i="6"/>
  <c r="I74" i="10"/>
  <c r="G12" i="9"/>
  <c r="G11" i="9" s="1"/>
  <c r="C20" i="3"/>
  <c r="C22" i="3"/>
  <c r="C24" i="3"/>
  <c r="C26" i="3"/>
  <c r="C28" i="3"/>
  <c r="C19" i="3"/>
  <c r="C15" i="3"/>
  <c r="C14" i="3"/>
  <c r="C12" i="3"/>
  <c r="I36" i="11"/>
  <c r="I35" i="11"/>
  <c r="AA107" i="8" a="1"/>
  <c r="T95" i="6" a="1"/>
  <c r="T97" i="6" s="1"/>
  <c r="I95" i="6" a="1"/>
  <c r="I96" i="6" s="1"/>
  <c r="AB13" i="12"/>
  <c r="C2" i="4"/>
  <c r="V12" i="8"/>
  <c r="E12" i="8"/>
  <c r="A14" i="5"/>
  <c r="C14" i="5" s="1"/>
  <c r="AV15" i="6"/>
  <c r="AU15" i="6"/>
  <c r="AT15" i="6"/>
  <c r="AS15" i="6"/>
  <c r="AR15" i="6"/>
  <c r="AQ15" i="6"/>
  <c r="AP15" i="6"/>
  <c r="AO15" i="6"/>
  <c r="AN15" i="6"/>
  <c r="AM15" i="6"/>
  <c r="D12" i="11"/>
  <c r="A12" i="11" s="1"/>
  <c r="L39" i="13"/>
  <c r="S107" i="4"/>
  <c r="U107" i="4" s="1"/>
  <c r="S67" i="4"/>
  <c r="U67" i="4" s="1"/>
  <c r="C8" i="4"/>
  <c r="C9" i="4"/>
  <c r="C10" i="4"/>
  <c r="C11" i="4"/>
  <c r="C12" i="4"/>
  <c r="C13" i="4"/>
  <c r="L46" i="13"/>
  <c r="B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98" i="12"/>
  <c r="E99" i="12"/>
  <c r="K101" i="12" a="1"/>
  <c r="K103" i="12" s="1"/>
  <c r="F6" i="6"/>
  <c r="F7" i="6"/>
  <c r="E10" i="6"/>
  <c r="I10" i="6"/>
  <c r="K10" i="6"/>
  <c r="S10" i="6"/>
  <c r="U10" i="6"/>
  <c r="O13" i="6"/>
  <c r="O15" i="6" s="1"/>
  <c r="O11" i="6" s="1"/>
  <c r="B15" i="6"/>
  <c r="C15" i="6"/>
  <c r="D15" i="6"/>
  <c r="E15" i="6"/>
  <c r="B89" i="6"/>
  <c r="C89" i="6"/>
  <c r="F93" i="6"/>
  <c r="S5" i="8"/>
  <c r="Z7" i="8"/>
  <c r="AF7" i="8"/>
  <c r="I8" i="8"/>
  <c r="L8" i="8"/>
  <c r="U8" i="8"/>
  <c r="Z8" i="8"/>
  <c r="AF8" i="8"/>
  <c r="E13" i="8"/>
  <c r="V13" i="8"/>
  <c r="W13" i="8" s="1"/>
  <c r="X13" i="8" s="1"/>
  <c r="Y13" i="8" s="1"/>
  <c r="Z13" i="8" s="1"/>
  <c r="AA13" i="8" s="1"/>
  <c r="AB13" i="8" s="1"/>
  <c r="AC13" i="8" s="1"/>
  <c r="AD13" i="8" s="1"/>
  <c r="AE13" i="8" s="1"/>
  <c r="AF13" i="8" s="1"/>
  <c r="T94" i="8"/>
  <c r="T99" i="8"/>
  <c r="I105" i="8"/>
  <c r="B1" i="9"/>
  <c r="E12" i="9"/>
  <c r="E11" i="9" s="1"/>
  <c r="I2" i="2"/>
  <c r="K2" i="2"/>
  <c r="M2" i="2"/>
  <c r="O2" i="2"/>
  <c r="Q2" i="2"/>
  <c r="S2" i="2"/>
  <c r="U2" i="2"/>
  <c r="W2" i="2"/>
  <c r="Y2" i="2"/>
  <c r="AA2" i="2"/>
  <c r="AC2" i="2"/>
  <c r="AE2" i="2"/>
  <c r="AG2" i="2"/>
  <c r="AI2" i="2"/>
  <c r="AK2" i="2"/>
  <c r="AM2" i="2"/>
  <c r="AO2" i="2"/>
  <c r="B9" i="2"/>
  <c r="C8" i="3"/>
  <c r="C9" i="3"/>
  <c r="C18" i="14"/>
  <c r="C19" i="14"/>
  <c r="B22" i="14"/>
  <c r="B24" i="14"/>
  <c r="B30" i="14"/>
  <c r="B54" i="14"/>
  <c r="B55" i="14"/>
  <c r="R2" i="5"/>
  <c r="O5" i="5"/>
  <c r="R5" i="5"/>
  <c r="S5" i="5"/>
  <c r="O99" i="5"/>
  <c r="R7" i="5"/>
  <c r="S7" i="5"/>
  <c r="V7" i="5"/>
  <c r="W7" i="5"/>
  <c r="X7" i="5"/>
  <c r="R8" i="5"/>
  <c r="S8" i="5"/>
  <c r="U13" i="5"/>
  <c r="V13" i="5"/>
  <c r="AH13" i="5"/>
  <c r="M15" i="5"/>
  <c r="N15" i="5"/>
  <c r="O15" i="5"/>
  <c r="O102" i="5"/>
  <c r="T104" i="5" a="1"/>
  <c r="T104" i="5" s="1"/>
  <c r="B1" i="10"/>
  <c r="H4" i="10"/>
  <c r="V6" i="10"/>
  <c r="AE6" i="10"/>
  <c r="B7" i="10"/>
  <c r="H7" i="10"/>
  <c r="O7" i="10"/>
  <c r="V7" i="10"/>
  <c r="AE7" i="10"/>
  <c r="F12" i="10"/>
  <c r="F11" i="10" s="1"/>
  <c r="B82" i="10"/>
  <c r="W84" i="10" a="1"/>
  <c r="W85" i="10" s="1"/>
  <c r="D4" i="11"/>
  <c r="G4" i="11"/>
  <c r="J4" i="11"/>
  <c r="M6" i="11"/>
  <c r="D7" i="11"/>
  <c r="L7" i="11"/>
  <c r="M7" i="11"/>
  <c r="J12" i="11"/>
  <c r="I12" i="13" s="1"/>
  <c r="L13" i="11"/>
  <c r="L9" i="11" s="1"/>
  <c r="D33" i="11"/>
  <c r="F1" i="13"/>
  <c r="E4" i="13"/>
  <c r="I4" i="13"/>
  <c r="P4" i="13"/>
  <c r="M6" i="13"/>
  <c r="E7" i="13"/>
  <c r="I7" i="13"/>
  <c r="M7" i="13"/>
  <c r="M11" i="13"/>
  <c r="Y11" i="13"/>
  <c r="G12" i="13"/>
  <c r="H12" i="13"/>
  <c r="J25" i="13"/>
  <c r="AC2" i="13" s="1"/>
  <c r="E35" i="13"/>
  <c r="E39" i="13"/>
  <c r="F40" i="13"/>
  <c r="M40" i="13"/>
  <c r="E41" i="13"/>
  <c r="F41" i="13"/>
  <c r="L41" i="13"/>
  <c r="M41" i="13"/>
  <c r="M42" i="13"/>
  <c r="L43" i="13"/>
  <c r="M43" i="13"/>
  <c r="E46" i="13"/>
  <c r="E48" i="13"/>
  <c r="L48" i="13"/>
  <c r="E49" i="13"/>
  <c r="L49" i="13"/>
  <c r="D96" i="12"/>
  <c r="K130" i="4"/>
  <c r="O8" i="5"/>
  <c r="B89" i="8" l="1"/>
  <c r="D33" i="5"/>
  <c r="B33" i="12" s="1"/>
  <c r="B33" i="5"/>
  <c r="H33" i="5"/>
  <c r="N33" i="5"/>
  <c r="D33" i="6" s="1"/>
  <c r="H33" i="6" s="1" a="1"/>
  <c r="H33" i="6" s="1"/>
  <c r="T33" i="5" s="1"/>
  <c r="A33" i="12"/>
  <c r="AD33" i="5"/>
  <c r="G33" i="5"/>
  <c r="AE33" i="5"/>
  <c r="F33" i="5"/>
  <c r="E33" i="5"/>
  <c r="B33" i="6"/>
  <c r="J33" i="5"/>
  <c r="K33" i="5"/>
  <c r="A17" i="6"/>
  <c r="A18" i="6" s="1"/>
  <c r="A20" i="6"/>
  <c r="A21" i="6" s="1"/>
  <c r="A22" i="6" s="1"/>
  <c r="A16" i="6"/>
  <c r="B14" i="6"/>
  <c r="S109" i="4"/>
  <c r="U97" i="4" s="1"/>
  <c r="S69" i="4"/>
  <c r="U57" i="4" s="1"/>
  <c r="S29" i="4"/>
  <c r="C34" i="4"/>
  <c r="C45" i="4"/>
  <c r="AY13" i="6"/>
  <c r="AY12" i="6" s="1"/>
  <c r="K50" i="4"/>
  <c r="N9" i="10"/>
  <c r="C33" i="4"/>
  <c r="C48" i="4"/>
  <c r="C27" i="4"/>
  <c r="A16" i="4"/>
  <c r="W12" i="8"/>
  <c r="AC13" i="12"/>
  <c r="K74" i="10"/>
  <c r="W87" i="10"/>
  <c r="E12" i="13"/>
  <c r="C47" i="4"/>
  <c r="C23" i="4"/>
  <c r="A30" i="4"/>
  <c r="A31" i="4" s="1"/>
  <c r="C31" i="4" s="1"/>
  <c r="C46" i="4"/>
  <c r="C28" i="4"/>
  <c r="K104" i="12"/>
  <c r="C21" i="4"/>
  <c r="C22" i="4"/>
  <c r="K132" i="4"/>
  <c r="B39" i="14"/>
  <c r="W86" i="10"/>
  <c r="K101" i="12"/>
  <c r="T106" i="5"/>
  <c r="B37" i="14"/>
  <c r="C14" i="14"/>
  <c r="T96" i="6"/>
  <c r="P125" i="4"/>
  <c r="I108" i="8"/>
  <c r="I97" i="6"/>
  <c r="I95" i="6"/>
  <c r="AC13" i="6"/>
  <c r="AC12" i="6" s="1"/>
  <c r="AN13" i="6"/>
  <c r="AN12" i="6" s="1"/>
  <c r="B14" i="5"/>
  <c r="F14" i="5"/>
  <c r="G15" i="9"/>
  <c r="H15" i="10"/>
  <c r="S110" i="4"/>
  <c r="I12" i="10"/>
  <c r="H12" i="9"/>
  <c r="S30" i="4"/>
  <c r="A36" i="4"/>
  <c r="C35" i="4"/>
  <c r="C24" i="4"/>
  <c r="AA108" i="8"/>
  <c r="AA109" i="8"/>
  <c r="AA107" i="8"/>
  <c r="P45" i="4"/>
  <c r="K14" i="5"/>
  <c r="J14" i="5"/>
  <c r="H14" i="5"/>
  <c r="A14" i="12"/>
  <c r="D14" i="5"/>
  <c r="B14" i="12" s="1"/>
  <c r="AD14" i="5"/>
  <c r="E14" i="5"/>
  <c r="G14" i="5"/>
  <c r="AE14" i="5"/>
  <c r="N14" i="5"/>
  <c r="E102" i="12"/>
  <c r="B85" i="10"/>
  <c r="F96" i="6"/>
  <c r="O105" i="5"/>
  <c r="D36" i="11"/>
  <c r="M8" i="12"/>
  <c r="W84" i="10"/>
  <c r="A4" i="4"/>
  <c r="K51" i="4"/>
  <c r="K102" i="12"/>
  <c r="S70" i="4"/>
  <c r="K91" i="4"/>
  <c r="T95" i="6"/>
  <c r="K90" i="4"/>
  <c r="T105" i="5"/>
  <c r="N18" i="6" l="1"/>
  <c r="A19" i="6"/>
  <c r="N22" i="6"/>
  <c r="A23" i="6"/>
  <c r="N21" i="6"/>
  <c r="G37" i="12"/>
  <c r="AB10" i="12"/>
  <c r="M74" i="10"/>
  <c r="I12" i="9"/>
  <c r="I11" i="9" s="1"/>
  <c r="H11" i="9"/>
  <c r="U17" i="4"/>
  <c r="T17" i="4" s="1"/>
  <c r="H5" i="5"/>
  <c r="X8" i="5" s="1"/>
  <c r="F5" i="5"/>
  <c r="G5" i="5"/>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B42" i="14"/>
  <c r="AD13" i="6"/>
  <c r="AD12" i="6" s="1"/>
  <c r="AO13" i="6"/>
  <c r="AO12" i="6" s="1"/>
  <c r="B8" i="14"/>
  <c r="I10" i="13"/>
  <c r="I11" i="10"/>
  <c r="J12" i="10"/>
  <c r="D14" i="6"/>
  <c r="C4" i="4"/>
  <c r="A5" i="4"/>
  <c r="C36" i="4"/>
  <c r="A37" i="4"/>
  <c r="C37" i="4" s="1"/>
  <c r="AH86" i="5" l="1"/>
  <c r="AH88" i="5"/>
  <c r="AH73" i="5"/>
  <c r="AH87" i="5"/>
  <c r="AH82" i="5"/>
  <c r="AH83" i="5"/>
  <c r="AH84" i="5"/>
  <c r="AH80" i="5"/>
  <c r="AH85" i="5"/>
  <c r="AH81" i="5"/>
  <c r="AH78" i="5"/>
  <c r="AH75" i="5"/>
  <c r="AH79" i="5"/>
  <c r="AH76" i="5"/>
  <c r="AH77" i="5"/>
  <c r="AH70" i="5"/>
  <c r="AH69" i="5"/>
  <c r="AH68" i="5"/>
  <c r="AH74" i="5"/>
  <c r="AH71" i="5"/>
  <c r="AH72" i="5"/>
  <c r="AH58" i="5"/>
  <c r="AH57" i="5"/>
  <c r="AH63" i="5"/>
  <c r="AH56" i="5"/>
  <c r="AH50" i="5"/>
  <c r="AH51" i="5"/>
  <c r="AH36" i="5"/>
  <c r="AH54" i="5"/>
  <c r="AH61" i="5"/>
  <c r="AH53" i="5"/>
  <c r="AH55" i="5"/>
  <c r="AH49" i="5"/>
  <c r="AH47" i="5"/>
  <c r="AH48" i="5"/>
  <c r="AH19" i="5"/>
  <c r="AH17" i="5"/>
  <c r="AN17" i="5" s="1"/>
  <c r="AH18" i="5"/>
  <c r="N19" i="6"/>
  <c r="AH28" i="5"/>
  <c r="AH62" i="5"/>
  <c r="AH27" i="5"/>
  <c r="F16" i="12"/>
  <c r="F20" i="12"/>
  <c r="F38" i="12"/>
  <c r="F34" i="12"/>
  <c r="F31" i="12"/>
  <c r="A24" i="6"/>
  <c r="N23" i="6"/>
  <c r="F29" i="12"/>
  <c r="G29" i="6"/>
  <c r="F26" i="12"/>
  <c r="F23" i="12"/>
  <c r="E29" i="12"/>
  <c r="F29" i="6"/>
  <c r="F32" i="12"/>
  <c r="E30" i="12"/>
  <c r="F30" i="6"/>
  <c r="F35" i="12"/>
  <c r="E37" i="12"/>
  <c r="F37" i="6"/>
  <c r="F24" i="12"/>
  <c r="AH66" i="5"/>
  <c r="AH64" i="5"/>
  <c r="AH59" i="5"/>
  <c r="AH44" i="5"/>
  <c r="AH43" i="5"/>
  <c r="AH35" i="5"/>
  <c r="AH25" i="5"/>
  <c r="AH46" i="5"/>
  <c r="AH40" i="5"/>
  <c r="AH33" i="5"/>
  <c r="AH32" i="5"/>
  <c r="AH21" i="5"/>
  <c r="AH20" i="5"/>
  <c r="AH60" i="5"/>
  <c r="AH52" i="5"/>
  <c r="AH26" i="5"/>
  <c r="AH42" i="5"/>
  <c r="AH24" i="5"/>
  <c r="AH31" i="5"/>
  <c r="AH16" i="5"/>
  <c r="AN16" i="5" s="1"/>
  <c r="AH41" i="5"/>
  <c r="AH37" i="5"/>
  <c r="AH38" i="5"/>
  <c r="AH67" i="5"/>
  <c r="AH30" i="5"/>
  <c r="AH34" i="5"/>
  <c r="AH29" i="5"/>
  <c r="AH39" i="5"/>
  <c r="AH23" i="5"/>
  <c r="AH22" i="5"/>
  <c r="AH45" i="5"/>
  <c r="AH65" i="5"/>
  <c r="F33" i="12"/>
  <c r="F25" i="12"/>
  <c r="F30" i="12"/>
  <c r="G30" i="6"/>
  <c r="F37" i="12"/>
  <c r="F22" i="12"/>
  <c r="F21" i="12"/>
  <c r="O74" i="10"/>
  <c r="H73" i="10" s="1"/>
  <c r="J12" i="9"/>
  <c r="J11" i="9" s="1"/>
  <c r="U14" i="4"/>
  <c r="U7" i="4" s="1"/>
  <c r="V8" i="5"/>
  <c r="AH14" i="5"/>
  <c r="W14" i="5" s="1"/>
  <c r="H14" i="12" s="1"/>
  <c r="H14" i="6" a="1"/>
  <c r="H14" i="6" s="1"/>
  <c r="BA13" i="6"/>
  <c r="BA12" i="6" s="1"/>
  <c r="A18" i="4"/>
  <c r="C17" i="4"/>
  <c r="Y12" i="8"/>
  <c r="AE13" i="12"/>
  <c r="AE13" i="6"/>
  <c r="AP13" i="6"/>
  <c r="AP12" i="6" s="1"/>
  <c r="K12" i="10"/>
  <c r="J11" i="10"/>
  <c r="A14" i="6"/>
  <c r="N14" i="6" s="1"/>
  <c r="C5" i="4"/>
  <c r="A6" i="4"/>
  <c r="F39" i="12" l="1"/>
  <c r="F40" i="12"/>
  <c r="N24" i="6"/>
  <c r="A25" i="6"/>
  <c r="G38" i="12"/>
  <c r="W30" i="5"/>
  <c r="H30" i="12" s="1"/>
  <c r="W29" i="5"/>
  <c r="H29" i="12" s="1"/>
  <c r="Q74" i="10"/>
  <c r="K12" i="9"/>
  <c r="K11" i="9" s="1"/>
  <c r="AN14" i="5"/>
  <c r="T106" i="4"/>
  <c r="T105" i="4"/>
  <c r="T104" i="4"/>
  <c r="T103" i="4"/>
  <c r="T102" i="4"/>
  <c r="T101" i="4"/>
  <c r="T66" i="4"/>
  <c r="T65" i="4"/>
  <c r="T64" i="4"/>
  <c r="T63" i="4"/>
  <c r="T62" i="4"/>
  <c r="T61" i="4"/>
  <c r="T26" i="4"/>
  <c r="T25" i="4"/>
  <c r="T24" i="4"/>
  <c r="T23" i="4"/>
  <c r="T22" i="4"/>
  <c r="T21" i="4"/>
  <c r="M14" i="6"/>
  <c r="BB13" i="6"/>
  <c r="AF13" i="6"/>
  <c r="AF12" i="6" s="1"/>
  <c r="AE12" i="6"/>
  <c r="A19" i="4"/>
  <c r="C19" i="4" s="1"/>
  <c r="C18" i="4"/>
  <c r="Z12" i="8"/>
  <c r="AF13" i="12"/>
  <c r="AQ13" i="6"/>
  <c r="L12" i="10"/>
  <c r="A7" i="4"/>
  <c r="C7" i="4" s="1"/>
  <c r="C6" i="4"/>
  <c r="C34" i="5" l="1"/>
  <c r="F42" i="12"/>
  <c r="F41" i="12"/>
  <c r="G39" i="12"/>
  <c r="N25" i="6"/>
  <c r="A26" i="6"/>
  <c r="A27" i="6" s="1"/>
  <c r="A28" i="6" s="1"/>
  <c r="E42" i="12"/>
  <c r="F42" i="6"/>
  <c r="S74" i="10"/>
  <c r="Q79" i="10"/>
  <c r="L12" i="9"/>
  <c r="L11" i="9" s="1"/>
  <c r="BB12" i="6"/>
  <c r="AQ12" i="6"/>
  <c r="AG13" i="6"/>
  <c r="AG12" i="6" s="1"/>
  <c r="BC13" i="6"/>
  <c r="AA12" i="8"/>
  <c r="AG13" i="12"/>
  <c r="AR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D34" i="5" l="1"/>
  <c r="J34" i="5"/>
  <c r="D34" i="5"/>
  <c r="B34" i="12" s="1"/>
  <c r="AE34" i="5"/>
  <c r="N34" i="5"/>
  <c r="D34" i="6" s="1"/>
  <c r="C35" i="5"/>
  <c r="K34" i="5"/>
  <c r="G34" i="5"/>
  <c r="E34" i="5"/>
  <c r="B34" i="6"/>
  <c r="A34" i="12"/>
  <c r="H34" i="5"/>
  <c r="B34" i="5"/>
  <c r="F34" i="5"/>
  <c r="N28" i="6"/>
  <c r="N27" i="6"/>
  <c r="N26" i="6"/>
  <c r="A29" i="6"/>
  <c r="G40" i="12"/>
  <c r="U74" i="10"/>
  <c r="S79" i="10"/>
  <c r="M12" i="9"/>
  <c r="M11" i="9" s="1"/>
  <c r="U29" i="4"/>
  <c r="U64" i="4"/>
  <c r="U104" i="4"/>
  <c r="U105" i="4"/>
  <c r="U61" i="4"/>
  <c r="U25" i="4"/>
  <c r="U102" i="4"/>
  <c r="U62" i="4"/>
  <c r="U69" i="4"/>
  <c r="U63" i="4"/>
  <c r="U21" i="4"/>
  <c r="U22" i="4"/>
  <c r="U23" i="4"/>
  <c r="U103" i="4"/>
  <c r="U24" i="4"/>
  <c r="U101" i="4"/>
  <c r="U65" i="4"/>
  <c r="U109" i="4"/>
  <c r="K112" i="4" s="1"/>
  <c r="BC12" i="6"/>
  <c r="AR12" i="6"/>
  <c r="AH13" i="6"/>
  <c r="AH12" i="6" s="1"/>
  <c r="BD13" i="6"/>
  <c r="AB12" i="8"/>
  <c r="AH13" i="12"/>
  <c r="AS13" i="6"/>
  <c r="M11" i="10"/>
  <c r="N12" i="10"/>
  <c r="C36" i="5" l="1"/>
  <c r="A35" i="12"/>
  <c r="B35" i="5"/>
  <c r="AD35" i="5"/>
  <c r="F35" i="5"/>
  <c r="E35" i="5"/>
  <c r="N35" i="5"/>
  <c r="D35" i="6" s="1"/>
  <c r="K35" i="5"/>
  <c r="J35" i="5"/>
  <c r="AE35" i="5"/>
  <c r="D35" i="5"/>
  <c r="B35" i="12" s="1"/>
  <c r="B35" i="6"/>
  <c r="G35" i="5"/>
  <c r="H35" i="5"/>
  <c r="H34" i="6" a="1"/>
  <c r="H34" i="6" s="1"/>
  <c r="T34" i="5" s="1"/>
  <c r="F43" i="12"/>
  <c r="G41" i="12"/>
  <c r="A30" i="6"/>
  <c r="N29" i="6"/>
  <c r="W74" i="10"/>
  <c r="U79" i="10"/>
  <c r="N12" i="9"/>
  <c r="N11" i="9" s="1"/>
  <c r="J72" i="4"/>
  <c r="U8" i="4"/>
  <c r="BD12" i="6"/>
  <c r="AS12" i="6"/>
  <c r="AI13" i="6"/>
  <c r="AI12" i="6" s="1"/>
  <c r="BE13" i="6"/>
  <c r="AC12" i="8"/>
  <c r="AI13" i="12"/>
  <c r="K72" i="4"/>
  <c r="J112" i="4"/>
  <c r="AT13" i="6"/>
  <c r="O12" i="10"/>
  <c r="N11" i="10"/>
  <c r="K32" i="4"/>
  <c r="J32" i="4"/>
  <c r="D36" i="5" l="1"/>
  <c r="B36" i="12" s="1"/>
  <c r="B36" i="5"/>
  <c r="H36" i="5"/>
  <c r="G36" i="5"/>
  <c r="AE36" i="5"/>
  <c r="AD36" i="5"/>
  <c r="N36" i="5"/>
  <c r="D36" i="6" s="1"/>
  <c r="A36" i="12"/>
  <c r="B36" i="6"/>
  <c r="J36" i="5"/>
  <c r="E36" i="5"/>
  <c r="K36" i="5"/>
  <c r="F36" i="5"/>
  <c r="H35" i="6" a="1"/>
  <c r="H35" i="6" s="1"/>
  <c r="T35" i="5" s="1"/>
  <c r="G42" i="12"/>
  <c r="N30" i="6"/>
  <c r="O12" i="9"/>
  <c r="O11" i="9" s="1"/>
  <c r="Y74" i="10"/>
  <c r="W79" i="10"/>
  <c r="T11" i="11"/>
  <c r="BE12" i="6"/>
  <c r="AT12" i="6"/>
  <c r="AJ13" i="6"/>
  <c r="AJ12" i="6" s="1"/>
  <c r="BF13" i="6"/>
  <c r="AD12" i="8"/>
  <c r="AJ13" i="12"/>
  <c r="AU13" i="6"/>
  <c r="P12" i="10"/>
  <c r="O11" i="10"/>
  <c r="H36" i="6" l="1" a="1"/>
  <c r="H36" i="6" s="1"/>
  <c r="C37" i="5"/>
  <c r="F44" i="12"/>
  <c r="G43" i="12"/>
  <c r="P12" i="9"/>
  <c r="P11" i="9" s="1"/>
  <c r="AA74" i="10"/>
  <c r="Y79" i="10"/>
  <c r="BF12" i="6"/>
  <c r="AU12" i="6"/>
  <c r="AK13" i="6"/>
  <c r="BG13" i="6"/>
  <c r="AE12" i="8"/>
  <c r="AK13" i="12"/>
  <c r="AV13" i="6"/>
  <c r="Q12" i="10"/>
  <c r="P11" i="10"/>
  <c r="T36" i="5" l="1"/>
  <c r="B37" i="6"/>
  <c r="A37" i="12"/>
  <c r="B37" i="5"/>
  <c r="H37" i="5"/>
  <c r="AE37" i="5"/>
  <c r="E37" i="5"/>
  <c r="G37" i="5"/>
  <c r="W37" i="5"/>
  <c r="H37" i="12" s="1"/>
  <c r="N37" i="5"/>
  <c r="D37" i="6" s="1"/>
  <c r="AD37" i="5"/>
  <c r="F37" i="5"/>
  <c r="C38" i="5"/>
  <c r="F45" i="12"/>
  <c r="AK12" i="6"/>
  <c r="Q12" i="9"/>
  <c r="Q11" i="9" s="1"/>
  <c r="AC74" i="10"/>
  <c r="AA79" i="10"/>
  <c r="BG12" i="6"/>
  <c r="AV12" i="6"/>
  <c r="AF12" i="8"/>
  <c r="AL13" i="12"/>
  <c r="Q11" i="10"/>
  <c r="R12" i="10"/>
  <c r="A31" i="6" l="1"/>
  <c r="AD38" i="5"/>
  <c r="G38" i="5"/>
  <c r="C39" i="5"/>
  <c r="K38" i="5"/>
  <c r="H38" i="5"/>
  <c r="F38" i="5"/>
  <c r="B38" i="6"/>
  <c r="AE38" i="5"/>
  <c r="E38" i="5"/>
  <c r="J38" i="5"/>
  <c r="B38" i="5"/>
  <c r="D38" i="5"/>
  <c r="B38" i="12" s="1"/>
  <c r="N38" i="5"/>
  <c r="D38" i="6" s="1"/>
  <c r="A38" i="12"/>
  <c r="H37" i="6" a="1"/>
  <c r="H37" i="6" s="1"/>
  <c r="T37" i="5" s="1"/>
  <c r="G37" i="6"/>
  <c r="F52" i="12"/>
  <c r="F46" i="12"/>
  <c r="G44" i="12"/>
  <c r="R12" i="9"/>
  <c r="R11" i="9" s="1"/>
  <c r="AE74" i="10"/>
  <c r="AE79" i="10" s="1"/>
  <c r="AC79" i="10"/>
  <c r="AM13" i="12"/>
  <c r="J36" i="12" s="1"/>
  <c r="R11" i="10"/>
  <c r="S12" i="10"/>
  <c r="L36" i="12" l="1"/>
  <c r="K36" i="12" s="1"/>
  <c r="N31" i="6"/>
  <c r="H38" i="6" a="1"/>
  <c r="H38" i="6" s="1"/>
  <c r="T38" i="5" s="1"/>
  <c r="B39" i="5"/>
  <c r="AD39" i="5"/>
  <c r="B39" i="6"/>
  <c r="G39" i="5"/>
  <c r="E39" i="5"/>
  <c r="A39" i="12"/>
  <c r="J39" i="12" s="1"/>
  <c r="H39" i="5"/>
  <c r="F39" i="5"/>
  <c r="J39" i="5"/>
  <c r="AE39" i="5"/>
  <c r="C40" i="5"/>
  <c r="K39" i="5"/>
  <c r="N39" i="5"/>
  <c r="D39" i="6" s="1"/>
  <c r="D39" i="5"/>
  <c r="B39" i="12" s="1"/>
  <c r="J19" i="12"/>
  <c r="L19" i="12"/>
  <c r="J18" i="12"/>
  <c r="L18" i="12"/>
  <c r="L28" i="12"/>
  <c r="J28" i="12"/>
  <c r="J27" i="12"/>
  <c r="L27" i="12"/>
  <c r="E52" i="12"/>
  <c r="F52" i="6"/>
  <c r="J26" i="12"/>
  <c r="L22" i="12"/>
  <c r="J22" i="12"/>
  <c r="J35" i="12"/>
  <c r="J34" i="12"/>
  <c r="J24" i="12"/>
  <c r="J32" i="12"/>
  <c r="L32" i="12"/>
  <c r="J31" i="12"/>
  <c r="L23" i="12"/>
  <c r="J25" i="12"/>
  <c r="L31" i="12"/>
  <c r="L26" i="12"/>
  <c r="L24" i="12"/>
  <c r="L34" i="12"/>
  <c r="L25" i="12"/>
  <c r="J38" i="12"/>
  <c r="L38" i="12"/>
  <c r="L35" i="12"/>
  <c r="J21" i="12"/>
  <c r="J23" i="12"/>
  <c r="L21" i="12"/>
  <c r="J33" i="12"/>
  <c r="L33" i="12"/>
  <c r="G45" i="12"/>
  <c r="S12" i="9"/>
  <c r="S11" i="9" s="1"/>
  <c r="L14" i="12"/>
  <c r="AO7" i="12"/>
  <c r="J14" i="12"/>
  <c r="T12" i="10"/>
  <c r="S11" i="10"/>
  <c r="A32" i="6" l="1"/>
  <c r="L39" i="12"/>
  <c r="K39" i="12" s="1"/>
  <c r="AD40" i="5"/>
  <c r="B40" i="5"/>
  <c r="AE40" i="5"/>
  <c r="K40" i="5"/>
  <c r="C41" i="5"/>
  <c r="J40" i="5"/>
  <c r="G40" i="5"/>
  <c r="B40" i="6"/>
  <c r="D40" i="5"/>
  <c r="B40" i="12" s="1"/>
  <c r="N40" i="5"/>
  <c r="D40" i="6" s="1"/>
  <c r="E40" i="5"/>
  <c r="H40" i="5"/>
  <c r="A40" i="12"/>
  <c r="F40" i="5"/>
  <c r="H39" i="6" a="1"/>
  <c r="H39" i="6" s="1"/>
  <c r="T39" i="5" s="1"/>
  <c r="K18" i="12"/>
  <c r="K19" i="12"/>
  <c r="K28" i="12"/>
  <c r="K27" i="12"/>
  <c r="K24" i="12"/>
  <c r="K32" i="12"/>
  <c r="K21" i="12"/>
  <c r="K34" i="12"/>
  <c r="K23" i="12"/>
  <c r="K26" i="12"/>
  <c r="K25" i="12"/>
  <c r="K31" i="12"/>
  <c r="K22" i="12"/>
  <c r="G46" i="12"/>
  <c r="K35" i="12"/>
  <c r="K33" i="12"/>
  <c r="K38" i="12"/>
  <c r="T12" i="9"/>
  <c r="T11" i="9" s="1"/>
  <c r="K14" i="12"/>
  <c r="U12" i="10"/>
  <c r="T11" i="10"/>
  <c r="A33" i="6" l="1"/>
  <c r="N33" i="6" s="1"/>
  <c r="N32" i="6"/>
  <c r="H40" i="6" a="1"/>
  <c r="H40" i="6" s="1"/>
  <c r="T40" i="5" s="1"/>
  <c r="B41" i="6"/>
  <c r="B41" i="5"/>
  <c r="C42" i="5" s="1"/>
  <c r="G41" i="5"/>
  <c r="J41" i="5"/>
  <c r="A41" i="12"/>
  <c r="H41" i="5"/>
  <c r="K41" i="5"/>
  <c r="N41" i="5"/>
  <c r="D41" i="6" s="1"/>
  <c r="AE41" i="5"/>
  <c r="AD41" i="5"/>
  <c r="F41" i="5"/>
  <c r="D41" i="5"/>
  <c r="B41" i="12" s="1"/>
  <c r="E41" i="5"/>
  <c r="J40" i="12"/>
  <c r="L40" i="12"/>
  <c r="U12" i="9"/>
  <c r="U11" i="9" s="1"/>
  <c r="V12" i="10"/>
  <c r="U11" i="10"/>
  <c r="K40" i="12" l="1"/>
  <c r="B42" i="6"/>
  <c r="C43" i="5"/>
  <c r="B42" i="5"/>
  <c r="F42" i="5"/>
  <c r="AE42" i="5"/>
  <c r="H42" i="5"/>
  <c r="AD42" i="5"/>
  <c r="N42" i="5"/>
  <c r="D42" i="6" s="1"/>
  <c r="A42" i="12"/>
  <c r="W42" i="5"/>
  <c r="H42" i="12" s="1"/>
  <c r="E42" i="5"/>
  <c r="G42" i="5"/>
  <c r="H41" i="6" a="1"/>
  <c r="H41" i="6" s="1"/>
  <c r="T41" i="5" s="1"/>
  <c r="J41" i="12"/>
  <c r="L41" i="12"/>
  <c r="G52" i="12"/>
  <c r="V12" i="9"/>
  <c r="V11" i="9" s="1"/>
  <c r="W12" i="10"/>
  <c r="V11" i="10"/>
  <c r="K41" i="12" l="1"/>
  <c r="E43" i="5"/>
  <c r="N43" i="5"/>
  <c r="D43" i="6" s="1"/>
  <c r="A43" i="12"/>
  <c r="AD43" i="5"/>
  <c r="B43" i="5"/>
  <c r="F43" i="5"/>
  <c r="B43" i="6"/>
  <c r="H43" i="5"/>
  <c r="G43" i="5"/>
  <c r="AE43" i="5"/>
  <c r="H42" i="6" a="1"/>
  <c r="H42" i="6" s="1"/>
  <c r="T42" i="5" s="1"/>
  <c r="G42" i="6"/>
  <c r="W12" i="9"/>
  <c r="W11" i="9" s="1"/>
  <c r="W11" i="10"/>
  <c r="X12" i="10"/>
  <c r="C44" i="5" l="1"/>
  <c r="H43" i="6" a="1"/>
  <c r="H43" i="6" s="1"/>
  <c r="T43" i="5" s="1"/>
  <c r="X12" i="9"/>
  <c r="X11" i="9" s="1"/>
  <c r="Y12" i="10"/>
  <c r="X11" i="10"/>
  <c r="A34" i="6" l="1"/>
  <c r="A44" i="12"/>
  <c r="D44" i="5"/>
  <c r="B44" i="12" s="1"/>
  <c r="E44" i="5"/>
  <c r="G44" i="5"/>
  <c r="AE44" i="5"/>
  <c r="B44" i="6"/>
  <c r="C45" i="5"/>
  <c r="AD44" i="5"/>
  <c r="N44" i="5"/>
  <c r="D44" i="6" s="1"/>
  <c r="B44" i="5"/>
  <c r="F44" i="5"/>
  <c r="J44" i="5"/>
  <c r="H44" i="5"/>
  <c r="K44" i="5"/>
  <c r="Y12" i="9"/>
  <c r="Y11" i="9" s="1"/>
  <c r="Y11" i="10"/>
  <c r="Z12" i="10"/>
  <c r="L44" i="12" l="1"/>
  <c r="J44" i="12"/>
  <c r="H44" i="6" a="1"/>
  <c r="H44" i="6" s="1"/>
  <c r="T44" i="5" s="1"/>
  <c r="A35" i="6"/>
  <c r="A36" i="6" s="1"/>
  <c r="N34" i="6"/>
  <c r="J45" i="5"/>
  <c r="G45" i="5"/>
  <c r="B45" i="5"/>
  <c r="C46" i="5"/>
  <c r="D45" i="5"/>
  <c r="B45" i="12" s="1"/>
  <c r="K45" i="5"/>
  <c r="N45" i="5"/>
  <c r="D45" i="6" s="1"/>
  <c r="H45" i="5"/>
  <c r="AE45" i="5"/>
  <c r="B45" i="6"/>
  <c r="A45" i="12"/>
  <c r="AD45" i="5"/>
  <c r="F45" i="5"/>
  <c r="E45" i="5"/>
  <c r="Z12" i="9"/>
  <c r="Z11" i="9" s="1"/>
  <c r="Z11" i="10"/>
  <c r="AA12" i="10"/>
  <c r="N36" i="6" l="1"/>
  <c r="J45" i="12"/>
  <c r="L45" i="12"/>
  <c r="N35" i="6"/>
  <c r="H45" i="6" a="1"/>
  <c r="H45" i="6" s="1"/>
  <c r="T45" i="5" s="1"/>
  <c r="K44" i="12"/>
  <c r="AE46" i="5"/>
  <c r="K46" i="5"/>
  <c r="H46" i="5"/>
  <c r="AD46" i="5"/>
  <c r="G46" i="5"/>
  <c r="J46" i="5"/>
  <c r="B46" i="6"/>
  <c r="E46" i="5"/>
  <c r="N46" i="5"/>
  <c r="D46" i="6" s="1"/>
  <c r="B46" i="5"/>
  <c r="D46" i="5"/>
  <c r="B46" i="12" s="1"/>
  <c r="F46" i="5"/>
  <c r="A46" i="12"/>
  <c r="N37" i="6"/>
  <c r="AA12" i="9"/>
  <c r="AA11" i="9" s="1"/>
  <c r="AB12" i="10"/>
  <c r="AA11" i="10"/>
  <c r="K45" i="12" l="1"/>
  <c r="J46" i="12"/>
  <c r="L46" i="12"/>
  <c r="C47" i="5"/>
  <c r="H46" i="6" a="1"/>
  <c r="H46" i="6" s="1"/>
  <c r="T46" i="5" s="1"/>
  <c r="AB12" i="9"/>
  <c r="AB11" i="9" s="1"/>
  <c r="AB11" i="10"/>
  <c r="AC12" i="10"/>
  <c r="N47" i="5" l="1"/>
  <c r="D47" i="6" s="1"/>
  <c r="AD47" i="5"/>
  <c r="A47" i="12"/>
  <c r="C48" i="5"/>
  <c r="W47" i="5"/>
  <c r="B47" i="6"/>
  <c r="G47" i="5"/>
  <c r="E47" i="5"/>
  <c r="AE47" i="5"/>
  <c r="H47" i="5"/>
  <c r="F47" i="5"/>
  <c r="E47" i="12"/>
  <c r="F47" i="6"/>
  <c r="B47" i="5"/>
  <c r="K46" i="12"/>
  <c r="A37" i="6"/>
  <c r="A38" i="6" s="1"/>
  <c r="AC12" i="9"/>
  <c r="AC11" i="9" s="1"/>
  <c r="AC11" i="10"/>
  <c r="AD12" i="10"/>
  <c r="N48" i="5" l="1"/>
  <c r="D48" i="6" s="1"/>
  <c r="D48" i="5"/>
  <c r="B48" i="12" s="1"/>
  <c r="J48" i="5"/>
  <c r="K48" i="5"/>
  <c r="AD48" i="5"/>
  <c r="E48" i="5"/>
  <c r="G48" i="5"/>
  <c r="AE48" i="5"/>
  <c r="H48" i="5"/>
  <c r="A48" i="12"/>
  <c r="L48" i="12" s="1"/>
  <c r="C49" i="5"/>
  <c r="F48" i="5"/>
  <c r="B48" i="5"/>
  <c r="B48" i="6"/>
  <c r="H47" i="6" a="1"/>
  <c r="H47" i="6" s="1"/>
  <c r="G47" i="6"/>
  <c r="A39" i="6"/>
  <c r="N38" i="6"/>
  <c r="AD12" i="9"/>
  <c r="AD11" i="9" s="1"/>
  <c r="AE12" i="10"/>
  <c r="AD11" i="10"/>
  <c r="C50" i="5" l="1"/>
  <c r="AE49" i="5"/>
  <c r="A49" i="12"/>
  <c r="J49" i="12" s="1"/>
  <c r="B49" i="6"/>
  <c r="N49" i="5"/>
  <c r="D49" i="6" s="1"/>
  <c r="D49" i="5"/>
  <c r="B49" i="12" s="1"/>
  <c r="J48" i="12"/>
  <c r="K48" i="12" s="1"/>
  <c r="E49" i="5"/>
  <c r="B49" i="5"/>
  <c r="F49" i="5"/>
  <c r="J49" i="5"/>
  <c r="G49" i="5"/>
  <c r="AD49" i="5"/>
  <c r="K49" i="5"/>
  <c r="H49" i="5"/>
  <c r="T47" i="5"/>
  <c r="H48" i="6" a="1"/>
  <c r="H48" i="6" s="1"/>
  <c r="A40" i="6"/>
  <c r="N39" i="6"/>
  <c r="AE12" i="9"/>
  <c r="AE11" i="10"/>
  <c r="AF12" i="10"/>
  <c r="D50" i="5" l="1"/>
  <c r="B50" i="12" s="1"/>
  <c r="H50" i="5"/>
  <c r="K50" i="5"/>
  <c r="AD50" i="5"/>
  <c r="J50" i="5"/>
  <c r="G50" i="5"/>
  <c r="F50" i="5"/>
  <c r="N50" i="5"/>
  <c r="D50" i="6" s="1"/>
  <c r="B50" i="5"/>
  <c r="AE50" i="5"/>
  <c r="E50" i="5"/>
  <c r="B50" i="6"/>
  <c r="A50" i="12"/>
  <c r="L50" i="12" s="1"/>
  <c r="C51" i="5"/>
  <c r="L49" i="12"/>
  <c r="K49" i="12" s="1"/>
  <c r="H49" i="6" a="1"/>
  <c r="H49" i="6" s="1"/>
  <c r="T48" i="5"/>
  <c r="N40" i="6"/>
  <c r="A41" i="6"/>
  <c r="N42" i="6"/>
  <c r="AE11" i="9"/>
  <c r="AF11" i="10"/>
  <c r="J50" i="12" l="1"/>
  <c r="K50" i="12" s="1"/>
  <c r="D51" i="5"/>
  <c r="B51" i="12" s="1"/>
  <c r="A51" i="12"/>
  <c r="K51" i="5"/>
  <c r="J51" i="5"/>
  <c r="AE51" i="5"/>
  <c r="B51" i="6"/>
  <c r="N51" i="5"/>
  <c r="D51" i="6" s="1"/>
  <c r="H51" i="6" s="1" a="1"/>
  <c r="H51" i="6" s="1"/>
  <c r="AD51" i="5"/>
  <c r="B51" i="5"/>
  <c r="C52" i="5" s="1"/>
  <c r="AE52" i="5" s="1"/>
  <c r="F51" i="5"/>
  <c r="H51" i="5"/>
  <c r="E51" i="5"/>
  <c r="G51" i="5"/>
  <c r="H50" i="6" a="1"/>
  <c r="H50" i="6" s="1"/>
  <c r="T49" i="5"/>
  <c r="N41" i="6"/>
  <c r="A42" i="6"/>
  <c r="A43" i="6" s="1"/>
  <c r="A15" i="10"/>
  <c r="A52" i="12" l="1"/>
  <c r="F52" i="5"/>
  <c r="B52" i="6"/>
  <c r="E52" i="5"/>
  <c r="G52" i="5"/>
  <c r="AD52" i="5"/>
  <c r="W52" i="5"/>
  <c r="H52" i="12" s="1"/>
  <c r="B52" i="5"/>
  <c r="C53" i="5"/>
  <c r="H52" i="5"/>
  <c r="N52" i="5"/>
  <c r="D52" i="6" s="1"/>
  <c r="G52" i="6" s="1"/>
  <c r="L51" i="12"/>
  <c r="J51" i="12"/>
  <c r="T51" i="5"/>
  <c r="T50" i="5"/>
  <c r="N43" i="6"/>
  <c r="A44" i="6"/>
  <c r="L10" i="7"/>
  <c r="E53" i="5" l="1"/>
  <c r="K51" i="12"/>
  <c r="AE53" i="5"/>
  <c r="C54" i="5"/>
  <c r="D53" i="5"/>
  <c r="B53" i="12" s="1"/>
  <c r="A53" i="12"/>
  <c r="L53" i="12" s="1"/>
  <c r="N53" i="5"/>
  <c r="D53" i="6" s="1"/>
  <c r="H53" i="6" s="1" a="1"/>
  <c r="H53" i="6" s="1"/>
  <c r="G53" i="5"/>
  <c r="J53" i="5"/>
  <c r="H52" i="6" a="1"/>
  <c r="H52" i="6" s="1"/>
  <c r="T52" i="5" s="1"/>
  <c r="B53" i="5"/>
  <c r="AD53" i="5"/>
  <c r="F53" i="5"/>
  <c r="H53" i="5"/>
  <c r="K53" i="5"/>
  <c r="B53" i="6"/>
  <c r="A45" i="6"/>
  <c r="M10" i="7"/>
  <c r="E54" i="5" l="1"/>
  <c r="B54" i="5"/>
  <c r="F54" i="5"/>
  <c r="G54" i="5"/>
  <c r="J53" i="12"/>
  <c r="K53" i="12" s="1"/>
  <c r="H54" i="5"/>
  <c r="AD54" i="5"/>
  <c r="A54" i="12"/>
  <c r="N54" i="5"/>
  <c r="D54" i="6" s="1"/>
  <c r="H54" i="6" s="1" a="1"/>
  <c r="H54" i="6" s="1"/>
  <c r="T54" i="5" s="1"/>
  <c r="C55" i="5"/>
  <c r="D54" i="5"/>
  <c r="B54" i="12" s="1"/>
  <c r="AE54" i="5"/>
  <c r="B54" i="6"/>
  <c r="J54" i="5"/>
  <c r="K54" i="5"/>
  <c r="T53" i="5"/>
  <c r="A46" i="6"/>
  <c r="N10" i="7"/>
  <c r="B55" i="6" l="1"/>
  <c r="K55" i="5"/>
  <c r="N55" i="5"/>
  <c r="D55" i="6" s="1"/>
  <c r="H55" i="6" s="1" a="1"/>
  <c r="H55" i="6" s="1"/>
  <c r="T55" i="5" s="1"/>
  <c r="F55" i="5"/>
  <c r="H55" i="5"/>
  <c r="G55" i="5"/>
  <c r="E55" i="5"/>
  <c r="AE55" i="5"/>
  <c r="AD55" i="5"/>
  <c r="J55" i="5"/>
  <c r="D55" i="5"/>
  <c r="B55" i="12" s="1"/>
  <c r="A55" i="12"/>
  <c r="B55" i="5"/>
  <c r="L54" i="12"/>
  <c r="J54" i="12"/>
  <c r="A47" i="6"/>
  <c r="P13" i="7"/>
  <c r="O10" i="7"/>
  <c r="C56" i="5" l="1"/>
  <c r="K54" i="12"/>
  <c r="L55" i="12"/>
  <c r="J55" i="12"/>
  <c r="N47" i="6"/>
  <c r="A48" i="6"/>
  <c r="Q13" i="7"/>
  <c r="P10" i="7"/>
  <c r="K55" i="12" l="1"/>
  <c r="C57" i="5"/>
  <c r="N56" i="5"/>
  <c r="D56" i="6" s="1"/>
  <c r="H56" i="6" s="1" a="1"/>
  <c r="H56" i="6" s="1"/>
  <c r="H56" i="5"/>
  <c r="K56" i="5"/>
  <c r="AD56" i="5"/>
  <c r="J56" i="5"/>
  <c r="B56" i="6"/>
  <c r="G56" i="5"/>
  <c r="D56" i="5"/>
  <c r="B56" i="12" s="1"/>
  <c r="A56" i="12"/>
  <c r="F56" i="5"/>
  <c r="B56" i="5"/>
  <c r="E56" i="5"/>
  <c r="AE56" i="5"/>
  <c r="N48" i="6"/>
  <c r="A49" i="6"/>
  <c r="N52" i="6"/>
  <c r="Q10" i="7"/>
  <c r="R13" i="7"/>
  <c r="C58" i="5" l="1"/>
  <c r="F57" i="5"/>
  <c r="G57" i="5"/>
  <c r="H57" i="5"/>
  <c r="E57" i="5"/>
  <c r="B57" i="5"/>
  <c r="L56" i="12"/>
  <c r="J56" i="12"/>
  <c r="AD57" i="5"/>
  <c r="N57" i="5"/>
  <c r="D57" i="6" s="1"/>
  <c r="H57" i="6" s="1" a="1"/>
  <c r="H57" i="6" s="1"/>
  <c r="T57" i="5" s="1"/>
  <c r="A57" i="12"/>
  <c r="J57" i="5"/>
  <c r="K57" i="5"/>
  <c r="D57" i="5"/>
  <c r="B57" i="12" s="1"/>
  <c r="B57" i="6"/>
  <c r="AE57" i="5"/>
  <c r="T56" i="5"/>
  <c r="A52" i="6"/>
  <c r="A53" i="6" s="1"/>
  <c r="N53" i="6" s="1"/>
  <c r="A50" i="6"/>
  <c r="A51" i="6" s="1"/>
  <c r="N49" i="6"/>
  <c r="S13" i="7"/>
  <c r="R10" i="7"/>
  <c r="A58" i="12" l="1"/>
  <c r="J58" i="12" s="1"/>
  <c r="B58" i="5"/>
  <c r="F58" i="5"/>
  <c r="AD58" i="5"/>
  <c r="B58" i="6"/>
  <c r="AE58" i="5"/>
  <c r="E58" i="5"/>
  <c r="J58" i="5"/>
  <c r="K58" i="5"/>
  <c r="H58" i="5"/>
  <c r="D58" i="5"/>
  <c r="B58" i="12" s="1"/>
  <c r="G58" i="5"/>
  <c r="N58" i="5"/>
  <c r="D58" i="6" s="1"/>
  <c r="K56" i="12"/>
  <c r="L57" i="12"/>
  <c r="J57" i="12"/>
  <c r="N51" i="6"/>
  <c r="A54" i="6"/>
  <c r="N54" i="6" s="1"/>
  <c r="N50" i="6"/>
  <c r="S10" i="7"/>
  <c r="T13" i="7"/>
  <c r="L58" i="12" l="1"/>
  <c r="K58" i="12" s="1"/>
  <c r="H58" i="6" a="1"/>
  <c r="H58" i="6" s="1"/>
  <c r="K57" i="12"/>
  <c r="A55" i="6"/>
  <c r="A56" i="6" s="1"/>
  <c r="A57" i="6" s="1"/>
  <c r="A58" i="6" s="1"/>
  <c r="N58" i="6" s="1"/>
  <c r="T10" i="7"/>
  <c r="U13" i="7"/>
  <c r="T58" i="5" l="1"/>
  <c r="N57" i="6"/>
  <c r="N56" i="6"/>
  <c r="N55" i="6"/>
  <c r="U10" i="7"/>
  <c r="V13" i="7"/>
  <c r="W13" i="7" l="1"/>
  <c r="V10" i="7"/>
  <c r="W10" i="7" l="1"/>
  <c r="X13" i="7"/>
  <c r="X10" i="7" l="1"/>
  <c r="Y13" i="7"/>
  <c r="Y10" i="7" l="1"/>
  <c r="K11" i="10" l="1"/>
  <c r="K10" i="7"/>
  <c r="T14" i="5" l="1"/>
  <c r="G14" i="12" l="1"/>
  <c r="A8" i="9" l="1"/>
  <c r="B10" i="9" a="1"/>
  <c r="B10" i="9" s="1"/>
  <c r="B7" i="9" a="1"/>
  <c r="B7" i="9" s="1"/>
  <c r="A15" i="6" a="1"/>
  <c r="A15" i="6" s="1"/>
  <c r="C15" i="7"/>
  <c r="AB17" i="6" l="1"/>
  <c r="BF17" i="6"/>
  <c r="AY17" i="6"/>
  <c r="AM17" i="6"/>
  <c r="AQ17" i="6"/>
  <c r="BB17" i="6"/>
  <c r="AR17" i="6"/>
  <c r="AT17" i="6"/>
  <c r="BC17" i="6"/>
  <c r="AS17" i="6"/>
  <c r="AZ17" i="6"/>
  <c r="BA17" i="6"/>
  <c r="AV17" i="6"/>
  <c r="AU17" i="6"/>
  <c r="AO17" i="6"/>
  <c r="AN17" i="6"/>
  <c r="BE17" i="6"/>
  <c r="AX17" i="6"/>
  <c r="BD17" i="6"/>
  <c r="AP17" i="6"/>
  <c r="BG17" i="6"/>
  <c r="M18" i="6"/>
  <c r="M19" i="6" s="1"/>
  <c r="AC17" i="6"/>
  <c r="AD17" i="6"/>
  <c r="AF17" i="6"/>
  <c r="AE17" i="6"/>
  <c r="AG17" i="6"/>
  <c r="AH17" i="6"/>
  <c r="AI17" i="6"/>
  <c r="AJ17" i="6"/>
  <c r="AK17" i="6"/>
  <c r="BC16" i="6"/>
  <c r="AR16" i="6"/>
  <c r="AO20" i="6"/>
  <c r="BA16" i="6"/>
  <c r="AZ20" i="6"/>
  <c r="AO16" i="6"/>
  <c r="AU20" i="6"/>
  <c r="AP16" i="6"/>
  <c r="AB16" i="6"/>
  <c r="BE20" i="6"/>
  <c r="AV20" i="6"/>
  <c r="AQ20" i="6"/>
  <c r="AB20" i="6"/>
  <c r="AM20" i="6"/>
  <c r="AM16" i="6"/>
  <c r="AQ16" i="6"/>
  <c r="AP20" i="6"/>
  <c r="BA20" i="6"/>
  <c r="AX16" i="6"/>
  <c r="BF20" i="6"/>
  <c r="BB20" i="6"/>
  <c r="AS16" i="6"/>
  <c r="BC20" i="6"/>
  <c r="AV16" i="6"/>
  <c r="AT20" i="6"/>
  <c r="BB16" i="6"/>
  <c r="AY20" i="6"/>
  <c r="AY16" i="6"/>
  <c r="AU16" i="6"/>
  <c r="BG16" i="6"/>
  <c r="BF16" i="6"/>
  <c r="BG20" i="6"/>
  <c r="AR20" i="6"/>
  <c r="AN16" i="6"/>
  <c r="AN20" i="6"/>
  <c r="BE16" i="6"/>
  <c r="AX20" i="6"/>
  <c r="AS20" i="6"/>
  <c r="AZ16" i="6"/>
  <c r="AT16" i="6"/>
  <c r="BD20" i="6"/>
  <c r="BD16" i="6"/>
  <c r="AC20" i="6"/>
  <c r="AC16" i="6"/>
  <c r="AD20" i="6"/>
  <c r="AD16" i="6"/>
  <c r="AE20" i="6"/>
  <c r="AF16" i="6"/>
  <c r="AF20" i="6"/>
  <c r="AE16" i="6"/>
  <c r="AG16" i="6"/>
  <c r="AG20" i="6"/>
  <c r="AH16" i="6"/>
  <c r="AH20" i="6"/>
  <c r="AI16" i="6"/>
  <c r="AI20" i="6"/>
  <c r="AJ20" i="6"/>
  <c r="AJ16" i="6"/>
  <c r="AK20" i="6"/>
  <c r="AK16" i="6"/>
  <c r="AI14" i="6"/>
  <c r="BE14" i="6"/>
  <c r="AK14" i="6"/>
  <c r="AR14" i="6"/>
  <c r="AO14" i="6"/>
  <c r="AM14" i="6"/>
  <c r="BC14" i="6"/>
  <c r="D15" i="7"/>
  <c r="C16" i="7" s="1" a="1"/>
  <c r="C16" i="7" s="1"/>
  <c r="C17" i="7" s="1" a="1"/>
  <c r="C17" i="7" s="1"/>
  <c r="B15" i="9"/>
  <c r="B16" i="9" s="1"/>
  <c r="B17" i="9" s="1"/>
  <c r="B15" i="10"/>
  <c r="B16" i="10" s="1"/>
  <c r="B17" i="10" s="1"/>
  <c r="AQ14" i="6"/>
  <c r="AB14" i="6"/>
  <c r="AY14" i="6"/>
  <c r="AJ14" i="6"/>
  <c r="AN14" i="6"/>
  <c r="BB14" i="6"/>
  <c r="AG14" i="6"/>
  <c r="AS14" i="6"/>
  <c r="BD14" i="6"/>
  <c r="AE14" i="6"/>
  <c r="BF14" i="6"/>
  <c r="AX14" i="6"/>
  <c r="AZ14" i="6"/>
  <c r="AV14" i="6"/>
  <c r="AT14" i="6"/>
  <c r="AP14" i="6"/>
  <c r="BG14" i="6"/>
  <c r="AU14" i="6"/>
  <c r="AC14" i="6"/>
  <c r="AH14" i="6"/>
  <c r="AF14" i="6"/>
  <c r="BA14" i="6"/>
  <c r="AD14" i="6"/>
  <c r="B17" i="7" l="1"/>
  <c r="C18" i="7" a="1"/>
  <c r="C18" i="7" s="1"/>
  <c r="B18" i="9"/>
  <c r="B18" i="10"/>
  <c r="M21" i="6"/>
  <c r="AM19" i="6"/>
  <c r="AY19" i="6"/>
  <c r="AP19" i="6"/>
  <c r="BD19" i="6"/>
  <c r="BF19" i="6"/>
  <c r="AX19" i="6"/>
  <c r="AV19" i="6"/>
  <c r="BG19" i="6"/>
  <c r="BB19" i="6"/>
  <c r="BA19" i="6"/>
  <c r="AO19" i="6"/>
  <c r="BE19" i="6"/>
  <c r="AT19" i="6"/>
  <c r="AS19" i="6"/>
  <c r="AQ19" i="6"/>
  <c r="AN19" i="6"/>
  <c r="AR19" i="6"/>
  <c r="AU19" i="6"/>
  <c r="AZ19" i="6"/>
  <c r="BC19" i="6"/>
  <c r="AC19" i="6"/>
  <c r="AD19" i="6"/>
  <c r="AF19" i="6"/>
  <c r="AE19" i="6"/>
  <c r="AG19" i="6"/>
  <c r="AH19" i="6"/>
  <c r="AI19" i="6"/>
  <c r="AJ19" i="6"/>
  <c r="AK19" i="6"/>
  <c r="BD18" i="6"/>
  <c r="BE18" i="6"/>
  <c r="AY18" i="6"/>
  <c r="AO18" i="6"/>
  <c r="AQ18" i="6"/>
  <c r="AU18" i="6"/>
  <c r="BA18" i="6"/>
  <c r="BB18" i="6"/>
  <c r="AV18" i="6"/>
  <c r="AX18" i="6"/>
  <c r="AN18" i="6"/>
  <c r="AR18" i="6"/>
  <c r="BC18" i="6"/>
  <c r="BG18" i="6"/>
  <c r="BF18" i="6"/>
  <c r="AM18" i="6"/>
  <c r="AT18" i="6"/>
  <c r="AP18" i="6"/>
  <c r="AZ18" i="6"/>
  <c r="AS18" i="6"/>
  <c r="AC18" i="6"/>
  <c r="AD18" i="6"/>
  <c r="AF18" i="6"/>
  <c r="AE18" i="6"/>
  <c r="AG18" i="6"/>
  <c r="AH18" i="6"/>
  <c r="AI18" i="6"/>
  <c r="AJ18" i="6"/>
  <c r="AK18" i="6"/>
  <c r="M29" i="6"/>
  <c r="AS29" i="6" s="1"/>
  <c r="B16" i="7"/>
  <c r="X14" i="5"/>
  <c r="B15" i="7"/>
  <c r="C15" i="9"/>
  <c r="F15" i="9" s="1"/>
  <c r="C15" i="10"/>
  <c r="A15" i="7"/>
  <c r="B19" i="9" l="1"/>
  <c r="B19" i="10"/>
  <c r="B18" i="7"/>
  <c r="C19" i="7" a="1"/>
  <c r="C19" i="7" s="1"/>
  <c r="M27" i="6"/>
  <c r="AX21" i="6"/>
  <c r="AG21" i="6"/>
  <c r="AM21" i="6"/>
  <c r="AN21" i="6"/>
  <c r="BC21" i="6"/>
  <c r="AH21" i="6"/>
  <c r="AQ21" i="6"/>
  <c r="M26" i="6"/>
  <c r="BC26" i="6" s="1"/>
  <c r="M22" i="6"/>
  <c r="M28" i="6"/>
  <c r="AX28" i="6" s="1"/>
  <c r="M23" i="6"/>
  <c r="AT23" i="6" s="1"/>
  <c r="AP21" i="6"/>
  <c r="AO21" i="6"/>
  <c r="AK21" i="6"/>
  <c r="AU21" i="6"/>
  <c r="AZ21" i="6"/>
  <c r="M25" i="6"/>
  <c r="AP25" i="6" s="1"/>
  <c r="AI21" i="6"/>
  <c r="M24" i="6"/>
  <c r="AZ24" i="6" s="1"/>
  <c r="AV21" i="6"/>
  <c r="BE21" i="6"/>
  <c r="BF21" i="6"/>
  <c r="AD21" i="6"/>
  <c r="AJ21" i="6"/>
  <c r="AT21" i="6"/>
  <c r="AS21" i="6"/>
  <c r="AC21" i="6"/>
  <c r="BG21" i="6"/>
  <c r="AY21" i="6"/>
  <c r="BD21" i="6"/>
  <c r="AE21" i="6"/>
  <c r="BA21" i="6"/>
  <c r="BB21" i="6"/>
  <c r="AF21" i="6"/>
  <c r="AR21" i="6"/>
  <c r="M30" i="6"/>
  <c r="AK29" i="6"/>
  <c r="AN29" i="6"/>
  <c r="AV29" i="6"/>
  <c r="AJ29" i="6"/>
  <c r="AR29" i="6"/>
  <c r="AP29" i="6"/>
  <c r="AI29" i="6"/>
  <c r="AY29" i="6"/>
  <c r="BE29" i="6"/>
  <c r="AX29" i="6"/>
  <c r="AG29" i="6"/>
  <c r="AM29" i="6"/>
  <c r="BB29" i="6"/>
  <c r="AO29" i="6"/>
  <c r="AE29" i="6"/>
  <c r="BA29" i="6"/>
  <c r="BD29" i="6"/>
  <c r="AH29" i="6"/>
  <c r="AF29" i="6"/>
  <c r="BG29" i="6"/>
  <c r="AB29" i="6"/>
  <c r="AU29" i="6"/>
  <c r="AD29" i="6"/>
  <c r="BC29" i="6"/>
  <c r="AQ29" i="6"/>
  <c r="AT29" i="6"/>
  <c r="AC29" i="6"/>
  <c r="AZ29" i="6"/>
  <c r="BF29" i="6"/>
  <c r="I14" i="12"/>
  <c r="I14" i="5"/>
  <c r="Z14" i="5"/>
  <c r="L14" i="5"/>
  <c r="AM14" i="5"/>
  <c r="C20" i="7" l="1" a="1"/>
  <c r="C20" i="7" s="1"/>
  <c r="B19" i="7"/>
  <c r="B20" i="10"/>
  <c r="B20" i="9"/>
  <c r="BC22" i="6"/>
  <c r="AE25" i="6"/>
  <c r="BA28" i="6"/>
  <c r="BD28" i="6"/>
  <c r="AZ25" i="6"/>
  <c r="BD25" i="6"/>
  <c r="AM25" i="6"/>
  <c r="AX26" i="6"/>
  <c r="AO22" i="6"/>
  <c r="AH28" i="6"/>
  <c r="AR28" i="6"/>
  <c r="BG28" i="6"/>
  <c r="AT26" i="6"/>
  <c r="BB25" i="6"/>
  <c r="BD23" i="6"/>
  <c r="BC25" i="6"/>
  <c r="AO23" i="6"/>
  <c r="AU25" i="6"/>
  <c r="AD23" i="6"/>
  <c r="AK25" i="6"/>
  <c r="AY25" i="6"/>
  <c r="AR26" i="6"/>
  <c r="BB28" i="6"/>
  <c r="AF25" i="6"/>
  <c r="AO24" i="6"/>
  <c r="AJ25" i="6"/>
  <c r="BB24" i="6"/>
  <c r="BA23" i="6"/>
  <c r="BC28" i="6"/>
  <c r="AS25" i="6"/>
  <c r="AI24" i="6"/>
  <c r="AY24" i="6"/>
  <c r="AY26" i="6"/>
  <c r="AP24" i="6"/>
  <c r="BD26" i="6"/>
  <c r="AR25" i="6"/>
  <c r="AG24" i="6"/>
  <c r="BB26" i="6"/>
  <c r="AE23" i="6"/>
  <c r="AY28" i="6"/>
  <c r="BF25" i="6"/>
  <c r="AD25" i="6"/>
  <c r="AJ24" i="6"/>
  <c r="AH24" i="6"/>
  <c r="AI26" i="6"/>
  <c r="AC25" i="6"/>
  <c r="BA25" i="6"/>
  <c r="AT24" i="6"/>
  <c r="BA24" i="6"/>
  <c r="AK26" i="6"/>
  <c r="AN25" i="6"/>
  <c r="AV23" i="6"/>
  <c r="AZ22" i="6"/>
  <c r="AY23" i="6"/>
  <c r="AH22" i="6"/>
  <c r="AX25" i="6"/>
  <c r="BE25" i="6"/>
  <c r="AF24" i="6"/>
  <c r="BD24" i="6"/>
  <c r="AS26" i="6"/>
  <c r="AM26" i="6"/>
  <c r="AC23" i="6"/>
  <c r="AZ28" i="6"/>
  <c r="AT25" i="6"/>
  <c r="AH25" i="6"/>
  <c r="AF26" i="6"/>
  <c r="AN23" i="6"/>
  <c r="AG25" i="6"/>
  <c r="BG25" i="6"/>
  <c r="AC24" i="6"/>
  <c r="AP26" i="6"/>
  <c r="AF23" i="6"/>
  <c r="AG28" i="6"/>
  <c r="AR23" i="6"/>
  <c r="AF22" i="6"/>
  <c r="AS23" i="6"/>
  <c r="AX23" i="6"/>
  <c r="AH23" i="6"/>
  <c r="AI25" i="6"/>
  <c r="AQ25" i="6"/>
  <c r="AV25" i="6"/>
  <c r="AQ22" i="6"/>
  <c r="AT22" i="6"/>
  <c r="BG23" i="6"/>
  <c r="BF28" i="6"/>
  <c r="AD26" i="6"/>
  <c r="AN24" i="6"/>
  <c r="AG23" i="6"/>
  <c r="BF23" i="6"/>
  <c r="AJ23" i="6"/>
  <c r="AK23" i="6"/>
  <c r="AV24" i="6"/>
  <c r="AG26" i="6"/>
  <c r="AU26" i="6"/>
  <c r="AZ23" i="6"/>
  <c r="AQ23" i="6"/>
  <c r="AI23" i="6"/>
  <c r="BD22" i="6"/>
  <c r="AX22" i="6"/>
  <c r="AK22" i="6"/>
  <c r="AP22" i="6"/>
  <c r="AJ26" i="6"/>
  <c r="AH26" i="6"/>
  <c r="AE28" i="6"/>
  <c r="AS22" i="6"/>
  <c r="AD22" i="6"/>
  <c r="AN22" i="6"/>
  <c r="AG22" i="6"/>
  <c r="AE22" i="6"/>
  <c r="BF22" i="6"/>
  <c r="BE22" i="6"/>
  <c r="AU22" i="6"/>
  <c r="AC22" i="6"/>
  <c r="BG24" i="6"/>
  <c r="AT28" i="6"/>
  <c r="AS28" i="6"/>
  <c r="AV28" i="6"/>
  <c r="BE28" i="6"/>
  <c r="AK28" i="6"/>
  <c r="BC24" i="6"/>
  <c r="AK24" i="6"/>
  <c r="AZ26" i="6"/>
  <c r="BE26" i="6"/>
  <c r="AM23" i="6"/>
  <c r="AP23" i="6"/>
  <c r="AJ28" i="6"/>
  <c r="AO28" i="6"/>
  <c r="AF28" i="6"/>
  <c r="AQ28" i="6"/>
  <c r="AN28" i="6"/>
  <c r="AQ24" i="6"/>
  <c r="AV22" i="6"/>
  <c r="AR22" i="6"/>
  <c r="AR24" i="6"/>
  <c r="BA26" i="6"/>
  <c r="BF26" i="6"/>
  <c r="AV26" i="6"/>
  <c r="BB23" i="6"/>
  <c r="BE23" i="6"/>
  <c r="AO25" i="6"/>
  <c r="BA22" i="6"/>
  <c r="AS24" i="6"/>
  <c r="AU24" i="6"/>
  <c r="AJ22" i="6"/>
  <c r="AY22" i="6"/>
  <c r="AQ26" i="6"/>
  <c r="BG22" i="6"/>
  <c r="BC23" i="6"/>
  <c r="AU23" i="6"/>
  <c r="AE24" i="6"/>
  <c r="BB22" i="6"/>
  <c r="AM22" i="6"/>
  <c r="BF24" i="6"/>
  <c r="AM24" i="6"/>
  <c r="AC26" i="6"/>
  <c r="AN26" i="6"/>
  <c r="AI28" i="6"/>
  <c r="AP28" i="6"/>
  <c r="AU28" i="6"/>
  <c r="AD28" i="6"/>
  <c r="AM28" i="6"/>
  <c r="AD24" i="6"/>
  <c r="BE24" i="6"/>
  <c r="AX24" i="6"/>
  <c r="AI22" i="6"/>
  <c r="AO26" i="6"/>
  <c r="AE26" i="6"/>
  <c r="BG26" i="6"/>
  <c r="AC28" i="6"/>
  <c r="AM27" i="6"/>
  <c r="AR27" i="6"/>
  <c r="AC27" i="6"/>
  <c r="BG27" i="6"/>
  <c r="AP27" i="6"/>
  <c r="AE27" i="6"/>
  <c r="AT27" i="6"/>
  <c r="AO27" i="6"/>
  <c r="AF27" i="6"/>
  <c r="AV27" i="6"/>
  <c r="AQ27" i="6"/>
  <c r="AG27" i="6"/>
  <c r="BF27" i="6"/>
  <c r="AS27" i="6"/>
  <c r="AJ27" i="6"/>
  <c r="AY27" i="6"/>
  <c r="AX27" i="6"/>
  <c r="AZ27" i="6"/>
  <c r="AI27" i="6"/>
  <c r="BA27" i="6"/>
  <c r="AH27" i="6"/>
  <c r="BC27" i="6"/>
  <c r="AD27" i="6"/>
  <c r="BE27" i="6"/>
  <c r="BD27" i="6"/>
  <c r="AN27" i="6"/>
  <c r="AK27" i="6"/>
  <c r="AU27" i="6"/>
  <c r="BB27" i="6"/>
  <c r="AX30" i="6"/>
  <c r="AF30" i="6"/>
  <c r="AP30" i="6"/>
  <c r="BG30" i="6"/>
  <c r="AE30" i="6"/>
  <c r="BD30" i="6"/>
  <c r="AS30" i="6"/>
  <c r="AG30" i="6"/>
  <c r="BA30" i="6"/>
  <c r="AO30" i="6"/>
  <c r="AH30" i="6"/>
  <c r="AZ30" i="6"/>
  <c r="BE30" i="6"/>
  <c r="AI30" i="6"/>
  <c r="AR30" i="6"/>
  <c r="AU30" i="6"/>
  <c r="AJ30" i="6"/>
  <c r="BF30" i="6"/>
  <c r="AY30" i="6"/>
  <c r="BC30" i="6"/>
  <c r="AK30" i="6"/>
  <c r="AN30" i="6"/>
  <c r="AQ30" i="6"/>
  <c r="AB30" i="6"/>
  <c r="BB30" i="6"/>
  <c r="AV30" i="6"/>
  <c r="AT30" i="6"/>
  <c r="AC30" i="6"/>
  <c r="AM30" i="6"/>
  <c r="AD30" i="6"/>
  <c r="O14" i="5"/>
  <c r="C14" i="6"/>
  <c r="AB14" i="5"/>
  <c r="AA14" i="5"/>
  <c r="C14" i="12"/>
  <c r="O14" i="12"/>
  <c r="AO14" i="12"/>
  <c r="M14" i="12"/>
  <c r="B20" i="7" l="1"/>
  <c r="C21" i="7" a="1"/>
  <c r="C21" i="7" s="1"/>
  <c r="B21" i="9"/>
  <c r="B21" i="10"/>
  <c r="M47" i="6"/>
  <c r="M31" i="6"/>
  <c r="N14" i="12"/>
  <c r="Y14" i="12"/>
  <c r="E14" i="6"/>
  <c r="D14" i="12"/>
  <c r="B22" i="9" l="1"/>
  <c r="B23" i="9" s="1"/>
  <c r="B24" i="9" s="1"/>
  <c r="B25" i="9" s="1"/>
  <c r="B26" i="9" s="1"/>
  <c r="B21" i="7"/>
  <c r="C22" i="7" a="1"/>
  <c r="C22" i="7" s="1"/>
  <c r="B22" i="10"/>
  <c r="B23" i="10" s="1"/>
  <c r="B24" i="10" s="1"/>
  <c r="B25" i="10" s="1"/>
  <c r="B26" i="10" s="1"/>
  <c r="BD31" i="6"/>
  <c r="M36" i="6"/>
  <c r="M32" i="6"/>
  <c r="BG32" i="6" s="1"/>
  <c r="M33" i="6"/>
  <c r="AU33" i="6" s="1"/>
  <c r="BC47" i="6"/>
  <c r="AY47" i="6"/>
  <c r="AT47" i="6"/>
  <c r="AP47" i="6"/>
  <c r="AX47" i="6"/>
  <c r="AC47" i="6"/>
  <c r="BB47" i="6"/>
  <c r="BF47" i="6"/>
  <c r="AZ47" i="6"/>
  <c r="AO47" i="6"/>
  <c r="BE47" i="6"/>
  <c r="AV47" i="6"/>
  <c r="AR47" i="6"/>
  <c r="BA47" i="6"/>
  <c r="AN47" i="6"/>
  <c r="AS47" i="6"/>
  <c r="BD47" i="6"/>
  <c r="AU47" i="6"/>
  <c r="AQ47" i="6"/>
  <c r="AM47" i="6"/>
  <c r="BG47" i="6"/>
  <c r="AB47" i="6"/>
  <c r="AD47" i="6"/>
  <c r="AF47" i="6"/>
  <c r="AH47" i="6"/>
  <c r="AG47" i="6"/>
  <c r="AE47" i="6"/>
  <c r="AI47" i="6"/>
  <c r="AK47" i="6"/>
  <c r="AJ47" i="6"/>
  <c r="I29" i="5"/>
  <c r="I30" i="5" s="1"/>
  <c r="AD31" i="6"/>
  <c r="AH31" i="6"/>
  <c r="AU31" i="6"/>
  <c r="BF31" i="6"/>
  <c r="AE31" i="6"/>
  <c r="AY31" i="6"/>
  <c r="AR31" i="6"/>
  <c r="AO31" i="6"/>
  <c r="AM31" i="6"/>
  <c r="BG31" i="6"/>
  <c r="AV31" i="6"/>
  <c r="AP31" i="6"/>
  <c r="AZ31" i="6"/>
  <c r="BB31" i="6"/>
  <c r="AG31" i="6"/>
  <c r="AJ31" i="6"/>
  <c r="AC31" i="6"/>
  <c r="AQ31" i="6"/>
  <c r="BE31" i="6"/>
  <c r="AI31" i="6"/>
  <c r="AN31" i="6"/>
  <c r="BC31" i="6"/>
  <c r="AK31" i="6"/>
  <c r="AF31" i="6"/>
  <c r="BA31" i="6"/>
  <c r="AX31" i="6"/>
  <c r="AT31" i="6"/>
  <c r="AS31" i="6"/>
  <c r="M34" i="6"/>
  <c r="BE34" i="6" s="1"/>
  <c r="M42" i="6"/>
  <c r="M37" i="6"/>
  <c r="X14" i="12"/>
  <c r="W14" i="12"/>
  <c r="C23" i="7" l="1" a="1"/>
  <c r="C23" i="7" s="1"/>
  <c r="B22" i="7"/>
  <c r="AO36" i="6"/>
  <c r="AR36" i="6"/>
  <c r="AN36" i="6"/>
  <c r="BE36" i="6"/>
  <c r="BA36" i="6"/>
  <c r="BD36" i="6"/>
  <c r="AZ36" i="6"/>
  <c r="BG36" i="6"/>
  <c r="BC36" i="6"/>
  <c r="AU36" i="6"/>
  <c r="AQ36" i="6"/>
  <c r="AM36" i="6"/>
  <c r="AT36" i="6"/>
  <c r="AX36" i="6"/>
  <c r="AP36" i="6"/>
  <c r="AY36" i="6"/>
  <c r="BF36" i="6"/>
  <c r="AS36" i="6"/>
  <c r="BB36" i="6"/>
  <c r="AV36" i="6"/>
  <c r="AI36" i="6"/>
  <c r="AC36" i="6"/>
  <c r="AF36" i="6"/>
  <c r="AD36" i="6"/>
  <c r="AG36" i="6"/>
  <c r="AH36" i="6"/>
  <c r="AE36" i="6"/>
  <c r="AJ36" i="6"/>
  <c r="AK36" i="6"/>
  <c r="AT32" i="6"/>
  <c r="AU32" i="6"/>
  <c r="AH32" i="6"/>
  <c r="BG33" i="6"/>
  <c r="AZ33" i="6"/>
  <c r="BD33" i="6"/>
  <c r="AJ33" i="6"/>
  <c r="AG32" i="6"/>
  <c r="AS32" i="6"/>
  <c r="AR33" i="6"/>
  <c r="AO32" i="6"/>
  <c r="AM33" i="6"/>
  <c r="AP32" i="6"/>
  <c r="AG33" i="6"/>
  <c r="AM32" i="6"/>
  <c r="AJ32" i="6"/>
  <c r="BE33" i="6"/>
  <c r="AD33" i="6"/>
  <c r="AT33" i="6"/>
  <c r="AY33" i="6"/>
  <c r="AF33" i="6"/>
  <c r="AE33" i="6"/>
  <c r="AC33" i="6"/>
  <c r="AC32" i="6"/>
  <c r="AI32" i="6"/>
  <c r="BA32" i="6"/>
  <c r="AQ32" i="6"/>
  <c r="AK32" i="6"/>
  <c r="BD32" i="6"/>
  <c r="BC33" i="6"/>
  <c r="BB33" i="6"/>
  <c r="AP33" i="6"/>
  <c r="AV33" i="6"/>
  <c r="AI33" i="6"/>
  <c r="AS33" i="6"/>
  <c r="AK33" i="6"/>
  <c r="BA33" i="6"/>
  <c r="AO33" i="6"/>
  <c r="AN33" i="6"/>
  <c r="AH33" i="6"/>
  <c r="AQ33" i="6"/>
  <c r="BF33" i="6"/>
  <c r="AX33" i="6"/>
  <c r="BF32" i="6"/>
  <c r="BE32" i="6"/>
  <c r="AZ32" i="6"/>
  <c r="AE32" i="6"/>
  <c r="BC32" i="6"/>
  <c r="AF32" i="6"/>
  <c r="AR32" i="6"/>
  <c r="BB32" i="6"/>
  <c r="AN32" i="6"/>
  <c r="AX32" i="6"/>
  <c r="AY32" i="6"/>
  <c r="AV32" i="6"/>
  <c r="AD32" i="6"/>
  <c r="AJ34" i="6"/>
  <c r="BF34" i="6"/>
  <c r="AC34" i="6"/>
  <c r="AM34" i="6"/>
  <c r="AR34" i="6"/>
  <c r="AV34" i="6"/>
  <c r="M52" i="6"/>
  <c r="M35" i="6"/>
  <c r="AR42" i="6"/>
  <c r="AY42" i="6"/>
  <c r="AU42" i="6"/>
  <c r="AK42" i="6"/>
  <c r="AG42" i="6"/>
  <c r="BE42" i="6"/>
  <c r="AV42" i="6"/>
  <c r="BB42" i="6"/>
  <c r="BF42" i="6"/>
  <c r="AB42" i="6"/>
  <c r="BD42" i="6"/>
  <c r="AN42" i="6"/>
  <c r="AM42" i="6"/>
  <c r="AX42" i="6"/>
  <c r="AP42" i="6"/>
  <c r="AH42" i="6"/>
  <c r="AI42" i="6"/>
  <c r="AD42" i="6"/>
  <c r="AO42" i="6"/>
  <c r="AJ42" i="6"/>
  <c r="BA42" i="6"/>
  <c r="AT42" i="6"/>
  <c r="AZ42" i="6"/>
  <c r="AE42" i="6"/>
  <c r="BG42" i="6"/>
  <c r="AC42" i="6"/>
  <c r="AS42" i="6"/>
  <c r="BC42" i="6"/>
  <c r="AF42" i="6"/>
  <c r="AQ42" i="6"/>
  <c r="AC37" i="6"/>
  <c r="AF37" i="6"/>
  <c r="AI37" i="6"/>
  <c r="AM37" i="6"/>
  <c r="BC37" i="6"/>
  <c r="AY37" i="6"/>
  <c r="BG37" i="6"/>
  <c r="AE37" i="6"/>
  <c r="AO37" i="6"/>
  <c r="AK37" i="6"/>
  <c r="BA37" i="6"/>
  <c r="AJ37" i="6"/>
  <c r="BB37" i="6"/>
  <c r="AV37" i="6"/>
  <c r="AB37" i="6"/>
  <c r="AG37" i="6"/>
  <c r="AX37" i="6"/>
  <c r="AR37" i="6"/>
  <c r="AD37" i="6"/>
  <c r="AH37" i="6"/>
  <c r="BE37" i="6"/>
  <c r="AZ37" i="6"/>
  <c r="AQ37" i="6"/>
  <c r="BD37" i="6"/>
  <c r="AN37" i="6"/>
  <c r="AU37" i="6"/>
  <c r="AT37" i="6"/>
  <c r="AS37" i="6"/>
  <c r="BF37" i="6"/>
  <c r="AP37" i="6"/>
  <c r="BC34" i="6"/>
  <c r="AN34" i="6"/>
  <c r="BA34" i="6"/>
  <c r="BG34" i="6"/>
  <c r="AI34" i="6"/>
  <c r="AU34" i="6"/>
  <c r="AQ34" i="6"/>
  <c r="AY34" i="6"/>
  <c r="AG34" i="6"/>
  <c r="AX34" i="6"/>
  <c r="AF34" i="6"/>
  <c r="AP34" i="6"/>
  <c r="AO34" i="6"/>
  <c r="AS34" i="6"/>
  <c r="BD34" i="6"/>
  <c r="AZ34" i="6"/>
  <c r="AD34" i="6"/>
  <c r="AT34" i="6"/>
  <c r="BB34" i="6"/>
  <c r="AE34" i="6"/>
  <c r="AK34" i="6"/>
  <c r="AH34" i="6"/>
  <c r="B27" i="9"/>
  <c r="B27" i="10"/>
  <c r="T14" i="12"/>
  <c r="U14" i="12"/>
  <c r="V14" i="12"/>
  <c r="C24" i="7" l="1" a="1"/>
  <c r="C24" i="7" s="1"/>
  <c r="B23" i="7"/>
  <c r="M38" i="6"/>
  <c r="AF35" i="6"/>
  <c r="AS52" i="6"/>
  <c r="AH52" i="6"/>
  <c r="AX52" i="6"/>
  <c r="AC52" i="6"/>
  <c r="AO52" i="6"/>
  <c r="BF52" i="6"/>
  <c r="AP52" i="6"/>
  <c r="AI52" i="6"/>
  <c r="AF52" i="6"/>
  <c r="AZ52" i="6"/>
  <c r="AJ52" i="6"/>
  <c r="AT52" i="6"/>
  <c r="AU52" i="6"/>
  <c r="BG52" i="6"/>
  <c r="BB52" i="6"/>
  <c r="AM52" i="6"/>
  <c r="BE52" i="6"/>
  <c r="AV52" i="6"/>
  <c r="BC52" i="6"/>
  <c r="AG52" i="6"/>
  <c r="AD52" i="6"/>
  <c r="BA52" i="6"/>
  <c r="BD52" i="6"/>
  <c r="AK52" i="6"/>
  <c r="AR52" i="6"/>
  <c r="AN52" i="6"/>
  <c r="AQ52" i="6"/>
  <c r="AB52" i="6"/>
  <c r="AY52" i="6"/>
  <c r="AE52" i="6"/>
  <c r="AH35" i="6"/>
  <c r="AN35" i="6"/>
  <c r="AD35" i="6"/>
  <c r="AU35" i="6"/>
  <c r="BC35" i="6"/>
  <c r="AM35" i="6"/>
  <c r="BF35" i="6"/>
  <c r="AY35" i="6"/>
  <c r="AK35" i="6"/>
  <c r="BB35" i="6"/>
  <c r="AR35" i="6"/>
  <c r="AO35" i="6"/>
  <c r="AJ35" i="6"/>
  <c r="AV35" i="6"/>
  <c r="AZ35" i="6"/>
  <c r="AE35" i="6"/>
  <c r="BE35" i="6"/>
  <c r="AC35" i="6"/>
  <c r="BA35" i="6"/>
  <c r="AS35" i="6"/>
  <c r="AQ35" i="6"/>
  <c r="AG35" i="6"/>
  <c r="AT35" i="6"/>
  <c r="AP35" i="6"/>
  <c r="AI35" i="6"/>
  <c r="BG35" i="6"/>
  <c r="BD35" i="6"/>
  <c r="AX35" i="6"/>
  <c r="B28" i="9"/>
  <c r="B28" i="10"/>
  <c r="D21" i="2"/>
  <c r="B24" i="7" l="1"/>
  <c r="C25" i="7" a="1"/>
  <c r="C25" i="7" s="1"/>
  <c r="AJ38" i="6"/>
  <c r="BA38" i="6"/>
  <c r="AF38" i="6"/>
  <c r="AN38" i="6"/>
  <c r="AS38" i="6"/>
  <c r="AK38" i="6"/>
  <c r="BG38" i="6"/>
  <c r="BF38" i="6"/>
  <c r="AH38" i="6"/>
  <c r="AP38" i="6"/>
  <c r="AU38" i="6"/>
  <c r="AD38" i="6"/>
  <c r="AV38" i="6"/>
  <c r="BD38" i="6"/>
  <c r="AT38" i="6"/>
  <c r="BE38" i="6"/>
  <c r="AI38" i="6"/>
  <c r="AM38" i="6"/>
  <c r="AG38" i="6"/>
  <c r="BC38" i="6"/>
  <c r="AO38" i="6"/>
  <c r="AQ38" i="6"/>
  <c r="AZ38" i="6"/>
  <c r="AE38" i="6"/>
  <c r="AY38" i="6"/>
  <c r="AC38" i="6"/>
  <c r="M39" i="6"/>
  <c r="AR38" i="6"/>
  <c r="AX38" i="6"/>
  <c r="M40" i="6"/>
  <c r="AR40" i="6" s="1"/>
  <c r="BB38" i="6"/>
  <c r="M41" i="6"/>
  <c r="AF41" i="6" s="1"/>
  <c r="B29" i="9"/>
  <c r="B29" i="10"/>
  <c r="I15" i="12"/>
  <c r="M15" i="12"/>
  <c r="J15" i="12" s="1"/>
  <c r="O15" i="12"/>
  <c r="B25" i="7" l="1"/>
  <c r="C26" i="7" a="1"/>
  <c r="C26" i="7" s="1"/>
  <c r="BA39" i="6"/>
  <c r="AD41" i="6"/>
  <c r="BD41" i="6"/>
  <c r="BB41" i="6"/>
  <c r="AS40" i="6"/>
  <c r="AG40" i="6"/>
  <c r="BA41" i="6"/>
  <c r="AN41" i="6"/>
  <c r="BA40" i="6"/>
  <c r="AT41" i="6"/>
  <c r="BF40" i="6"/>
  <c r="BC40" i="6"/>
  <c r="AH41" i="6"/>
  <c r="BB40" i="6"/>
  <c r="AZ41" i="6"/>
  <c r="AJ40" i="6"/>
  <c r="AT40" i="6"/>
  <c r="AS41" i="6"/>
  <c r="BG40" i="6"/>
  <c r="M43" i="6"/>
  <c r="AG41" i="6"/>
  <c r="AX39" i="6"/>
  <c r="AI39" i="6"/>
  <c r="BE41" i="6"/>
  <c r="AC40" i="6"/>
  <c r="BG41" i="6"/>
  <c r="AH40" i="6"/>
  <c r="BG39" i="6"/>
  <c r="AR41" i="6"/>
  <c r="AQ41" i="6"/>
  <c r="AR39" i="6"/>
  <c r="AP40" i="6"/>
  <c r="BE39" i="6"/>
  <c r="AJ41" i="6"/>
  <c r="AX41" i="6"/>
  <c r="AQ40" i="6"/>
  <c r="AK40" i="6"/>
  <c r="AC41" i="6"/>
  <c r="AU41" i="6"/>
  <c r="AZ40" i="6"/>
  <c r="BF41" i="6"/>
  <c r="AE41" i="6"/>
  <c r="AE40" i="6"/>
  <c r="AM41" i="6"/>
  <c r="AO41" i="6"/>
  <c r="AU40" i="6"/>
  <c r="AS39" i="6"/>
  <c r="AM39" i="6"/>
  <c r="BB39" i="6"/>
  <c r="BC39" i="6"/>
  <c r="AH39" i="6"/>
  <c r="BC41" i="6"/>
  <c r="BD39" i="6"/>
  <c r="AP39" i="6"/>
  <c r="AI40" i="6"/>
  <c r="AT39" i="6"/>
  <c r="BF39" i="6"/>
  <c r="AO39" i="6"/>
  <c r="AY41" i="6"/>
  <c r="AK41" i="6"/>
  <c r="AC39" i="6"/>
  <c r="AZ39" i="6"/>
  <c r="AK39" i="6"/>
  <c r="AF39" i="6"/>
  <c r="AV39" i="6"/>
  <c r="AG39" i="6"/>
  <c r="AM40" i="6"/>
  <c r="AN40" i="6"/>
  <c r="AX40" i="6"/>
  <c r="AF40" i="6"/>
  <c r="AD40" i="6"/>
  <c r="AV40" i="6"/>
  <c r="AY40" i="6"/>
  <c r="AO40" i="6"/>
  <c r="AE39" i="6"/>
  <c r="AP41" i="6"/>
  <c r="AV41" i="6"/>
  <c r="AU39" i="6"/>
  <c r="AQ39" i="6"/>
  <c r="AJ39" i="6"/>
  <c r="BD40" i="6"/>
  <c r="AI41" i="6"/>
  <c r="AD39" i="6"/>
  <c r="AY39" i="6"/>
  <c r="AN39" i="6"/>
  <c r="BE40" i="6"/>
  <c r="B30" i="9"/>
  <c r="B30" i="10"/>
  <c r="L15" i="12"/>
  <c r="K15" i="12" s="1"/>
  <c r="N15" i="12"/>
  <c r="F10" i="12" s="1"/>
  <c r="P10" i="12"/>
  <c r="O10" i="12" s="1"/>
  <c r="AJ43" i="6" l="1"/>
  <c r="C27" i="7" a="1"/>
  <c r="C27" i="7" s="1"/>
  <c r="B26" i="7"/>
  <c r="M44" i="6"/>
  <c r="M46" i="6"/>
  <c r="AQ46" i="6" s="1"/>
  <c r="AT43" i="6"/>
  <c r="BE43" i="6"/>
  <c r="AO43" i="6"/>
  <c r="AH43" i="6"/>
  <c r="M45" i="6"/>
  <c r="AX45" i="6" s="1"/>
  <c r="BC43" i="6"/>
  <c r="AU43" i="6"/>
  <c r="BD43" i="6"/>
  <c r="AF43" i="6"/>
  <c r="BF43" i="6"/>
  <c r="AK43" i="6"/>
  <c r="AC43" i="6"/>
  <c r="AE43" i="6"/>
  <c r="AS43" i="6"/>
  <c r="AV43" i="6"/>
  <c r="BB43" i="6"/>
  <c r="AI43" i="6"/>
  <c r="AY43" i="6"/>
  <c r="AG43" i="6"/>
  <c r="AP43" i="6"/>
  <c r="AM43" i="6"/>
  <c r="AR43" i="6"/>
  <c r="BG43" i="6"/>
  <c r="AZ43" i="6"/>
  <c r="AN43" i="6"/>
  <c r="AD43" i="6"/>
  <c r="AX43" i="6"/>
  <c r="AQ43" i="6"/>
  <c r="BA43" i="6"/>
  <c r="B31" i="10"/>
  <c r="B31" i="9"/>
  <c r="B27" i="7" l="1"/>
  <c r="C28" i="7" a="1"/>
  <c r="C28" i="7" s="1"/>
  <c r="BE44" i="6"/>
  <c r="AR44" i="6"/>
  <c r="AI44" i="6"/>
  <c r="BE46" i="6"/>
  <c r="AJ44" i="6"/>
  <c r="AU46" i="6"/>
  <c r="AM44" i="6"/>
  <c r="AU44" i="6"/>
  <c r="AZ46" i="6"/>
  <c r="AP46" i="6"/>
  <c r="AI46" i="6"/>
  <c r="AY46" i="6"/>
  <c r="AJ46" i="6"/>
  <c r="AF44" i="6"/>
  <c r="AX46" i="6"/>
  <c r="AK44" i="6"/>
  <c r="AN46" i="6"/>
  <c r="AE46" i="6"/>
  <c r="AK46" i="6"/>
  <c r="AR46" i="6"/>
  <c r="AO46" i="6"/>
  <c r="AZ44" i="6"/>
  <c r="AO44" i="6"/>
  <c r="AY44" i="6"/>
  <c r="BB44" i="6"/>
  <c r="AP44" i="6"/>
  <c r="AG44" i="6"/>
  <c r="AE44" i="6"/>
  <c r="AD46" i="6"/>
  <c r="BB46" i="6"/>
  <c r="AT44" i="6"/>
  <c r="AV44" i="6"/>
  <c r="BC44" i="6"/>
  <c r="AT46" i="6"/>
  <c r="BC46" i="6"/>
  <c r="AH44" i="6"/>
  <c r="BD44" i="6"/>
  <c r="BG46" i="6"/>
  <c r="AG46" i="6"/>
  <c r="BF44" i="6"/>
  <c r="AN44" i="6"/>
  <c r="AV46" i="6"/>
  <c r="AM46" i="6"/>
  <c r="AC44" i="6"/>
  <c r="BA44" i="6"/>
  <c r="BF46" i="6"/>
  <c r="AH46" i="6"/>
  <c r="AQ44" i="6"/>
  <c r="AS44" i="6"/>
  <c r="AX44" i="6"/>
  <c r="BG44" i="6"/>
  <c r="AC46" i="6"/>
  <c r="BA46" i="6"/>
  <c r="AD44" i="6"/>
  <c r="AF46" i="6"/>
  <c r="BD46" i="6"/>
  <c r="AS46" i="6"/>
  <c r="AO45" i="6"/>
  <c r="AG45" i="6"/>
  <c r="AY45" i="6"/>
  <c r="AJ45" i="6"/>
  <c r="BC45" i="6"/>
  <c r="AR45" i="6"/>
  <c r="AZ45" i="6"/>
  <c r="AQ45" i="6"/>
  <c r="AN45" i="6"/>
  <c r="AE45" i="6"/>
  <c r="AM45" i="6"/>
  <c r="AK45" i="6"/>
  <c r="AU45" i="6"/>
  <c r="BE45" i="6"/>
  <c r="BF45" i="6"/>
  <c r="AP45" i="6"/>
  <c r="AH45" i="6"/>
  <c r="AT45" i="6"/>
  <c r="AD45" i="6"/>
  <c r="AF45" i="6"/>
  <c r="BA45" i="6"/>
  <c r="BB45" i="6"/>
  <c r="AS45" i="6"/>
  <c r="AC45" i="6"/>
  <c r="AI45" i="6"/>
  <c r="BD45" i="6"/>
  <c r="AV45" i="6"/>
  <c r="BG45" i="6"/>
  <c r="M48" i="6"/>
  <c r="B32" i="10"/>
  <c r="B32" i="9"/>
  <c r="F15" i="7" a="1"/>
  <c r="F15" i="7" s="1"/>
  <c r="C29" i="7" l="1" a="1"/>
  <c r="C29" i="7" s="1"/>
  <c r="B28" i="7"/>
  <c r="M51" i="6"/>
  <c r="BG51" i="6" s="1"/>
  <c r="M49" i="6"/>
  <c r="M50" i="6"/>
  <c r="AN48" i="6"/>
  <c r="BC48" i="6"/>
  <c r="BD48" i="6"/>
  <c r="AR48" i="6"/>
  <c r="AS48" i="6"/>
  <c r="BA48" i="6"/>
  <c r="AD48" i="6"/>
  <c r="BG48" i="6"/>
  <c r="BB48" i="6"/>
  <c r="AJ48" i="6"/>
  <c r="AF48" i="6"/>
  <c r="AI48" i="6"/>
  <c r="BE48" i="6"/>
  <c r="AO48" i="6"/>
  <c r="AC48" i="6"/>
  <c r="AX48" i="6"/>
  <c r="AV48" i="6"/>
  <c r="AT48" i="6"/>
  <c r="AP48" i="6"/>
  <c r="AQ48" i="6"/>
  <c r="AK48" i="6"/>
  <c r="AZ48" i="6"/>
  <c r="AE48" i="6"/>
  <c r="AU48" i="6"/>
  <c r="AM48" i="6"/>
  <c r="AH48" i="6"/>
  <c r="AG48" i="6"/>
  <c r="BF48" i="6"/>
  <c r="AY48" i="6"/>
  <c r="B33" i="9"/>
  <c r="B33" i="10"/>
  <c r="J15" i="7"/>
  <c r="S15" i="7"/>
  <c r="L15" i="7"/>
  <c r="X15" i="7"/>
  <c r="R15" i="7"/>
  <c r="O15" i="7"/>
  <c r="Y15" i="7"/>
  <c r="M15" i="7"/>
  <c r="Q15" i="7"/>
  <c r="P15" i="7"/>
  <c r="V15" i="7"/>
  <c r="K15" i="7"/>
  <c r="U15" i="7"/>
  <c r="W15" i="7"/>
  <c r="T15" i="7"/>
  <c r="I15" i="7"/>
  <c r="N15" i="7"/>
  <c r="AN51" i="6" l="1"/>
  <c r="AX51" i="6"/>
  <c r="AR51" i="6"/>
  <c r="AM51" i="6"/>
  <c r="BC51" i="6"/>
  <c r="AS51" i="6"/>
  <c r="AD51" i="6"/>
  <c r="AH51" i="6"/>
  <c r="AC51" i="6"/>
  <c r="AI51" i="6"/>
  <c r="AG51" i="6"/>
  <c r="AF51" i="6"/>
  <c r="BB51" i="6"/>
  <c r="AQ51" i="6"/>
  <c r="AK51" i="6"/>
  <c r="BF51" i="6"/>
  <c r="AV51" i="6"/>
  <c r="AJ51" i="6"/>
  <c r="AE51" i="6"/>
  <c r="BD51" i="6"/>
  <c r="AZ51" i="6"/>
  <c r="AT51" i="6"/>
  <c r="BE51" i="6"/>
  <c r="AP51" i="6"/>
  <c r="AY51" i="6"/>
  <c r="AO51" i="6"/>
  <c r="AU51" i="6"/>
  <c r="BA51" i="6"/>
  <c r="B29" i="7"/>
  <c r="C30" i="7" a="1"/>
  <c r="C30" i="7" s="1"/>
  <c r="AJ49" i="6"/>
  <c r="M53" i="6"/>
  <c r="M58" i="6" s="1"/>
  <c r="AQ49" i="6"/>
  <c r="AE49" i="6"/>
  <c r="AC49" i="6"/>
  <c r="AX49" i="6"/>
  <c r="AP49" i="6"/>
  <c r="AU49" i="6"/>
  <c r="BC49" i="6"/>
  <c r="BD49" i="6"/>
  <c r="AO49" i="6"/>
  <c r="AF49" i="6"/>
  <c r="AN49" i="6"/>
  <c r="BG49" i="6"/>
  <c r="AG49" i="6"/>
  <c r="AV49" i="6"/>
  <c r="BF49" i="6"/>
  <c r="AM49" i="6"/>
  <c r="AR49" i="6"/>
  <c r="AT49" i="6"/>
  <c r="AZ49" i="6"/>
  <c r="BB49" i="6"/>
  <c r="BA49" i="6"/>
  <c r="AY49" i="6"/>
  <c r="BE49" i="6"/>
  <c r="AI49" i="6"/>
  <c r="AD49" i="6"/>
  <c r="AK49" i="6"/>
  <c r="AS49" i="6"/>
  <c r="AH49" i="6"/>
  <c r="AP50" i="6"/>
  <c r="AO50" i="6"/>
  <c r="BB50" i="6"/>
  <c r="BA50" i="6"/>
  <c r="BF50" i="6"/>
  <c r="BG50" i="6"/>
  <c r="BC50" i="6"/>
  <c r="AM50" i="6"/>
  <c r="AV50" i="6"/>
  <c r="AK50" i="6"/>
  <c r="AU50" i="6"/>
  <c r="BE50" i="6"/>
  <c r="AN50" i="6"/>
  <c r="AY50" i="6"/>
  <c r="AH50" i="6"/>
  <c r="AR50" i="6"/>
  <c r="BD50" i="6"/>
  <c r="AT50" i="6"/>
  <c r="AX50" i="6"/>
  <c r="AZ50" i="6"/>
  <c r="AS50" i="6"/>
  <c r="AQ50" i="6"/>
  <c r="AC50" i="6"/>
  <c r="AD50" i="6"/>
  <c r="AI50" i="6"/>
  <c r="AF50" i="6"/>
  <c r="AJ50" i="6"/>
  <c r="AE50" i="6"/>
  <c r="AG50" i="6"/>
  <c r="B34" i="10"/>
  <c r="B34" i="9"/>
  <c r="H15" i="7"/>
  <c r="E15" i="7"/>
  <c r="BE58" i="6" l="1"/>
  <c r="AZ58" i="6"/>
  <c r="AO58" i="6"/>
  <c r="BB58" i="6"/>
  <c r="AY58" i="6"/>
  <c r="AT58" i="6"/>
  <c r="AX58" i="6"/>
  <c r="AV58" i="6"/>
  <c r="AI58" i="6"/>
  <c r="AN58" i="6"/>
  <c r="AQ58" i="6"/>
  <c r="AS58" i="6"/>
  <c r="BG58" i="6"/>
  <c r="BC58" i="6"/>
  <c r="AP58" i="6"/>
  <c r="BA58" i="6"/>
  <c r="AC58" i="6"/>
  <c r="BF58" i="6"/>
  <c r="BD58" i="6"/>
  <c r="AR58" i="6"/>
  <c r="AU58" i="6"/>
  <c r="AM58" i="6"/>
  <c r="AE58" i="6"/>
  <c r="AF58" i="6"/>
  <c r="AH58" i="6"/>
  <c r="AG58" i="6"/>
  <c r="AD58" i="6"/>
  <c r="AK58" i="6"/>
  <c r="AJ58" i="6"/>
  <c r="B30" i="7"/>
  <c r="C31" i="7" a="1"/>
  <c r="C31" i="7" s="1"/>
  <c r="M57" i="6"/>
  <c r="BA53" i="6"/>
  <c r="M56" i="6"/>
  <c r="M55" i="6"/>
  <c r="AI55" i="6" s="1"/>
  <c r="AF53" i="6"/>
  <c r="M54" i="6"/>
  <c r="AI53" i="6"/>
  <c r="BB53" i="6"/>
  <c r="AJ53" i="6"/>
  <c r="AG53" i="6"/>
  <c r="AX53" i="6"/>
  <c r="AQ53" i="6"/>
  <c r="AD53" i="6"/>
  <c r="AK53" i="6"/>
  <c r="AC53" i="6"/>
  <c r="AM53" i="6"/>
  <c r="AO53" i="6"/>
  <c r="BF53" i="6"/>
  <c r="AR53" i="6"/>
  <c r="AZ53" i="6"/>
  <c r="BC53" i="6"/>
  <c r="AE53" i="6"/>
  <c r="BD53" i="6"/>
  <c r="AT53" i="6"/>
  <c r="AU53" i="6"/>
  <c r="AN53" i="6"/>
  <c r="BE53" i="6"/>
  <c r="BG53" i="6"/>
  <c r="AY53" i="6"/>
  <c r="AP53" i="6"/>
  <c r="AV53" i="6"/>
  <c r="AS53" i="6"/>
  <c r="AH53" i="6"/>
  <c r="B35" i="9"/>
  <c r="B35" i="10"/>
  <c r="S1" i="7" a="1"/>
  <c r="S1" i="7" s="1"/>
  <c r="AQ54" i="6" l="1"/>
  <c r="B31" i="7"/>
  <c r="C32" i="7" a="1"/>
  <c r="C32" i="7" s="1"/>
  <c r="AP57" i="6"/>
  <c r="AC57" i="6"/>
  <c r="BF57" i="6"/>
  <c r="BB57" i="6"/>
  <c r="AM57" i="6"/>
  <c r="AX57" i="6"/>
  <c r="AS57" i="6"/>
  <c r="AO57" i="6"/>
  <c r="AT57" i="6"/>
  <c r="AV57" i="6"/>
  <c r="BE57" i="6"/>
  <c r="AY57" i="6"/>
  <c r="AR57" i="6"/>
  <c r="BA57" i="6"/>
  <c r="AU57" i="6"/>
  <c r="AN57" i="6"/>
  <c r="BD57" i="6"/>
  <c r="AQ57" i="6"/>
  <c r="AK57" i="6"/>
  <c r="BC57" i="6"/>
  <c r="BG57" i="6"/>
  <c r="AZ57" i="6"/>
  <c r="AD57" i="6"/>
  <c r="AH57" i="6"/>
  <c r="AE57" i="6"/>
  <c r="AI57" i="6"/>
  <c r="AF57" i="6"/>
  <c r="AJ57" i="6"/>
  <c r="AG57" i="6"/>
  <c r="AX56" i="6"/>
  <c r="BA56" i="6"/>
  <c r="AJ56" i="6"/>
  <c r="AN56" i="6"/>
  <c r="AH56" i="6"/>
  <c r="BE56" i="6"/>
  <c r="AR56" i="6"/>
  <c r="AZ56" i="6"/>
  <c r="AT56" i="6"/>
  <c r="BD56" i="6"/>
  <c r="AM56" i="6"/>
  <c r="BG56" i="6"/>
  <c r="AQ56" i="6"/>
  <c r="AD56" i="6"/>
  <c r="AV56" i="6"/>
  <c r="AG56" i="6"/>
  <c r="AC56" i="6"/>
  <c r="AY56" i="6"/>
  <c r="BC56" i="6"/>
  <c r="AK56" i="6"/>
  <c r="BF56" i="6"/>
  <c r="BB56" i="6"/>
  <c r="AS56" i="6"/>
  <c r="AO56" i="6"/>
  <c r="AP56" i="6"/>
  <c r="AF56" i="6"/>
  <c r="AU56" i="6"/>
  <c r="AI56" i="6"/>
  <c r="AE56" i="6"/>
  <c r="AO55" i="6"/>
  <c r="AG55" i="6"/>
  <c r="BG55" i="6"/>
  <c r="BA55" i="6"/>
  <c r="AT55" i="6"/>
  <c r="AE55" i="6"/>
  <c r="AD54" i="6"/>
  <c r="AN55" i="6"/>
  <c r="AU55" i="6"/>
  <c r="AJ55" i="6"/>
  <c r="AH55" i="6"/>
  <c r="AC55" i="6"/>
  <c r="AF55" i="6"/>
  <c r="AP55" i="6"/>
  <c r="BC55" i="6"/>
  <c r="BD55" i="6"/>
  <c r="AM55" i="6"/>
  <c r="AR55" i="6"/>
  <c r="AX55" i="6"/>
  <c r="BB55" i="6"/>
  <c r="AD55" i="6"/>
  <c r="AK55" i="6"/>
  <c r="BE55" i="6"/>
  <c r="AS55" i="6"/>
  <c r="AQ55" i="6"/>
  <c r="AZ55" i="6"/>
  <c r="BF55" i="6"/>
  <c r="AY55" i="6"/>
  <c r="AV55" i="6"/>
  <c r="AU54" i="6"/>
  <c r="AE54" i="6"/>
  <c r="AC54" i="6"/>
  <c r="AY54" i="6"/>
  <c r="BG54" i="6"/>
  <c r="AZ54" i="6"/>
  <c r="BD54" i="6"/>
  <c r="AR54" i="6"/>
  <c r="BF54" i="6"/>
  <c r="AX54" i="6"/>
  <c r="AP54" i="6"/>
  <c r="AH54" i="6"/>
  <c r="AK54" i="6"/>
  <c r="AN54" i="6"/>
  <c r="AO54" i="6"/>
  <c r="BC54" i="6"/>
  <c r="BA54" i="6"/>
  <c r="AI54" i="6"/>
  <c r="BE54" i="6"/>
  <c r="AF54" i="6"/>
  <c r="AJ54" i="6"/>
  <c r="AT54" i="6"/>
  <c r="AV54" i="6"/>
  <c r="BB54" i="6"/>
  <c r="AM54" i="6"/>
  <c r="AG54" i="6"/>
  <c r="AS54" i="6"/>
  <c r="B36" i="9"/>
  <c r="B36" i="10"/>
  <c r="O1" i="7" a="1"/>
  <c r="O1" i="7" s="1"/>
  <c r="R1" i="7" a="1"/>
  <c r="R1" i="7" s="1"/>
  <c r="V1" i="7" a="1"/>
  <c r="V1" i="7" s="1"/>
  <c r="U1" i="7" a="1"/>
  <c r="U1" i="7" s="1"/>
  <c r="N1" i="7" a="1"/>
  <c r="N1" i="7" s="1"/>
  <c r="Q1" i="7" a="1"/>
  <c r="Q1" i="7" s="1"/>
  <c r="T1" i="7" a="1"/>
  <c r="T1" i="7" s="1"/>
  <c r="M1" i="7" a="1"/>
  <c r="M1" i="7" s="1"/>
  <c r="W1" i="7" a="1"/>
  <c r="W1" i="7" s="1"/>
  <c r="P1" i="7" a="1"/>
  <c r="P1" i="7" s="1"/>
  <c r="X1" i="7" a="1"/>
  <c r="X1" i="7" s="1"/>
  <c r="Y1" i="7" a="1"/>
  <c r="Y1" i="7" s="1"/>
  <c r="C33" i="7" l="1" a="1"/>
  <c r="C33" i="7" s="1"/>
  <c r="B32" i="7"/>
  <c r="B37" i="10"/>
  <c r="B37" i="9"/>
  <c r="B33" i="7" l="1"/>
  <c r="C34" i="7" a="1"/>
  <c r="C34" i="7" s="1"/>
  <c r="B38" i="10"/>
  <c r="B38" i="9"/>
  <c r="F14" i="12"/>
  <c r="C35" i="7" l="1" a="1"/>
  <c r="C35" i="7" s="1"/>
  <c r="B35" i="7" s="1"/>
  <c r="B34" i="7"/>
  <c r="B39" i="9"/>
  <c r="B39" i="10"/>
  <c r="B40" i="10" l="1"/>
  <c r="B40" i="9"/>
  <c r="K1" i="7" a="1"/>
  <c r="K1" i="7" s="1"/>
  <c r="J1" i="7" a="1"/>
  <c r="J1" i="7" s="1"/>
  <c r="L1" i="7" a="1"/>
  <c r="L1" i="7" s="1"/>
  <c r="B41" i="10" l="1"/>
  <c r="B41" i="9"/>
  <c r="B42" i="10" l="1"/>
  <c r="B42" i="9"/>
  <c r="M79" i="10"/>
  <c r="O79" i="10"/>
  <c r="B43" i="10" l="1"/>
  <c r="B43" i="9"/>
  <c r="B44" i="9" l="1"/>
  <c r="B44" i="10"/>
  <c r="B45" i="9" l="1"/>
  <c r="B45" i="10"/>
  <c r="F59" i="12" l="1"/>
  <c r="B46" i="10"/>
  <c r="B46" i="9"/>
  <c r="F60" i="12" l="1"/>
  <c r="B47" i="10"/>
  <c r="B47" i="9"/>
  <c r="F64" i="12" l="1"/>
  <c r="B48" i="9"/>
  <c r="G59" i="12"/>
  <c r="B48" i="10"/>
  <c r="F65" i="12" l="1"/>
  <c r="B49" i="10"/>
  <c r="G60" i="12"/>
  <c r="B49" i="9"/>
  <c r="F66" i="12" l="1"/>
  <c r="B50" i="10"/>
  <c r="B50" i="9"/>
  <c r="G64" i="12"/>
  <c r="I1" i="7" a="1"/>
  <c r="I1" i="7" s="1"/>
  <c r="F67" i="12" l="1"/>
  <c r="B51" i="10"/>
  <c r="B51" i="9"/>
  <c r="G65" i="12"/>
  <c r="B52" i="10" l="1"/>
  <c r="G66" i="12"/>
  <c r="B52" i="9"/>
  <c r="K79" i="10"/>
  <c r="G67" i="12" l="1"/>
  <c r="B53" i="10"/>
  <c r="B53" i="9"/>
  <c r="B54" i="9" l="1"/>
  <c r="B54" i="10"/>
  <c r="B55" i="10" l="1"/>
  <c r="B55" i="9"/>
  <c r="B56" i="9" l="1"/>
  <c r="B56" i="10"/>
  <c r="B57" i="10" l="1"/>
  <c r="B57" i="9"/>
  <c r="B58" i="9" l="1"/>
  <c r="B58" i="10"/>
  <c r="B59" i="10" l="1"/>
  <c r="B59" i="9"/>
  <c r="B60" i="10" l="1"/>
  <c r="B60" i="9"/>
  <c r="K17" i="5" l="1"/>
  <c r="B61" i="9"/>
  <c r="B61" i="10"/>
  <c r="B62" i="10" l="1"/>
  <c r="B62" i="9"/>
  <c r="B63" i="9" l="1"/>
  <c r="B63" i="10"/>
  <c r="B64" i="9" l="1"/>
  <c r="B64" i="10"/>
  <c r="B65" i="9" l="1"/>
  <c r="B65" i="10"/>
  <c r="B66" i="9" l="1"/>
  <c r="B66" i="10"/>
  <c r="K43" i="5" l="1"/>
  <c r="D43" i="5" s="1"/>
  <c r="B43" i="12" s="1"/>
  <c r="J43" i="5"/>
  <c r="J17" i="5"/>
  <c r="D17" i="5" s="1"/>
  <c r="K47" i="5"/>
  <c r="B67" i="9"/>
  <c r="B67" i="10"/>
  <c r="B17" i="12" l="1"/>
  <c r="B68" i="9"/>
  <c r="B68" i="10"/>
  <c r="B69" i="10" l="1"/>
  <c r="B69" i="9"/>
  <c r="C10" i="7" l="1"/>
  <c r="C59" i="5" l="1"/>
  <c r="N59" i="5" l="1"/>
  <c r="D59" i="6" s="1"/>
  <c r="F59" i="5"/>
  <c r="AE59" i="5"/>
  <c r="AD59" i="5"/>
  <c r="E59" i="5"/>
  <c r="B59" i="5"/>
  <c r="C60" i="5"/>
  <c r="G59" i="5"/>
  <c r="A59" i="12"/>
  <c r="B59" i="6"/>
  <c r="A59" i="6" s="1"/>
  <c r="H59" i="5"/>
  <c r="G60" i="5" l="1"/>
  <c r="K60" i="5"/>
  <c r="N60" i="5"/>
  <c r="D60" i="6" s="1"/>
  <c r="AD60" i="5"/>
  <c r="C61" i="5"/>
  <c r="B60" i="5"/>
  <c r="E60" i="5"/>
  <c r="F60" i="5"/>
  <c r="J60" i="5"/>
  <c r="B60" i="6"/>
  <c r="D60" i="5"/>
  <c r="B60" i="12" s="1"/>
  <c r="H60" i="5"/>
  <c r="A60" i="12"/>
  <c r="AE60" i="5"/>
  <c r="N59" i="6"/>
  <c r="H59" i="6" a="1"/>
  <c r="H59" i="6" s="1"/>
  <c r="T59" i="5" s="1"/>
  <c r="M59" i="6"/>
  <c r="AZ59" i="6" s="1"/>
  <c r="AS59" i="6" l="1"/>
  <c r="AD59" i="6"/>
  <c r="AM59" i="6"/>
  <c r="AC59" i="6"/>
  <c r="AO59" i="6"/>
  <c r="BA59" i="6"/>
  <c r="AY59" i="6"/>
  <c r="AT59" i="6"/>
  <c r="AV59" i="6"/>
  <c r="AJ59" i="6"/>
  <c r="AF59" i="6"/>
  <c r="A60" i="6"/>
  <c r="M60" i="6" s="1"/>
  <c r="BB59" i="6"/>
  <c r="BF59" i="6"/>
  <c r="AQ59" i="6"/>
  <c r="AP59" i="6"/>
  <c r="AU59" i="6"/>
  <c r="B61" i="6"/>
  <c r="E61" i="5"/>
  <c r="N61" i="5"/>
  <c r="D61" i="6" s="1"/>
  <c r="AE61" i="5"/>
  <c r="J61" i="5"/>
  <c r="A61" i="12"/>
  <c r="D61" i="5"/>
  <c r="B61" i="12" s="1"/>
  <c r="F61" i="5"/>
  <c r="H61" i="5"/>
  <c r="G61" i="5"/>
  <c r="C62" i="5"/>
  <c r="K61" i="5"/>
  <c r="AD61" i="5"/>
  <c r="B61" i="5"/>
  <c r="AE59" i="6"/>
  <c r="AX59" i="6"/>
  <c r="AH59" i="6"/>
  <c r="AI59" i="6"/>
  <c r="H60" i="6" a="1"/>
  <c r="H60" i="6" s="1"/>
  <c r="T60" i="5" s="1"/>
  <c r="BC59" i="6"/>
  <c r="BD59" i="6"/>
  <c r="AG59" i="6"/>
  <c r="BE59" i="6"/>
  <c r="AN59" i="6"/>
  <c r="L60" i="12"/>
  <c r="J60" i="12"/>
  <c r="AK59" i="6"/>
  <c r="AR59" i="6"/>
  <c r="BG59" i="6"/>
  <c r="AD60" i="6" l="1"/>
  <c r="K60" i="12"/>
  <c r="AM60" i="6"/>
  <c r="AY60" i="6"/>
  <c r="J61" i="12"/>
  <c r="L61" i="12"/>
  <c r="AP60" i="6"/>
  <c r="AG60" i="6"/>
  <c r="AN60" i="6"/>
  <c r="BC60" i="6"/>
  <c r="AR60" i="6"/>
  <c r="AC60" i="6"/>
  <c r="H61" i="6" a="1"/>
  <c r="H61" i="6" s="1"/>
  <c r="T61" i="5" s="1"/>
  <c r="AU60" i="6"/>
  <c r="AQ60" i="6"/>
  <c r="BE60" i="6"/>
  <c r="AX60" i="6"/>
  <c r="A61" i="6"/>
  <c r="M61" i="6" s="1"/>
  <c r="BD60" i="6"/>
  <c r="AO60" i="6"/>
  <c r="AS60" i="6"/>
  <c r="AZ60" i="6"/>
  <c r="BF60" i="6"/>
  <c r="BA60" i="6"/>
  <c r="BG60" i="6"/>
  <c r="C63" i="5"/>
  <c r="F62" i="5"/>
  <c r="N62" i="5"/>
  <c r="D62" i="6" s="1"/>
  <c r="B62" i="6"/>
  <c r="G62" i="5"/>
  <c r="K62" i="5"/>
  <c r="E62" i="5"/>
  <c r="D62" i="5"/>
  <c r="B62" i="12" s="1"/>
  <c r="B62" i="5"/>
  <c r="J62" i="5"/>
  <c r="AD62" i="5"/>
  <c r="H62" i="5"/>
  <c r="A62" i="12"/>
  <c r="AE62" i="5"/>
  <c r="AT60" i="6"/>
  <c r="AI60" i="6"/>
  <c r="BB60" i="6"/>
  <c r="AH60" i="6"/>
  <c r="AF60" i="6"/>
  <c r="AV60" i="6"/>
  <c r="AK60" i="6"/>
  <c r="AE60" i="6"/>
  <c r="AJ60" i="6"/>
  <c r="H63" i="5" l="1"/>
  <c r="K61" i="12"/>
  <c r="E63" i="5"/>
  <c r="G63" i="5"/>
  <c r="F63" i="5"/>
  <c r="AM61" i="6"/>
  <c r="BG61" i="6"/>
  <c r="AN61" i="6"/>
  <c r="AZ61" i="6"/>
  <c r="AV61" i="6"/>
  <c r="AT61" i="6"/>
  <c r="AX61" i="6"/>
  <c r="BF61" i="6"/>
  <c r="AY61" i="6"/>
  <c r="AR61" i="6"/>
  <c r="AP61" i="6"/>
  <c r="BB61" i="6"/>
  <c r="AQ61" i="6"/>
  <c r="AO61" i="6"/>
  <c r="BA61" i="6"/>
  <c r="BE61" i="6"/>
  <c r="BD61" i="6"/>
  <c r="AF61" i="6"/>
  <c r="BC61" i="6"/>
  <c r="AU61" i="6"/>
  <c r="AS61" i="6"/>
  <c r="AE61" i="6"/>
  <c r="AI61" i="6"/>
  <c r="A62" i="6"/>
  <c r="M62" i="6" s="1"/>
  <c r="AJ61" i="6"/>
  <c r="H62" i="6" a="1"/>
  <c r="H62" i="6" s="1"/>
  <c r="T62" i="5" s="1"/>
  <c r="AH61" i="6"/>
  <c r="AC61" i="6"/>
  <c r="J62" i="12"/>
  <c r="L62" i="12"/>
  <c r="A63" i="12"/>
  <c r="AE63" i="5"/>
  <c r="N63" i="5"/>
  <c r="D63" i="6" s="1"/>
  <c r="C64" i="5"/>
  <c r="D63" i="5"/>
  <c r="B63" i="12" s="1"/>
  <c r="K63" i="5"/>
  <c r="J63" i="5"/>
  <c r="B63" i="6"/>
  <c r="AD63" i="5"/>
  <c r="AD61" i="6"/>
  <c r="B63" i="5"/>
  <c r="AG61" i="6"/>
  <c r="AK61" i="6"/>
  <c r="K62" i="12" l="1"/>
  <c r="BE62" i="6"/>
  <c r="AK62" i="6"/>
  <c r="AP62" i="6"/>
  <c r="AC62" i="6"/>
  <c r="BC62" i="6"/>
  <c r="AM62" i="6"/>
  <c r="AN62" i="6"/>
  <c r="AE62" i="6"/>
  <c r="AY62" i="6"/>
  <c r="AV62" i="6"/>
  <c r="BF62" i="6"/>
  <c r="AR62" i="6"/>
  <c r="AF62" i="6"/>
  <c r="AJ62" i="6"/>
  <c r="BD62" i="6"/>
  <c r="A63" i="6"/>
  <c r="M63" i="6" s="1"/>
  <c r="AD62" i="6"/>
  <c r="AH62" i="6"/>
  <c r="AS62" i="6"/>
  <c r="AQ62" i="6"/>
  <c r="AI62" i="6"/>
  <c r="AO62" i="6"/>
  <c r="BG62" i="6"/>
  <c r="J63" i="12"/>
  <c r="L63" i="12"/>
  <c r="F64" i="5"/>
  <c r="C65" i="5"/>
  <c r="AD64" i="5"/>
  <c r="AE64" i="5"/>
  <c r="D64" i="5"/>
  <c r="B64" i="12" s="1"/>
  <c r="E64" i="5"/>
  <c r="J64" i="5"/>
  <c r="K64" i="5"/>
  <c r="N64" i="5"/>
  <c r="D64" i="6" s="1"/>
  <c r="A64" i="12"/>
  <c r="B64" i="5"/>
  <c r="G64" i="5"/>
  <c r="H64" i="5"/>
  <c r="B64" i="6"/>
  <c r="BB62" i="6"/>
  <c r="AU62" i="6"/>
  <c r="AX62" i="6"/>
  <c r="H63" i="6" a="1"/>
  <c r="H63" i="6" s="1"/>
  <c r="T63" i="5" s="1"/>
  <c r="AZ62" i="6"/>
  <c r="AG62" i="6"/>
  <c r="BA62" i="6"/>
  <c r="AT62" i="6"/>
  <c r="K63" i="12" l="1"/>
  <c r="BE63" i="6"/>
  <c r="AU63" i="6"/>
  <c r="AT63" i="6"/>
  <c r="AG63" i="6"/>
  <c r="AM63" i="6"/>
  <c r="BD63" i="6"/>
  <c r="AE63" i="6"/>
  <c r="AQ63" i="6"/>
  <c r="BA63" i="6"/>
  <c r="BG63" i="6"/>
  <c r="AS63" i="6"/>
  <c r="AN63" i="6"/>
  <c r="AR63" i="6"/>
  <c r="AV63" i="6"/>
  <c r="AH63" i="6"/>
  <c r="J64" i="12"/>
  <c r="L64" i="12"/>
  <c r="H64" i="6" a="1"/>
  <c r="H64" i="6" s="1"/>
  <c r="T64" i="5" s="1"/>
  <c r="BF63" i="6"/>
  <c r="BB63" i="6"/>
  <c r="AO63" i="6"/>
  <c r="AI63" i="6"/>
  <c r="AK63" i="6"/>
  <c r="AF63" i="6"/>
  <c r="AJ63" i="6"/>
  <c r="AD63" i="6"/>
  <c r="AC63" i="6"/>
  <c r="AZ63" i="6"/>
  <c r="C66" i="5"/>
  <c r="E65" i="5"/>
  <c r="AE65" i="5"/>
  <c r="AD65" i="5"/>
  <c r="B65" i="6"/>
  <c r="K65" i="5"/>
  <c r="F65" i="5"/>
  <c r="N65" i="5"/>
  <c r="D65" i="6" s="1"/>
  <c r="D65" i="5"/>
  <c r="B65" i="12" s="1"/>
  <c r="H65" i="5"/>
  <c r="B65" i="5"/>
  <c r="G65" i="5"/>
  <c r="J65" i="5"/>
  <c r="A65" i="12"/>
  <c r="BC63" i="6"/>
  <c r="A64" i="6"/>
  <c r="M64" i="6" s="1"/>
  <c r="AX63" i="6"/>
  <c r="AP63" i="6"/>
  <c r="AY63" i="6"/>
  <c r="K42" i="5"/>
  <c r="K37" i="5"/>
  <c r="K30" i="5"/>
  <c r="A15" i="13"/>
  <c r="K16" i="5"/>
  <c r="B15" i="11"/>
  <c r="J20" i="5"/>
  <c r="K20" i="5"/>
  <c r="K64" i="12" l="1"/>
  <c r="AS64" i="6"/>
  <c r="A65" i="6"/>
  <c r="M65" i="6" s="1"/>
  <c r="AG64" i="6"/>
  <c r="BC64" i="6"/>
  <c r="AT64" i="6"/>
  <c r="L65" i="12"/>
  <c r="J65" i="12"/>
  <c r="AN64" i="6"/>
  <c r="BE64" i="6"/>
  <c r="A66" i="12"/>
  <c r="AE66" i="5"/>
  <c r="C67" i="5"/>
  <c r="F66" i="5"/>
  <c r="AD66" i="5"/>
  <c r="B66" i="6"/>
  <c r="D66" i="5"/>
  <c r="B66" i="12" s="1"/>
  <c r="N66" i="5"/>
  <c r="D66" i="6" s="1"/>
  <c r="E66" i="5"/>
  <c r="G66" i="5"/>
  <c r="J66" i="5"/>
  <c r="B66" i="5"/>
  <c r="H66" i="5"/>
  <c r="K66" i="5"/>
  <c r="BD64" i="6"/>
  <c r="AK64" i="6"/>
  <c r="AC64" i="6"/>
  <c r="BG64" i="6"/>
  <c r="AX64" i="6"/>
  <c r="BF64" i="6"/>
  <c r="AV64" i="6"/>
  <c r="AQ64" i="6"/>
  <c r="AE64" i="6"/>
  <c r="AY64" i="6"/>
  <c r="AU64" i="6"/>
  <c r="AR64" i="6"/>
  <c r="AM64" i="6"/>
  <c r="AP64" i="6"/>
  <c r="AO64" i="6"/>
  <c r="BB64" i="6"/>
  <c r="BA64" i="6"/>
  <c r="H65" i="6" a="1"/>
  <c r="H65" i="6" s="1"/>
  <c r="T65" i="5" s="1"/>
  <c r="AJ64" i="6"/>
  <c r="AF64" i="6"/>
  <c r="AZ64" i="6"/>
  <c r="AD64" i="6"/>
  <c r="AH64" i="6"/>
  <c r="AI64" i="6"/>
  <c r="D20" i="5"/>
  <c r="B20" i="12" s="1"/>
  <c r="C15" i="13"/>
  <c r="G15" i="11"/>
  <c r="F15" i="13" s="1"/>
  <c r="K15" i="11"/>
  <c r="J15" i="13" s="1"/>
  <c r="AQ65" i="6" l="1"/>
  <c r="BD65" i="6"/>
  <c r="AY65" i="6"/>
  <c r="AT65" i="6"/>
  <c r="BF65" i="6"/>
  <c r="AZ65" i="6"/>
  <c r="BE65" i="6"/>
  <c r="AX65" i="6"/>
  <c r="AS65" i="6"/>
  <c r="BB65" i="6"/>
  <c r="BA65" i="6"/>
  <c r="AV65" i="6"/>
  <c r="AN65" i="6"/>
  <c r="BG65" i="6"/>
  <c r="AP65" i="6"/>
  <c r="AH65" i="6"/>
  <c r="AO65" i="6"/>
  <c r="AM65" i="6"/>
  <c r="BC65" i="6"/>
  <c r="AU65" i="6"/>
  <c r="AR65" i="6"/>
  <c r="J67" i="5"/>
  <c r="E67" i="5"/>
  <c r="F67" i="5"/>
  <c r="D67" i="5"/>
  <c r="B67" i="12" s="1"/>
  <c r="B67" i="6"/>
  <c r="B67" i="5"/>
  <c r="AE67" i="5"/>
  <c r="A67" i="12"/>
  <c r="N67" i="5"/>
  <c r="D67" i="6" s="1"/>
  <c r="AD67" i="5"/>
  <c r="G67" i="5"/>
  <c r="H67" i="5"/>
  <c r="K67" i="5"/>
  <c r="AF65" i="6"/>
  <c r="L66" i="12"/>
  <c r="J66" i="12"/>
  <c r="AG65" i="6"/>
  <c r="AI65" i="6"/>
  <c r="AD65" i="6"/>
  <c r="AJ65" i="6"/>
  <c r="H66" i="6" a="1"/>
  <c r="H66" i="6" s="1"/>
  <c r="T66" i="5" s="1"/>
  <c r="K65" i="12"/>
  <c r="AE65" i="6"/>
  <c r="AK65" i="6"/>
  <c r="A66" i="6"/>
  <c r="M66" i="6" s="1"/>
  <c r="AC65" i="6"/>
  <c r="K15" i="13"/>
  <c r="AN66" i="6" l="1"/>
  <c r="AC66" i="6"/>
  <c r="AV66" i="6"/>
  <c r="AS66" i="6"/>
  <c r="J67" i="12"/>
  <c r="L67" i="12"/>
  <c r="AI66" i="6"/>
  <c r="AQ66" i="6"/>
  <c r="AR66" i="6"/>
  <c r="AK66" i="6"/>
  <c r="BD66" i="6"/>
  <c r="H67" i="6" a="1"/>
  <c r="H67" i="6" s="1"/>
  <c r="T67" i="5" s="1"/>
  <c r="BA66" i="6"/>
  <c r="BF66" i="6"/>
  <c r="A67" i="6"/>
  <c r="M67" i="6" s="1"/>
  <c r="BB66" i="6"/>
  <c r="K66" i="12"/>
  <c r="AM66" i="6"/>
  <c r="BC66" i="6"/>
  <c r="BG66" i="6"/>
  <c r="AZ66" i="6"/>
  <c r="AG66" i="6"/>
  <c r="AX66" i="6"/>
  <c r="AO66" i="6"/>
  <c r="AP66" i="6"/>
  <c r="BE66" i="6"/>
  <c r="AU66" i="6"/>
  <c r="AH66" i="6"/>
  <c r="AE66" i="6"/>
  <c r="AJ66" i="6"/>
  <c r="AF66" i="6"/>
  <c r="AY66" i="6"/>
  <c r="AD66" i="6"/>
  <c r="AT66" i="6"/>
  <c r="AO67" i="6" l="1"/>
  <c r="K67" i="12"/>
  <c r="AH67" i="6"/>
  <c r="AC67" i="6"/>
  <c r="AX67" i="6"/>
  <c r="AR67" i="6"/>
  <c r="AN67" i="6"/>
  <c r="AT67" i="6"/>
  <c r="AZ67" i="6"/>
  <c r="BC67" i="6"/>
  <c r="BA67" i="6"/>
  <c r="AQ67" i="6"/>
  <c r="BE67" i="6"/>
  <c r="AK67" i="6"/>
  <c r="AV67" i="6"/>
  <c r="AU67" i="6"/>
  <c r="AE67" i="6"/>
  <c r="AY67" i="6"/>
  <c r="AP67" i="6"/>
  <c r="AG67" i="6"/>
  <c r="AI67" i="6"/>
  <c r="AJ67" i="6"/>
  <c r="BF67" i="6"/>
  <c r="BD67" i="6"/>
  <c r="AM67" i="6"/>
  <c r="AD67" i="6"/>
  <c r="AS67" i="6"/>
  <c r="BG67" i="6"/>
  <c r="BB67" i="6"/>
  <c r="AF67" i="6"/>
  <c r="P17" i="7" l="1" a="1"/>
  <c r="P17" i="7" s="1"/>
  <c r="I17" i="7" a="1"/>
  <c r="I17" i="7" s="1"/>
  <c r="M20" i="7" a="1"/>
  <c r="M20" i="7" s="1"/>
  <c r="M19" i="7" a="1"/>
  <c r="M19" i="7" s="1"/>
  <c r="J17" i="7" a="1"/>
  <c r="J17" i="7" s="1"/>
  <c r="X21" i="7" a="1"/>
  <c r="X21" i="7" s="1"/>
  <c r="S17" i="7" a="1"/>
  <c r="S17" i="7" s="1"/>
  <c r="P19" i="7" a="1"/>
  <c r="P19" i="7" s="1"/>
  <c r="K20" i="7" a="1"/>
  <c r="K20" i="7" s="1"/>
  <c r="Q20" i="7" a="1"/>
  <c r="Q20" i="7" s="1"/>
  <c r="U18" i="7" a="1"/>
  <c r="U18" i="7" s="1"/>
  <c r="R17" i="7" a="1"/>
  <c r="R17" i="7" s="1"/>
  <c r="T20" i="7" l="1" a="1"/>
  <c r="T20" i="7" s="1"/>
  <c r="O19" i="7" a="1"/>
  <c r="O19" i="7" s="1"/>
  <c r="S18" i="7" a="1"/>
  <c r="S18" i="7" s="1"/>
  <c r="Q17" i="7" a="1"/>
  <c r="Q17" i="7" s="1"/>
  <c r="X19" i="7" a="1"/>
  <c r="X19" i="7" s="1"/>
  <c r="L20" i="7" a="1"/>
  <c r="L20" i="7" s="1"/>
  <c r="R19" i="7" a="1"/>
  <c r="R19" i="7" s="1"/>
  <c r="R21" i="7" a="1"/>
  <c r="R21" i="7" s="1"/>
  <c r="Y21" i="7" a="1"/>
  <c r="Y21" i="7" s="1"/>
  <c r="M17" i="7" a="1"/>
  <c r="M17" i="7" s="1"/>
  <c r="U20" i="7" a="1"/>
  <c r="U20" i="7" s="1"/>
  <c r="O21" i="7" a="1"/>
  <c r="O21" i="7" s="1"/>
  <c r="M18" i="7" a="1"/>
  <c r="M18" i="7" s="1"/>
  <c r="T19" i="7" a="1"/>
  <c r="T19" i="7" s="1"/>
  <c r="V19" i="7" a="1"/>
  <c r="V19" i="7" s="1"/>
  <c r="W19" i="7" a="1"/>
  <c r="W19" i="7" s="1"/>
  <c r="R20" i="7" a="1"/>
  <c r="R20" i="7" s="1"/>
  <c r="O18" i="7" a="1"/>
  <c r="O18" i="7" s="1"/>
  <c r="K17" i="7" a="1"/>
  <c r="K17" i="7" s="1"/>
  <c r="T17" i="7" a="1"/>
  <c r="T17" i="7" s="1"/>
  <c r="P18" i="7" a="1"/>
  <c r="P18" i="7" s="1"/>
  <c r="Y19" i="7" a="1"/>
  <c r="Y19" i="7" s="1"/>
  <c r="S20" i="7" a="1"/>
  <c r="S20" i="7" s="1"/>
  <c r="J18" i="7" a="1"/>
  <c r="J18" i="7" s="1"/>
  <c r="U17" i="7" a="1"/>
  <c r="U17" i="7" s="1"/>
  <c r="P21" i="7" a="1"/>
  <c r="P21" i="7" s="1"/>
  <c r="L21" i="7" a="1"/>
  <c r="L21" i="7" s="1"/>
  <c r="V17" i="7" a="1"/>
  <c r="V17" i="7" s="1"/>
  <c r="W18" i="7" a="1"/>
  <c r="W18" i="7" s="1"/>
  <c r="K18" i="7" a="1"/>
  <c r="K18" i="7" s="1"/>
  <c r="V18" i="7" a="1"/>
  <c r="V18" i="7" s="1"/>
  <c r="V20" i="7" a="1"/>
  <c r="V20" i="7" s="1"/>
  <c r="Y17" i="7" a="1"/>
  <c r="Y17" i="7" s="1"/>
  <c r="I21" i="7" a="1"/>
  <c r="I21" i="7" s="1"/>
  <c r="S19" i="7" a="1"/>
  <c r="S19" i="7" s="1"/>
  <c r="J21" i="7" a="1"/>
  <c r="J21" i="7" s="1"/>
  <c r="X18" i="7" a="1"/>
  <c r="X18" i="7" s="1"/>
  <c r="Y18" i="7" a="1"/>
  <c r="Y18" i="7" s="1"/>
  <c r="N21" i="7" a="1"/>
  <c r="N21" i="7" s="1"/>
  <c r="W21" i="7" a="1"/>
  <c r="W21" i="7" s="1"/>
  <c r="Q18" i="7" a="1"/>
  <c r="Q18" i="7" s="1"/>
  <c r="J19" i="7" a="1"/>
  <c r="J19" i="7" s="1"/>
  <c r="X20" i="7" a="1"/>
  <c r="X20" i="7" s="1"/>
  <c r="X17" i="7" a="1"/>
  <c r="X17" i="7" s="1"/>
  <c r="V21" i="7" a="1"/>
  <c r="V21" i="7" s="1"/>
  <c r="I20" i="7" a="1"/>
  <c r="I20" i="7" s="1"/>
  <c r="P20" i="7" a="1"/>
  <c r="P20" i="7" s="1"/>
  <c r="W17" i="7" a="1"/>
  <c r="W17" i="7" s="1"/>
  <c r="L19" i="7" a="1"/>
  <c r="L19" i="7" s="1"/>
  <c r="J20" i="7" a="1"/>
  <c r="J20" i="7" s="1"/>
  <c r="K21" i="7" a="1"/>
  <c r="K21" i="7" s="1"/>
  <c r="L17" i="7" a="1"/>
  <c r="L17" i="7" s="1"/>
  <c r="O17" i="7" a="1"/>
  <c r="O17" i="7" s="1"/>
  <c r="I19" i="7" a="1"/>
  <c r="I19" i="7" s="1"/>
  <c r="N20" i="7" a="1"/>
  <c r="N20" i="7" s="1"/>
  <c r="Q19" i="7" a="1"/>
  <c r="Q19" i="7" s="1"/>
  <c r="N18" i="7" a="1"/>
  <c r="N18" i="7" s="1"/>
  <c r="Y20" i="7" a="1"/>
  <c r="Y20" i="7" s="1"/>
  <c r="R18" i="7" a="1"/>
  <c r="R18" i="7" s="1"/>
  <c r="M21" i="7" a="1"/>
  <c r="M21" i="7" s="1"/>
  <c r="U19" i="7" a="1"/>
  <c r="U19" i="7" s="1"/>
  <c r="O20" i="7" a="1"/>
  <c r="O20" i="7" s="1"/>
  <c r="L18" i="7" a="1"/>
  <c r="L18" i="7" s="1"/>
  <c r="U21" i="7" a="1"/>
  <c r="U21" i="7" s="1"/>
  <c r="W20" i="7" a="1"/>
  <c r="W20" i="7" s="1"/>
  <c r="N19" i="7" a="1"/>
  <c r="N19" i="7" s="1"/>
  <c r="I18" i="7" a="1"/>
  <c r="I18" i="7" s="1"/>
  <c r="Q21" i="7" a="1"/>
  <c r="Q21" i="7" s="1"/>
  <c r="T21" i="7" a="1"/>
  <c r="T21" i="7" s="1"/>
  <c r="N17" i="7" a="1"/>
  <c r="N17" i="7" s="1"/>
  <c r="K19" i="7" a="1"/>
  <c r="K19" i="7" s="1"/>
  <c r="S21" i="7" a="1"/>
  <c r="S21" i="7" s="1"/>
  <c r="T18" i="7" a="1"/>
  <c r="T18" i="7" s="1"/>
  <c r="A10" i="9"/>
  <c r="I33" i="7" a="1"/>
  <c r="I33" i="7" s="1"/>
  <c r="I23" i="7" a="1"/>
  <c r="I23" i="7" s="1"/>
  <c r="N24" i="7" a="1"/>
  <c r="N24" i="7" s="1"/>
  <c r="J33" i="7" a="1"/>
  <c r="J33" i="7" s="1"/>
  <c r="K28" i="7" a="1"/>
  <c r="K28" i="7" s="1"/>
  <c r="X31" i="7" a="1"/>
  <c r="X31" i="7" s="1"/>
  <c r="K22" i="7" a="1"/>
  <c r="K22" i="7" s="1"/>
  <c r="O31" i="7" a="1"/>
  <c r="O31" i="7" s="1"/>
  <c r="U33" i="7" a="1"/>
  <c r="U33" i="7" s="1"/>
  <c r="T23" i="7" a="1"/>
  <c r="T23" i="7" s="1"/>
  <c r="X25" i="7" a="1"/>
  <c r="X25" i="7" s="1"/>
  <c r="V34" i="7" a="1"/>
  <c r="V34" i="7" s="1"/>
  <c r="S32" i="7" a="1"/>
  <c r="S32" i="7" s="1"/>
  <c r="K34" i="7" a="1"/>
  <c r="K34" i="7" s="1"/>
  <c r="T34" i="7" a="1"/>
  <c r="T34" i="7" s="1"/>
  <c r="T27" i="7" a="1"/>
  <c r="T27" i="7" s="1"/>
  <c r="V24" i="7" a="1"/>
  <c r="V24" i="7" s="1"/>
  <c r="W22" i="7" a="1"/>
  <c r="W22" i="7" s="1"/>
  <c r="W25" i="7" a="1"/>
  <c r="W25" i="7" s="1"/>
  <c r="S29" i="7" a="1"/>
  <c r="S29" i="7" s="1"/>
  <c r="N33" i="7" a="1"/>
  <c r="N33" i="7" s="1"/>
  <c r="O29" i="7" a="1"/>
  <c r="O29" i="7" s="1"/>
  <c r="R33" i="7" a="1"/>
  <c r="R33" i="7" s="1"/>
  <c r="U35" i="7" a="1"/>
  <c r="U35" i="7" s="1"/>
  <c r="L32" i="7" a="1"/>
  <c r="L32" i="7" s="1"/>
  <c r="N25" i="7" a="1"/>
  <c r="N25" i="7" s="1"/>
  <c r="I35" i="7" a="1"/>
  <c r="I35" i="7" s="1"/>
  <c r="M25" i="7" a="1"/>
  <c r="M25" i="7" s="1"/>
  <c r="Y33" i="7" a="1"/>
  <c r="Y33" i="7" s="1"/>
  <c r="T32" i="7" a="1"/>
  <c r="T32" i="7" s="1"/>
  <c r="T26" i="7" a="1"/>
  <c r="T26" i="7" s="1"/>
  <c r="W24" i="7" a="1"/>
  <c r="W24" i="7" s="1"/>
  <c r="K23" i="7" a="1"/>
  <c r="K23" i="7" s="1"/>
  <c r="W32" i="7" a="1"/>
  <c r="W32" i="7" s="1"/>
  <c r="X34" i="7" a="1"/>
  <c r="X34" i="7" s="1"/>
  <c r="W27" i="7" a="1"/>
  <c r="W27" i="7" s="1"/>
  <c r="I31" i="7" a="1"/>
  <c r="I31" i="7" s="1"/>
  <c r="J22" i="7" a="1"/>
  <c r="J22" i="7" s="1"/>
  <c r="I16" i="7" a="1"/>
  <c r="I16" i="7" s="1"/>
  <c r="X22" i="7" a="1"/>
  <c r="X22" i="7" s="1"/>
  <c r="X35" i="7" a="1"/>
  <c r="X35" i="7" s="1"/>
  <c r="Y24" i="7" a="1"/>
  <c r="Y24" i="7" s="1"/>
  <c r="V23" i="7" a="1"/>
  <c r="V23" i="7" s="1"/>
  <c r="O22" i="7" a="1"/>
  <c r="O22" i="7" s="1"/>
  <c r="M34" i="7" a="1"/>
  <c r="M34" i="7" s="1"/>
  <c r="J23" i="7" a="1"/>
  <c r="J23" i="7" s="1"/>
  <c r="M29" i="7" a="1"/>
  <c r="M29" i="7" s="1"/>
  <c r="T31" i="7" a="1"/>
  <c r="T31" i="7" s="1"/>
  <c r="W33" i="7" a="1"/>
  <c r="W33" i="7" s="1"/>
  <c r="S23" i="7" a="1"/>
  <c r="S23" i="7" s="1"/>
  <c r="J28" i="7" a="1"/>
  <c r="J28" i="7" s="1"/>
  <c r="O35" i="7" a="1"/>
  <c r="O35" i="7" s="1"/>
  <c r="P31" i="7" a="1"/>
  <c r="P31" i="7" s="1"/>
  <c r="S22" i="7" a="1"/>
  <c r="S22" i="7" s="1"/>
  <c r="P30" i="7" a="1"/>
  <c r="P30" i="7" s="1"/>
  <c r="V26" i="7" a="1"/>
  <c r="V26" i="7" s="1"/>
  <c r="M27" i="7" a="1"/>
  <c r="M27" i="7" s="1"/>
  <c r="R29" i="7" a="1"/>
  <c r="R29" i="7" s="1"/>
  <c r="W31" i="7" a="1"/>
  <c r="W31" i="7" s="1"/>
  <c r="M26" i="7" a="1"/>
  <c r="M26" i="7" s="1"/>
  <c r="W30" i="7" a="1"/>
  <c r="W30" i="7" s="1"/>
  <c r="I32" i="7" a="1"/>
  <c r="I32" i="7" s="1"/>
  <c r="L30" i="7" a="1"/>
  <c r="L30" i="7" s="1"/>
  <c r="O32" i="7" a="1"/>
  <c r="O32" i="7" s="1"/>
  <c r="U27" i="7" a="1"/>
  <c r="U27" i="7" s="1"/>
  <c r="O16" i="7" a="1"/>
  <c r="O16" i="7" s="1"/>
  <c r="Q30" i="7" a="1"/>
  <c r="Q30" i="7" s="1"/>
  <c r="N23" i="7" a="1"/>
  <c r="N23" i="7" s="1"/>
  <c r="I27" i="7" a="1"/>
  <c r="I27" i="7" s="1"/>
  <c r="M35" i="7" a="1"/>
  <c r="M35" i="7" s="1"/>
  <c r="R35" i="7" a="1"/>
  <c r="R35" i="7" s="1"/>
  <c r="Q22" i="7" a="1"/>
  <c r="Q22" i="7" s="1"/>
  <c r="T16" i="7" a="1"/>
  <c r="T16" i="7" s="1"/>
  <c r="J25" i="7" a="1"/>
  <c r="J25" i="7" s="1"/>
  <c r="J27" i="7" a="1"/>
  <c r="J27" i="7" s="1"/>
  <c r="L23" i="7" a="1"/>
  <c r="L23" i="7" s="1"/>
  <c r="U28" i="7" a="1"/>
  <c r="U28" i="7" s="1"/>
  <c r="V27" i="7" a="1"/>
  <c r="V27" i="7" s="1"/>
  <c r="T35" i="7" a="1"/>
  <c r="T35" i="7" s="1"/>
  <c r="V25" i="7" a="1"/>
  <c r="V25" i="7" s="1"/>
  <c r="R31" i="7" a="1"/>
  <c r="R31" i="7" s="1"/>
  <c r="V28" i="7" a="1"/>
  <c r="V28" i="7" s="1"/>
  <c r="Q25" i="7" a="1"/>
  <c r="Q25" i="7" s="1"/>
  <c r="K33" i="7" a="1"/>
  <c r="K33" i="7" s="1"/>
  <c r="Y30" i="7" a="1"/>
  <c r="Y30" i="7" s="1"/>
  <c r="W34" i="7" a="1"/>
  <c r="W34" i="7" s="1"/>
  <c r="L29" i="7" a="1"/>
  <c r="L29" i="7" s="1"/>
  <c r="P24" i="7" a="1"/>
  <c r="P24" i="7" s="1"/>
  <c r="Y27" i="7" a="1"/>
  <c r="Y27" i="7" s="1"/>
  <c r="I26" i="7" a="1"/>
  <c r="I26" i="7" s="1"/>
  <c r="Y23" i="7" a="1"/>
  <c r="Y23" i="7" s="1"/>
  <c r="J26" i="7" a="1"/>
  <c r="J26" i="7" s="1"/>
  <c r="U23" i="7" a="1"/>
  <c r="U23" i="7" s="1"/>
  <c r="V35" i="7" a="1"/>
  <c r="V35" i="7" s="1"/>
  <c r="N26" i="7" a="1"/>
  <c r="N26" i="7" s="1"/>
  <c r="P23" i="7" a="1"/>
  <c r="P23" i="7" s="1"/>
  <c r="Y32" i="7" a="1"/>
  <c r="Y32" i="7" s="1"/>
  <c r="U16" i="7" a="1"/>
  <c r="U16" i="7" s="1"/>
  <c r="W16" i="7" a="1"/>
  <c r="W16" i="7" s="1"/>
  <c r="K27" i="7" a="1"/>
  <c r="K27" i="7" s="1"/>
  <c r="R22" i="7" a="1"/>
  <c r="R22" i="7" s="1"/>
  <c r="U26" i="7" a="1"/>
  <c r="U26" i="7" s="1"/>
  <c r="R27" i="7" a="1"/>
  <c r="R27" i="7" s="1"/>
  <c r="S28" i="7" a="1"/>
  <c r="S28" i="7" s="1"/>
  <c r="N29" i="7" a="1"/>
  <c r="N29" i="7" s="1"/>
  <c r="Y25" i="7" a="1"/>
  <c r="Y25" i="7" s="1"/>
  <c r="Q31" i="7" a="1"/>
  <c r="Q31" i="7" s="1"/>
  <c r="M24" i="7" a="1"/>
  <c r="M24" i="7" s="1"/>
  <c r="K24" i="7" a="1"/>
  <c r="K24" i="7" s="1"/>
  <c r="S25" i="7" a="1"/>
  <c r="S25" i="7" s="1"/>
  <c r="S34" i="7" a="1"/>
  <c r="S34" i="7" s="1"/>
  <c r="X27" i="7" a="1"/>
  <c r="X27" i="7" s="1"/>
  <c r="K29" i="7" a="1"/>
  <c r="K29" i="7" s="1"/>
  <c r="N34" i="7" a="1"/>
  <c r="N34" i="7" s="1"/>
  <c r="T28" i="7" a="1"/>
  <c r="T28" i="7" s="1"/>
  <c r="O24" i="7" a="1"/>
  <c r="O24" i="7" s="1"/>
  <c r="T33" i="7" a="1"/>
  <c r="T33" i="7" s="1"/>
  <c r="Q23" i="7" a="1"/>
  <c r="Q23" i="7" s="1"/>
  <c r="W26" i="7" a="1"/>
  <c r="W26" i="7" s="1"/>
  <c r="U24" i="7" a="1"/>
  <c r="U24" i="7" s="1"/>
  <c r="T25" i="7" a="1"/>
  <c r="T25" i="7" s="1"/>
  <c r="W35" i="7" a="1"/>
  <c r="W35" i="7" s="1"/>
  <c r="X23" i="7" a="1"/>
  <c r="X23" i="7" s="1"/>
  <c r="I24" i="7" a="1"/>
  <c r="I24" i="7" s="1"/>
  <c r="N30" i="7" a="1"/>
  <c r="N30" i="7" s="1"/>
  <c r="U34" i="7" a="1"/>
  <c r="U34" i="7" s="1"/>
  <c r="I28" i="7" a="1"/>
  <c r="I28" i="7" s="1"/>
  <c r="X24" i="7" a="1"/>
  <c r="X24" i="7" s="1"/>
  <c r="P29" i="7" a="1"/>
  <c r="P29" i="7" s="1"/>
  <c r="T24" i="7" a="1"/>
  <c r="T24" i="7" s="1"/>
  <c r="S26" i="7" a="1"/>
  <c r="S26" i="7" s="1"/>
  <c r="K32" i="7" a="1"/>
  <c r="K32" i="7" s="1"/>
  <c r="N32" i="7" a="1"/>
  <c r="N32" i="7" s="1"/>
  <c r="P35" i="7" a="1"/>
  <c r="P35" i="7" s="1"/>
  <c r="R26" i="7" a="1"/>
  <c r="R26" i="7" s="1"/>
  <c r="Y16" i="7" a="1"/>
  <c r="Y16" i="7" s="1"/>
  <c r="W23" i="7" a="1"/>
  <c r="W23" i="7" s="1"/>
  <c r="N16" i="7" a="1"/>
  <c r="N16" i="7" s="1"/>
  <c r="N31" i="7" a="1"/>
  <c r="N31" i="7" s="1"/>
  <c r="S31" i="7" a="1"/>
  <c r="S31" i="7" s="1"/>
  <c r="O33" i="7" a="1"/>
  <c r="O33" i="7" s="1"/>
  <c r="L16" i="7" a="1"/>
  <c r="L16" i="7" s="1"/>
  <c r="Y28" i="7" a="1"/>
  <c r="Y28" i="7" s="1"/>
  <c r="L28" i="7" a="1"/>
  <c r="L28" i="7" s="1"/>
  <c r="S27" i="7" a="1"/>
  <c r="S27" i="7" s="1"/>
  <c r="K26" i="7" a="1"/>
  <c r="K26" i="7" s="1"/>
  <c r="L27" i="7" a="1"/>
  <c r="L27" i="7" s="1"/>
  <c r="P32" i="7" a="1"/>
  <c r="P32" i="7" s="1"/>
  <c r="K35" i="7" a="1"/>
  <c r="K35" i="7" s="1"/>
  <c r="K25" i="7" a="1"/>
  <c r="K25" i="7" s="1"/>
  <c r="J35" i="7" a="1"/>
  <c r="J35" i="7" s="1"/>
  <c r="M32" i="7" a="1"/>
  <c r="M32" i="7" s="1"/>
  <c r="K16" i="7" a="1"/>
  <c r="K16" i="7" s="1"/>
  <c r="Q32" i="7" a="1"/>
  <c r="Q32" i="7" s="1"/>
  <c r="O30" i="7" a="1"/>
  <c r="O30" i="7" s="1"/>
  <c r="P25" i="7" a="1"/>
  <c r="P25" i="7" s="1"/>
  <c r="R32" i="7" a="1"/>
  <c r="R32" i="7" s="1"/>
  <c r="O27" i="7" a="1"/>
  <c r="O27" i="7" s="1"/>
  <c r="U31" i="7" a="1"/>
  <c r="U31" i="7" s="1"/>
  <c r="Y34" i="7" a="1"/>
  <c r="Y34" i="7" s="1"/>
  <c r="M23" i="7" a="1"/>
  <c r="M23" i="7" s="1"/>
  <c r="N22" i="7" a="1"/>
  <c r="N22" i="7" s="1"/>
  <c r="X26" i="7" a="1"/>
  <c r="X26" i="7" s="1"/>
  <c r="X30" i="7" a="1"/>
  <c r="X30" i="7" s="1"/>
  <c r="J31" i="7" a="1"/>
  <c r="J31" i="7" s="1"/>
  <c r="P16" i="7" a="1"/>
  <c r="P16" i="7" s="1"/>
  <c r="I25" i="7" a="1"/>
  <c r="I25" i="7" s="1"/>
  <c r="N35" i="7" a="1"/>
  <c r="N35" i="7" s="1"/>
  <c r="V22" i="7" a="1"/>
  <c r="V22" i="7" s="1"/>
  <c r="R23" i="7" a="1"/>
  <c r="R23" i="7" s="1"/>
  <c r="R28" i="7" a="1"/>
  <c r="R28" i="7" s="1"/>
  <c r="Q24" i="7" a="1"/>
  <c r="Q24" i="7" s="1"/>
  <c r="P27" i="7" a="1"/>
  <c r="P27" i="7" s="1"/>
  <c r="S33" i="7" a="1"/>
  <c r="S33" i="7" s="1"/>
  <c r="P33" i="7" a="1"/>
  <c r="P33" i="7" s="1"/>
  <c r="M31" i="7" a="1"/>
  <c r="M31" i="7" s="1"/>
  <c r="V33" i="7" a="1"/>
  <c r="V33" i="7" s="1"/>
  <c r="M33" i="7" a="1"/>
  <c r="M33" i="7" s="1"/>
  <c r="M16" i="7" a="1"/>
  <c r="M16" i="7" s="1"/>
  <c r="O23" i="7" a="1"/>
  <c r="O23" i="7" s="1"/>
  <c r="K30" i="7" a="1"/>
  <c r="K30" i="7" s="1"/>
  <c r="N27" i="7" a="1"/>
  <c r="N27" i="7" s="1"/>
  <c r="U29" i="7" a="1"/>
  <c r="U29" i="7" s="1"/>
  <c r="I30" i="7" a="1"/>
  <c r="I30" i="7" s="1"/>
  <c r="S24" i="7" a="1"/>
  <c r="S24" i="7" s="1"/>
  <c r="M28" i="7" a="1"/>
  <c r="M28" i="7" s="1"/>
  <c r="V30" i="7" a="1"/>
  <c r="V30" i="7" s="1"/>
  <c r="T29" i="7" a="1"/>
  <c r="T29" i="7" s="1"/>
  <c r="R24" i="7" a="1"/>
  <c r="R24" i="7" s="1"/>
  <c r="P28" i="7" a="1"/>
  <c r="P28" i="7" s="1"/>
  <c r="U25" i="7" a="1"/>
  <c r="U25" i="7" s="1"/>
  <c r="Q26" i="7" a="1"/>
  <c r="Q26" i="7" s="1"/>
  <c r="W28" i="7" a="1"/>
  <c r="W28" i="7" s="1"/>
  <c r="W29" i="7" a="1"/>
  <c r="W29" i="7" s="1"/>
  <c r="I29" i="7" a="1"/>
  <c r="I29" i="7" s="1"/>
  <c r="Y26" i="7" a="1"/>
  <c r="Y26" i="7" s="1"/>
  <c r="Y29" i="7" a="1"/>
  <c r="Y29" i="7" s="1"/>
  <c r="Q16" i="7" a="1"/>
  <c r="Q16" i="7" s="1"/>
  <c r="Q33" i="7" a="1"/>
  <c r="Q33" i="7" s="1"/>
  <c r="L33" i="7" a="1"/>
  <c r="L33" i="7" s="1"/>
  <c r="U22" i="7" a="1"/>
  <c r="U22" i="7" s="1"/>
  <c r="L25" i="7" a="1"/>
  <c r="L25" i="7" s="1"/>
  <c r="J30" i="7" a="1"/>
  <c r="J30" i="7" s="1"/>
  <c r="X32" i="7" a="1"/>
  <c r="X32" i="7" s="1"/>
  <c r="I22" i="7" a="1"/>
  <c r="I22" i="7" s="1"/>
  <c r="T22" i="7" a="1"/>
  <c r="T22" i="7" s="1"/>
  <c r="T30" i="7" a="1"/>
  <c r="T30" i="7" s="1"/>
  <c r="P26" i="7" a="1"/>
  <c r="P26" i="7" s="1"/>
  <c r="J34" i="7" a="1"/>
  <c r="J34" i="7" s="1"/>
  <c r="V16" i="7" a="1"/>
  <c r="V16" i="7" s="1"/>
  <c r="O28" i="7" a="1"/>
  <c r="O28" i="7" s="1"/>
  <c r="X28" i="7" a="1"/>
  <c r="X28" i="7" s="1"/>
  <c r="Q34" i="7" a="1"/>
  <c r="Q34" i="7" s="1"/>
  <c r="Q35" i="7" a="1"/>
  <c r="Q35" i="7" s="1"/>
  <c r="J24" i="7" a="1"/>
  <c r="J24" i="7" s="1"/>
  <c r="Y31" i="7" a="1"/>
  <c r="Y31" i="7" s="1"/>
  <c r="L34" i="7" a="1"/>
  <c r="L34" i="7" s="1"/>
  <c r="R16" i="7" a="1"/>
  <c r="R16" i="7" s="1"/>
  <c r="O25" i="7" a="1"/>
  <c r="O25" i="7" s="1"/>
  <c r="S30" i="7" a="1"/>
  <c r="S30" i="7" s="1"/>
  <c r="O34" i="7" a="1"/>
  <c r="O34" i="7" s="1"/>
  <c r="R34" i="7" a="1"/>
  <c r="R34" i="7" s="1"/>
  <c r="S35" i="7" a="1"/>
  <c r="S35" i="7" s="1"/>
  <c r="Y35" i="7" a="1"/>
  <c r="Y35" i="7" s="1"/>
  <c r="L24" i="7" a="1"/>
  <c r="L24" i="7" s="1"/>
  <c r="U30" i="7" a="1"/>
  <c r="U30" i="7" s="1"/>
  <c r="X33" i="7" a="1"/>
  <c r="X33" i="7" s="1"/>
  <c r="L22" i="7" a="1"/>
  <c r="L22" i="7" s="1"/>
  <c r="M30" i="7" a="1"/>
  <c r="M30" i="7" s="1"/>
  <c r="S16" i="7" a="1"/>
  <c r="S16" i="7" s="1"/>
  <c r="R25" i="7" a="1"/>
  <c r="R25" i="7" s="1"/>
  <c r="Q27" i="7" a="1"/>
  <c r="Q27" i="7" s="1"/>
  <c r="J29" i="7" a="1"/>
  <c r="J29" i="7" s="1"/>
  <c r="N28" i="7" a="1"/>
  <c r="N28" i="7" s="1"/>
  <c r="O26" i="7" a="1"/>
  <c r="O26" i="7" s="1"/>
  <c r="Q29" i="7" a="1"/>
  <c r="Q29" i="7" s="1"/>
  <c r="U32" i="7" a="1"/>
  <c r="U32" i="7" s="1"/>
  <c r="X29" i="7" a="1"/>
  <c r="X29" i="7" s="1"/>
  <c r="Q28" i="7" a="1"/>
  <c r="Q28" i="7" s="1"/>
  <c r="L26" i="7" a="1"/>
  <c r="L26" i="7" s="1"/>
  <c r="J32" i="7" a="1"/>
  <c r="J32" i="7" s="1"/>
  <c r="P22" i="7" a="1"/>
  <c r="P22" i="7" s="1"/>
  <c r="P34" i="7" a="1"/>
  <c r="P34" i="7" s="1"/>
  <c r="I34" i="7" a="1"/>
  <c r="I34" i="7" s="1"/>
  <c r="V32" i="7" a="1"/>
  <c r="V32" i="7" s="1"/>
  <c r="Y22" i="7" a="1"/>
  <c r="Y22" i="7" s="1"/>
  <c r="V29" i="7" a="1"/>
  <c r="V29" i="7" s="1"/>
  <c r="K31" i="7" a="1"/>
  <c r="K31" i="7" s="1"/>
  <c r="L31" i="7" a="1"/>
  <c r="L31" i="7" s="1"/>
  <c r="L35" i="7" a="1"/>
  <c r="L35" i="7" s="1"/>
  <c r="R30" i="7" a="1"/>
  <c r="R30" i="7" s="1"/>
  <c r="V31" i="7" a="1"/>
  <c r="V31" i="7" s="1"/>
  <c r="X16" i="7" a="1"/>
  <c r="X16" i="7" s="1"/>
  <c r="M22" i="7" a="1"/>
  <c r="M22" i="7" s="1"/>
  <c r="J16" i="7" a="1"/>
  <c r="J16" i="7" s="1"/>
  <c r="L14" i="7" l="1"/>
  <c r="K14" i="7"/>
  <c r="P14" i="7"/>
  <c r="Q14" i="7"/>
  <c r="O14" i="7"/>
  <c r="V14" i="7"/>
  <c r="N14" i="7"/>
  <c r="Y14" i="7"/>
  <c r="J14" i="7"/>
  <c r="W14" i="7"/>
  <c r="I14" i="7"/>
  <c r="S14" i="7"/>
  <c r="R14" i="7"/>
  <c r="U14" i="7"/>
  <c r="T14" i="7"/>
  <c r="X14" i="7"/>
  <c r="M14" i="7"/>
  <c r="J29" i="6" l="1" a="1"/>
  <c r="J29" i="6" s="1"/>
  <c r="J30" i="6" a="1"/>
  <c r="J30" i="6" s="1"/>
  <c r="J37" i="6" a="1"/>
  <c r="J37" i="6" s="1"/>
  <c r="J42" i="6" a="1"/>
  <c r="J42" i="6" s="1"/>
  <c r="J52" i="6" a="1"/>
  <c r="J52" i="6" s="1"/>
  <c r="J10" i="13" l="1"/>
  <c r="H67" i="12" l="1"/>
  <c r="H66" i="12"/>
  <c r="H65" i="12"/>
  <c r="H64" i="12"/>
  <c r="H60" i="12"/>
  <c r="H59" i="12"/>
  <c r="H43" i="12"/>
  <c r="H46" i="12"/>
  <c r="H45" i="12"/>
  <c r="H44" i="12"/>
  <c r="H41" i="12"/>
  <c r="H38" i="12"/>
  <c r="H39" i="12"/>
  <c r="H40" i="12"/>
  <c r="H34" i="12"/>
  <c r="H32" i="12"/>
  <c r="H26" i="12"/>
  <c r="H22" i="12"/>
  <c r="H35" i="12"/>
  <c r="H25" i="12"/>
  <c r="H33" i="12"/>
  <c r="H31" i="12"/>
  <c r="I52" i="5" l="1"/>
  <c r="I47" i="5"/>
  <c r="H21" i="12"/>
  <c r="H24" i="12" l="1"/>
  <c r="H23" i="12"/>
  <c r="J47" i="6" l="1" a="1"/>
  <c r="J47" i="6" s="1"/>
  <c r="N44" i="6" l="1"/>
  <c r="N45" i="6"/>
  <c r="N46" i="6"/>
  <c r="J43" i="12" l="1"/>
  <c r="L43" i="12" l="1"/>
  <c r="K43" i="12" l="1"/>
  <c r="E59" i="12" l="1"/>
  <c r="F59" i="6"/>
  <c r="G59" i="6"/>
  <c r="N63" i="6" l="1"/>
  <c r="N61" i="6"/>
  <c r="N60" i="6"/>
  <c r="N64" i="6"/>
  <c r="N62" i="6"/>
  <c r="N65" i="6"/>
  <c r="N66" i="6"/>
  <c r="N67" i="6"/>
  <c r="W59" i="5"/>
  <c r="AB59" i="6" s="1"/>
  <c r="I59" i="5" l="1"/>
  <c r="J59" i="6" l="1" a="1"/>
  <c r="J59" i="6" s="1"/>
  <c r="I42" i="5" l="1"/>
  <c r="C68" i="5" l="1"/>
  <c r="A68" i="12" l="1"/>
  <c r="G68" i="5"/>
  <c r="E68" i="5"/>
  <c r="F68" i="5"/>
  <c r="AE68" i="5"/>
  <c r="W68" i="5"/>
  <c r="B68" i="6"/>
  <c r="A68" i="6" s="1"/>
  <c r="H68" i="5"/>
  <c r="B68" i="5"/>
  <c r="AD68" i="5"/>
  <c r="N68" i="5"/>
  <c r="D68" i="6" s="1"/>
  <c r="I37" i="5"/>
  <c r="H68" i="6" l="1" a="1"/>
  <c r="H68" i="6" s="1"/>
  <c r="T68" i="5" s="1"/>
  <c r="M68" i="6"/>
  <c r="BD68" i="6" s="1"/>
  <c r="N68" i="6"/>
  <c r="AI68" i="6" l="1"/>
  <c r="BA68" i="6"/>
  <c r="BG68" i="6"/>
  <c r="AV68" i="6"/>
  <c r="AP68" i="6"/>
  <c r="AE68" i="6"/>
  <c r="BB68" i="6"/>
  <c r="AS68" i="6"/>
  <c r="AO68" i="6"/>
  <c r="AF68" i="6"/>
  <c r="AJ68" i="6"/>
  <c r="AG68" i="6"/>
  <c r="AK68" i="6"/>
  <c r="BF68" i="6"/>
  <c r="AY68" i="6"/>
  <c r="AX68" i="6"/>
  <c r="AC68" i="6"/>
  <c r="AU68" i="6"/>
  <c r="AN68" i="6"/>
  <c r="AM68" i="6"/>
  <c r="BE68" i="6"/>
  <c r="BC68" i="6"/>
  <c r="AB68" i="6"/>
  <c r="AZ68" i="6"/>
  <c r="AQ68" i="6"/>
  <c r="AR68" i="6"/>
  <c r="AH68" i="6"/>
  <c r="AD68" i="6"/>
  <c r="AT68" i="6"/>
  <c r="F71" i="6" l="1"/>
  <c r="E71" i="12"/>
  <c r="F17" i="7" l="1"/>
  <c r="H17" i="7" a="1"/>
  <c r="H17" i="7" s="1"/>
  <c r="E17" i="7" a="1"/>
  <c r="E17" i="7" s="1"/>
  <c r="H18" i="7" a="1"/>
  <c r="H18" i="7" s="1"/>
  <c r="F18" i="7"/>
  <c r="E18" i="7" a="1"/>
  <c r="E18" i="7" s="1"/>
  <c r="H19" i="7" a="1"/>
  <c r="H19" i="7" s="1"/>
  <c r="F19" i="7"/>
  <c r="E19" i="7" a="1"/>
  <c r="E19" i="7" s="1"/>
  <c r="F20" i="7"/>
  <c r="H20" i="7" a="1"/>
  <c r="H20" i="7" s="1"/>
  <c r="E20" i="7" a="1"/>
  <c r="E20" i="7" s="1"/>
  <c r="H21" i="7" a="1"/>
  <c r="H21" i="7" s="1"/>
  <c r="E21" i="7" a="1"/>
  <c r="E21" i="7" s="1"/>
  <c r="F21" i="7"/>
  <c r="E16" i="7" a="1"/>
  <c r="E16" i="7" s="1"/>
  <c r="H16" i="7" a="1"/>
  <c r="H16" i="7" s="1"/>
  <c r="F16" i="7"/>
  <c r="F22" i="7"/>
  <c r="E22" i="7" a="1"/>
  <c r="E22" i="7" s="1"/>
  <c r="H22" i="7" a="1"/>
  <c r="H22" i="7" s="1"/>
  <c r="F23" i="7"/>
  <c r="E23" i="7" a="1"/>
  <c r="E23" i="7" s="1"/>
  <c r="H23" i="7" a="1"/>
  <c r="H23" i="7" s="1"/>
  <c r="H24" i="7" a="1"/>
  <c r="H24" i="7" s="1"/>
  <c r="F24" i="7"/>
  <c r="E24" i="7" a="1"/>
  <c r="E24" i="7" s="1"/>
  <c r="F25" i="7"/>
  <c r="E25" i="7" a="1"/>
  <c r="E25" i="7" s="1"/>
  <c r="H25" i="7" a="1"/>
  <c r="H25" i="7" s="1"/>
  <c r="E26" i="7" a="1"/>
  <c r="E26" i="7" s="1"/>
  <c r="F26" i="7"/>
  <c r="H26" i="7" a="1"/>
  <c r="H26" i="7" s="1"/>
  <c r="E27" i="7" a="1"/>
  <c r="E27" i="7" s="1"/>
  <c r="H27" i="7" a="1"/>
  <c r="H27" i="7" s="1"/>
  <c r="F27" i="7"/>
  <c r="E28" i="7" a="1"/>
  <c r="E28" i="7" s="1"/>
  <c r="F28" i="7"/>
  <c r="H28" i="7" a="1"/>
  <c r="H28" i="7" s="1"/>
  <c r="H29" i="7" a="1"/>
  <c r="H29" i="7" s="1"/>
  <c r="F29" i="7"/>
  <c r="E29" i="7" a="1"/>
  <c r="E29" i="7" s="1"/>
  <c r="F30" i="7"/>
  <c r="H30" i="7" a="1"/>
  <c r="H30" i="7" s="1"/>
  <c r="E30" i="7" a="1"/>
  <c r="E30" i="7" s="1"/>
  <c r="E31" i="7" a="1"/>
  <c r="E31" i="7" s="1"/>
  <c r="F31" i="7"/>
  <c r="H31" i="7" a="1"/>
  <c r="H31" i="7" s="1"/>
  <c r="F32" i="7"/>
  <c r="H32" i="7" a="1"/>
  <c r="H32" i="7" s="1"/>
  <c r="E32" i="7" a="1"/>
  <c r="E32" i="7" s="1"/>
  <c r="E33" i="7" a="1"/>
  <c r="E33" i="7" s="1"/>
  <c r="H33" i="7" a="1"/>
  <c r="H33" i="7" s="1"/>
  <c r="F33" i="7"/>
  <c r="E34" i="7" a="1"/>
  <c r="E34" i="7" s="1"/>
  <c r="H34" i="7" a="1"/>
  <c r="H34" i="7" s="1"/>
  <c r="F34" i="7"/>
  <c r="E35" i="7" a="1"/>
  <c r="E35" i="7" s="1"/>
  <c r="F35" i="7"/>
  <c r="H35" i="7" a="1"/>
  <c r="H35" i="7" s="1"/>
  <c r="F1" i="7"/>
  <c r="H1" i="7" a="1"/>
  <c r="H1" i="7" s="1"/>
  <c r="E1" i="7" a="1"/>
  <c r="E1" i="7" s="1"/>
  <c r="C69" i="5" l="1"/>
  <c r="F14" i="7"/>
  <c r="G28" i="7" s="1"/>
  <c r="H14" i="7"/>
  <c r="E14" i="7"/>
  <c r="AE69" i="5" l="1"/>
  <c r="G69" i="5"/>
  <c r="F69" i="5"/>
  <c r="AD69" i="5"/>
  <c r="D69" i="5"/>
  <c r="B69" i="12" s="1"/>
  <c r="H69" i="5"/>
  <c r="E69" i="5"/>
  <c r="B69" i="5"/>
  <c r="K69" i="5"/>
  <c r="B69" i="6"/>
  <c r="N69" i="5"/>
  <c r="D69" i="6" s="1"/>
  <c r="A69" i="12"/>
  <c r="J69" i="5"/>
  <c r="G16" i="7"/>
  <c r="G31" i="7"/>
  <c r="G27" i="7"/>
  <c r="G1" i="7"/>
  <c r="G17" i="7"/>
  <c r="G21" i="7"/>
  <c r="G18" i="7"/>
  <c r="G19" i="7"/>
  <c r="G20" i="7"/>
  <c r="G30" i="7"/>
  <c r="G34" i="7"/>
  <c r="G25" i="7"/>
  <c r="G33" i="7"/>
  <c r="G32" i="7"/>
  <c r="G23" i="7"/>
  <c r="G22" i="7"/>
  <c r="G29" i="7"/>
  <c r="G24" i="7"/>
  <c r="G26" i="7"/>
  <c r="G35" i="7"/>
  <c r="C70" i="5" l="1"/>
  <c r="H69" i="6" a="1"/>
  <c r="H69" i="6" s="1"/>
  <c r="T69" i="5" s="1"/>
  <c r="L69" i="12"/>
  <c r="J69" i="12"/>
  <c r="A69" i="6"/>
  <c r="M69" i="6" s="1"/>
  <c r="AN69" i="6" s="1"/>
  <c r="F6" i="7"/>
  <c r="K69" i="12" l="1"/>
  <c r="AC69" i="6"/>
  <c r="BC69" i="6"/>
  <c r="AT69" i="6"/>
  <c r="BD69" i="6"/>
  <c r="AE69" i="6"/>
  <c r="AI69" i="6"/>
  <c r="AV69" i="6"/>
  <c r="AJ69" i="6"/>
  <c r="AU69" i="6"/>
  <c r="BE69" i="6"/>
  <c r="BG69" i="6"/>
  <c r="BA69" i="6"/>
  <c r="AG69" i="6"/>
  <c r="AS69" i="6"/>
  <c r="AM69" i="6"/>
  <c r="AK69" i="6"/>
  <c r="AD69" i="6"/>
  <c r="J70" i="5"/>
  <c r="AE70" i="5"/>
  <c r="H70" i="5"/>
  <c r="AD70" i="5"/>
  <c r="A70" i="12"/>
  <c r="F70" i="5"/>
  <c r="K70" i="5"/>
  <c r="D70" i="5"/>
  <c r="B70" i="12" s="1"/>
  <c r="E70" i="5"/>
  <c r="N70" i="5"/>
  <c r="D70" i="6" s="1"/>
  <c r="B70" i="6"/>
  <c r="G70" i="5"/>
  <c r="B70" i="5"/>
  <c r="AX69" i="6"/>
  <c r="AF69" i="6"/>
  <c r="AQ69" i="6"/>
  <c r="AO69" i="6"/>
  <c r="AP69" i="6"/>
  <c r="AY69" i="6"/>
  <c r="AZ69" i="6"/>
  <c r="BB69" i="6"/>
  <c r="AR69" i="6"/>
  <c r="AH69" i="6"/>
  <c r="BF69" i="6"/>
  <c r="H70" i="6" l="1" a="1"/>
  <c r="H70" i="6" s="1"/>
  <c r="T70" i="5" s="1"/>
  <c r="A70" i="6"/>
  <c r="M70" i="6" s="1"/>
  <c r="BC70" i="6" s="1"/>
  <c r="L70" i="12"/>
  <c r="J70" i="12"/>
  <c r="K52" i="5"/>
  <c r="K70" i="12" l="1"/>
  <c r="BF70" i="6"/>
  <c r="AG70" i="6"/>
  <c r="BD70" i="6"/>
  <c r="AT70" i="6"/>
  <c r="AD70" i="6"/>
  <c r="AV70" i="6"/>
  <c r="AP70" i="6"/>
  <c r="AH70" i="6"/>
  <c r="BE70" i="6"/>
  <c r="AC70" i="6"/>
  <c r="AJ70" i="6"/>
  <c r="AU70" i="6"/>
  <c r="AM70" i="6"/>
  <c r="AK70" i="6"/>
  <c r="BG70" i="6"/>
  <c r="AQ70" i="6"/>
  <c r="AX70" i="6"/>
  <c r="AO70" i="6"/>
  <c r="BB70" i="6"/>
  <c r="AE70" i="6"/>
  <c r="AF70" i="6"/>
  <c r="BA70" i="6"/>
  <c r="AR70" i="6"/>
  <c r="AZ70" i="6"/>
  <c r="AY70" i="6"/>
  <c r="AN70" i="6"/>
  <c r="AS70" i="6"/>
  <c r="AI70" i="6"/>
  <c r="H15" i="13" l="1"/>
  <c r="H16" i="13"/>
  <c r="H17" i="13" l="1"/>
  <c r="H18" i="13"/>
  <c r="C71" i="5" l="1"/>
  <c r="F71" i="5" l="1"/>
  <c r="K68" i="5" s="1"/>
  <c r="A71" i="12"/>
  <c r="H71" i="5"/>
  <c r="AE71" i="5"/>
  <c r="W71" i="5"/>
  <c r="N71" i="5"/>
  <c r="D71" i="6" s="1"/>
  <c r="G71" i="5"/>
  <c r="E71" i="5"/>
  <c r="B71" i="6"/>
  <c r="A71" i="6" s="1"/>
  <c r="C72" i="5"/>
  <c r="C73" i="5" s="1"/>
  <c r="B71" i="5"/>
  <c r="AD71" i="5"/>
  <c r="J73" i="5" l="1"/>
  <c r="K73" i="5"/>
  <c r="N73" i="5"/>
  <c r="AD73" i="5"/>
  <c r="AE73" i="5"/>
  <c r="B73" i="6"/>
  <c r="D73" i="5"/>
  <c r="B73" i="12" s="1"/>
  <c r="A73" i="12"/>
  <c r="F72" i="5"/>
  <c r="F73" i="5" s="1"/>
  <c r="K72" i="5"/>
  <c r="AE72" i="5"/>
  <c r="H72" i="5"/>
  <c r="H73" i="5" s="1"/>
  <c r="N72" i="5"/>
  <c r="D72" i="6" s="1"/>
  <c r="E72" i="5"/>
  <c r="E73" i="5" s="1"/>
  <c r="J72" i="5"/>
  <c r="D72" i="5"/>
  <c r="B72" i="12" s="1"/>
  <c r="B72" i="5"/>
  <c r="B73" i="5" s="1"/>
  <c r="A72" i="12"/>
  <c r="C74" i="5"/>
  <c r="AD72" i="5"/>
  <c r="G72" i="5"/>
  <c r="G73" i="5" s="1"/>
  <c r="B72" i="6"/>
  <c r="M71" i="6"/>
  <c r="AV71" i="6" s="1"/>
  <c r="H71" i="6" a="1"/>
  <c r="H71" i="6" s="1"/>
  <c r="T71" i="5" s="1"/>
  <c r="G71" i="6"/>
  <c r="AF73" i="5"/>
  <c r="R73" i="5" l="1"/>
  <c r="AG73" i="5"/>
  <c r="U73" i="5" s="1"/>
  <c r="S73" i="5"/>
  <c r="D73" i="6"/>
  <c r="F73" i="6"/>
  <c r="E73" i="12"/>
  <c r="J73" i="12"/>
  <c r="L73" i="12"/>
  <c r="BD71" i="6"/>
  <c r="AB71" i="6"/>
  <c r="BG71" i="6"/>
  <c r="AN71" i="6"/>
  <c r="BA71" i="6"/>
  <c r="AP71" i="6"/>
  <c r="AG71" i="6"/>
  <c r="AS71" i="6"/>
  <c r="AT71" i="6"/>
  <c r="BF71" i="6"/>
  <c r="AO71" i="6"/>
  <c r="AH71" i="6"/>
  <c r="AJ71" i="6"/>
  <c r="BE71" i="6"/>
  <c r="AX71" i="6"/>
  <c r="AI71" i="6"/>
  <c r="AU71" i="6"/>
  <c r="BB71" i="6"/>
  <c r="AQ71" i="6"/>
  <c r="A72" i="6"/>
  <c r="AR71" i="6"/>
  <c r="E74" i="5"/>
  <c r="J74" i="5"/>
  <c r="K74" i="5"/>
  <c r="B74" i="6"/>
  <c r="C75" i="5"/>
  <c r="G74" i="5"/>
  <c r="H74" i="5"/>
  <c r="B74" i="5"/>
  <c r="A74" i="12"/>
  <c r="D74" i="5"/>
  <c r="B74" i="12" s="1"/>
  <c r="AD74" i="5"/>
  <c r="AE74" i="5"/>
  <c r="F74" i="5"/>
  <c r="N74" i="5"/>
  <c r="D74" i="6" s="1"/>
  <c r="H72" i="6" a="1"/>
  <c r="H72" i="6" s="1"/>
  <c r="T72" i="5" s="1"/>
  <c r="AM71" i="6"/>
  <c r="AC71" i="6"/>
  <c r="AY71" i="6"/>
  <c r="AE71" i="6"/>
  <c r="AD71" i="6"/>
  <c r="L72" i="12"/>
  <c r="J72" i="12"/>
  <c r="AK71" i="6"/>
  <c r="AF71" i="6"/>
  <c r="AZ71" i="6"/>
  <c r="BC71" i="6"/>
  <c r="H14" i="13"/>
  <c r="M72" i="6" l="1"/>
  <c r="A73" i="6"/>
  <c r="W73" i="5"/>
  <c r="AN73" i="5"/>
  <c r="K73" i="12"/>
  <c r="H73" i="6" a="1"/>
  <c r="H73" i="6" s="1"/>
  <c r="G73" i="6"/>
  <c r="A75" i="12"/>
  <c r="B75" i="6"/>
  <c r="G75" i="5"/>
  <c r="AD75" i="5"/>
  <c r="N75" i="5"/>
  <c r="D75" i="6" s="1"/>
  <c r="E75" i="5"/>
  <c r="H75" i="5"/>
  <c r="D75" i="5"/>
  <c r="B75" i="12" s="1"/>
  <c r="J75" i="5"/>
  <c r="F75" i="5"/>
  <c r="B75" i="5"/>
  <c r="C76" i="5"/>
  <c r="AE75" i="5"/>
  <c r="K75" i="5"/>
  <c r="H74" i="6" a="1"/>
  <c r="H74" i="6" s="1"/>
  <c r="T74" i="5" s="1"/>
  <c r="J74" i="12"/>
  <c r="L74" i="12"/>
  <c r="K72" i="12"/>
  <c r="K59" i="5"/>
  <c r="BD72" i="6" l="1"/>
  <c r="BA72" i="6"/>
  <c r="AF72" i="6"/>
  <c r="BE72" i="6"/>
  <c r="AV72" i="6"/>
  <c r="AM72" i="6"/>
  <c r="BB72" i="6"/>
  <c r="BC72" i="6"/>
  <c r="AS72" i="6"/>
  <c r="AU72" i="6"/>
  <c r="AX72" i="6"/>
  <c r="AQ72" i="6"/>
  <c r="BG72" i="6"/>
  <c r="AY72" i="6"/>
  <c r="AZ72" i="6"/>
  <c r="AN72" i="6"/>
  <c r="BF72" i="6"/>
  <c r="AR72" i="6"/>
  <c r="AT72" i="6"/>
  <c r="AO72" i="6"/>
  <c r="AP72" i="6"/>
  <c r="AE72" i="6"/>
  <c r="AD72" i="6"/>
  <c r="AJ72" i="6"/>
  <c r="AK72" i="6"/>
  <c r="AI72" i="6"/>
  <c r="AC72" i="6"/>
  <c r="AH72" i="6"/>
  <c r="AG72" i="6"/>
  <c r="A74" i="6"/>
  <c r="M73" i="6"/>
  <c r="N73" i="6"/>
  <c r="T73" i="5"/>
  <c r="K74" i="12"/>
  <c r="H75" i="6" a="1"/>
  <c r="H75" i="6" s="1"/>
  <c r="T75" i="5" s="1"/>
  <c r="L75" i="12"/>
  <c r="J75" i="12"/>
  <c r="AD76" i="5"/>
  <c r="J76" i="5"/>
  <c r="K76" i="5"/>
  <c r="B76" i="5"/>
  <c r="G76" i="5"/>
  <c r="E76" i="5"/>
  <c r="D76" i="5"/>
  <c r="B76" i="12" s="1"/>
  <c r="N76" i="5"/>
  <c r="D76" i="6" s="1"/>
  <c r="B76" i="6"/>
  <c r="F76" i="5"/>
  <c r="A76" i="12"/>
  <c r="H76" i="5"/>
  <c r="AE76" i="5"/>
  <c r="M74" i="6" l="1"/>
  <c r="A75" i="6"/>
  <c r="AJ73" i="6"/>
  <c r="AX73" i="6"/>
  <c r="AZ73" i="6"/>
  <c r="BC73" i="6"/>
  <c r="BF73" i="6"/>
  <c r="AN73" i="6"/>
  <c r="AR73" i="6"/>
  <c r="AT73" i="6"/>
  <c r="AH73" i="6"/>
  <c r="AO73" i="6"/>
  <c r="AE73" i="6"/>
  <c r="AF73" i="6"/>
  <c r="AI73" i="6"/>
  <c r="AC73" i="6"/>
  <c r="AG73" i="6"/>
  <c r="AK73" i="6"/>
  <c r="AP73" i="6"/>
  <c r="AS73" i="6"/>
  <c r="AY73" i="6"/>
  <c r="BD73" i="6"/>
  <c r="AB73" i="6"/>
  <c r="AD73" i="6"/>
  <c r="AM73" i="6"/>
  <c r="AQ73" i="6"/>
  <c r="AU73" i="6"/>
  <c r="BB73" i="6"/>
  <c r="BG73" i="6"/>
  <c r="AV73" i="6"/>
  <c r="BA73" i="6"/>
  <c r="BE73" i="6"/>
  <c r="K75" i="12"/>
  <c r="C77" i="5"/>
  <c r="H76" i="6" a="1"/>
  <c r="H76" i="6" s="1"/>
  <c r="T76" i="5" s="1"/>
  <c r="L76" i="12"/>
  <c r="J76" i="12"/>
  <c r="X73" i="5" l="1"/>
  <c r="I73" i="12" s="1"/>
  <c r="AF74" i="6"/>
  <c r="AO74" i="6"/>
  <c r="AS74" i="6"/>
  <c r="BG74" i="6"/>
  <c r="BD74" i="6"/>
  <c r="BB74" i="6"/>
  <c r="AM74" i="6"/>
  <c r="AQ74" i="6"/>
  <c r="AC74" i="6"/>
  <c r="AZ74" i="6"/>
  <c r="AE74" i="6"/>
  <c r="AJ74" i="6"/>
  <c r="AV74" i="6"/>
  <c r="AP74" i="6"/>
  <c r="AT74" i="6"/>
  <c r="BA74" i="6"/>
  <c r="AU74" i="6"/>
  <c r="AD74" i="6"/>
  <c r="AR74" i="6"/>
  <c r="AX74" i="6"/>
  <c r="AY74" i="6"/>
  <c r="AI74" i="6"/>
  <c r="AG74" i="6"/>
  <c r="AH74" i="6"/>
  <c r="AK74" i="6"/>
  <c r="BC74" i="6"/>
  <c r="BE74" i="6"/>
  <c r="AN74" i="6"/>
  <c r="BF74" i="6"/>
  <c r="N75" i="6"/>
  <c r="M75" i="6"/>
  <c r="A76" i="6"/>
  <c r="K76" i="12"/>
  <c r="N77" i="5"/>
  <c r="D77" i="6" s="1"/>
  <c r="G77" i="5"/>
  <c r="D77" i="5"/>
  <c r="B77" i="12" s="1"/>
  <c r="E77" i="5"/>
  <c r="F77" i="5"/>
  <c r="B77" i="6"/>
  <c r="J77" i="5"/>
  <c r="AD77" i="5"/>
  <c r="B77" i="5"/>
  <c r="A77" i="12"/>
  <c r="AE77" i="5"/>
  <c r="H77" i="5"/>
  <c r="K77" i="5"/>
  <c r="C78" i="5"/>
  <c r="Z73" i="5" l="1"/>
  <c r="AB73" i="5" s="1"/>
  <c r="L73" i="5"/>
  <c r="C73" i="6" s="1"/>
  <c r="AM73" i="5"/>
  <c r="O73" i="12"/>
  <c r="AO73" i="12"/>
  <c r="M76" i="6"/>
  <c r="N76" i="6"/>
  <c r="M73" i="12"/>
  <c r="C73" i="12"/>
  <c r="AC73" i="5"/>
  <c r="AZ75" i="6"/>
  <c r="AO75" i="6"/>
  <c r="AS75" i="6"/>
  <c r="AK75" i="6"/>
  <c r="BA75" i="6"/>
  <c r="BC75" i="6"/>
  <c r="AF75" i="6"/>
  <c r="AN75" i="6"/>
  <c r="AX75" i="6"/>
  <c r="BD75" i="6"/>
  <c r="AE75" i="6"/>
  <c r="AT75" i="6"/>
  <c r="AY75" i="6"/>
  <c r="BG75" i="6"/>
  <c r="AQ75" i="6"/>
  <c r="AP75" i="6"/>
  <c r="AI75" i="6"/>
  <c r="AM75" i="6"/>
  <c r="AJ75" i="6"/>
  <c r="BB75" i="6"/>
  <c r="AU75" i="6"/>
  <c r="BE75" i="6"/>
  <c r="AD75" i="6"/>
  <c r="BF75" i="6"/>
  <c r="AV75" i="6"/>
  <c r="AG75" i="6"/>
  <c r="AR75" i="6"/>
  <c r="AC75" i="6"/>
  <c r="AH75" i="6"/>
  <c r="B78" i="5"/>
  <c r="E78" i="5"/>
  <c r="AE78" i="5"/>
  <c r="D78" i="5"/>
  <c r="B78" i="12" s="1"/>
  <c r="B78" i="6"/>
  <c r="A78" i="12"/>
  <c r="H78" i="5"/>
  <c r="C79" i="5"/>
  <c r="G78" i="5"/>
  <c r="N78" i="5"/>
  <c r="D78" i="6" s="1"/>
  <c r="AD78" i="5"/>
  <c r="K78" i="5"/>
  <c r="J78" i="5"/>
  <c r="F78" i="5"/>
  <c r="J77" i="12"/>
  <c r="L77" i="12"/>
  <c r="H77" i="6" a="1"/>
  <c r="H77" i="6" s="1"/>
  <c r="T77" i="5" s="1"/>
  <c r="A77" i="6"/>
  <c r="N77" i="6" s="1"/>
  <c r="Y73" i="12" l="1"/>
  <c r="N73" i="12"/>
  <c r="AM76" i="6"/>
  <c r="AQ76" i="6"/>
  <c r="X73" i="12"/>
  <c r="W73" i="12"/>
  <c r="AC76" i="6"/>
  <c r="AZ76" i="6"/>
  <c r="AJ76" i="6"/>
  <c r="AU76" i="6"/>
  <c r="BD76" i="6"/>
  <c r="AS76" i="6"/>
  <c r="AY76" i="6"/>
  <c r="BF76" i="6"/>
  <c r="AE76" i="6"/>
  <c r="AI76" i="6"/>
  <c r="AG76" i="6"/>
  <c r="BG76" i="6"/>
  <c r="AN76" i="6"/>
  <c r="AX76" i="6"/>
  <c r="AR76" i="6"/>
  <c r="AF76" i="6"/>
  <c r="AV76" i="6"/>
  <c r="AH76" i="6"/>
  <c r="AT76" i="6"/>
  <c r="BC76" i="6"/>
  <c r="AK76" i="6"/>
  <c r="AP76" i="6"/>
  <c r="AO76" i="6"/>
  <c r="BA76" i="6"/>
  <c r="AD76" i="6"/>
  <c r="BB76" i="6"/>
  <c r="BE76" i="6"/>
  <c r="K77" i="12"/>
  <c r="A78" i="6"/>
  <c r="N78" i="6" s="1"/>
  <c r="M77" i="6"/>
  <c r="AD77" i="6" s="1"/>
  <c r="J79" i="5"/>
  <c r="B79" i="6"/>
  <c r="G79" i="5"/>
  <c r="F79" i="5"/>
  <c r="E79" i="5"/>
  <c r="D79" i="5"/>
  <c r="B79" i="12" s="1"/>
  <c r="H79" i="5"/>
  <c r="K79" i="5"/>
  <c r="N79" i="5"/>
  <c r="D79" i="6" s="1"/>
  <c r="AE79" i="5"/>
  <c r="AD79" i="5"/>
  <c r="B79" i="5"/>
  <c r="C80" i="5"/>
  <c r="A79" i="12"/>
  <c r="L78" i="12"/>
  <c r="J78" i="12"/>
  <c r="H78" i="6" a="1"/>
  <c r="H78" i="6" s="1"/>
  <c r="T78" i="5" s="1"/>
  <c r="U73" i="12" l="1"/>
  <c r="T73" i="12"/>
  <c r="V73" i="12"/>
  <c r="AF77" i="6"/>
  <c r="BF77" i="6"/>
  <c r="BD77" i="6"/>
  <c r="AV77" i="6"/>
  <c r="AY77" i="6"/>
  <c r="AI77" i="6"/>
  <c r="BA77" i="6"/>
  <c r="BB77" i="6"/>
  <c r="AJ77" i="6"/>
  <c r="AO77" i="6"/>
  <c r="M78" i="6"/>
  <c r="AY78" i="6" s="1"/>
  <c r="AQ77" i="6"/>
  <c r="AG77" i="6"/>
  <c r="AH77" i="6"/>
  <c r="AN77" i="6"/>
  <c r="AM77" i="6"/>
  <c r="AE77" i="6"/>
  <c r="AX77" i="6"/>
  <c r="AP77" i="6"/>
  <c r="AT77" i="6"/>
  <c r="BE77" i="6"/>
  <c r="AK77" i="6"/>
  <c r="AU77" i="6"/>
  <c r="BC77" i="6"/>
  <c r="BG77" i="6"/>
  <c r="AZ77" i="6"/>
  <c r="AR77" i="6"/>
  <c r="AS77" i="6"/>
  <c r="AC77" i="6"/>
  <c r="H79" i="6" a="1"/>
  <c r="H79" i="6" s="1"/>
  <c r="T79" i="5" s="1"/>
  <c r="A79" i="6"/>
  <c r="M79" i="6" s="1"/>
  <c r="AS79" i="6" s="1"/>
  <c r="K78" i="12"/>
  <c r="J79" i="12"/>
  <c r="L79" i="12"/>
  <c r="H80" i="5"/>
  <c r="K80" i="5"/>
  <c r="AE80" i="5"/>
  <c r="G80" i="5"/>
  <c r="N80" i="5"/>
  <c r="D80" i="6" s="1"/>
  <c r="J80" i="5"/>
  <c r="C81" i="5"/>
  <c r="A80" i="12"/>
  <c r="F80" i="5"/>
  <c r="B80" i="6"/>
  <c r="E80" i="5"/>
  <c r="D80" i="5"/>
  <c r="B80" i="12" s="1"/>
  <c r="AD80" i="5"/>
  <c r="B80" i="5"/>
  <c r="AJ78" i="6" l="1"/>
  <c r="AH78" i="6"/>
  <c r="BE78" i="6"/>
  <c r="AV78" i="6"/>
  <c r="BF78" i="6"/>
  <c r="AI78" i="6"/>
  <c r="AK78" i="6"/>
  <c r="AD78" i="6"/>
  <c r="AS78" i="6"/>
  <c r="AF78" i="6"/>
  <c r="AP78" i="6"/>
  <c r="AO78" i="6"/>
  <c r="BB78" i="6"/>
  <c r="AM78" i="6"/>
  <c r="AC78" i="6"/>
  <c r="AE78" i="6"/>
  <c r="BG78" i="6"/>
  <c r="BD78" i="6"/>
  <c r="AQ78" i="6"/>
  <c r="AN78" i="6"/>
  <c r="BA78" i="6"/>
  <c r="AR78" i="6"/>
  <c r="AT78" i="6"/>
  <c r="BC78" i="6"/>
  <c r="AU78" i="6"/>
  <c r="AZ78" i="6"/>
  <c r="AG78" i="6"/>
  <c r="AX78" i="6"/>
  <c r="AV79" i="6"/>
  <c r="AP79" i="6"/>
  <c r="BG79" i="6"/>
  <c r="AC79" i="6"/>
  <c r="BE79" i="6"/>
  <c r="AY79" i="6"/>
  <c r="AT79" i="6"/>
  <c r="BB79" i="6"/>
  <c r="BC79" i="6"/>
  <c r="AQ79" i="6"/>
  <c r="J80" i="12"/>
  <c r="L80" i="12"/>
  <c r="AD79" i="6"/>
  <c r="AE81" i="5"/>
  <c r="J81" i="5"/>
  <c r="K81" i="5"/>
  <c r="G81" i="5"/>
  <c r="D81" i="5"/>
  <c r="B81" i="12" s="1"/>
  <c r="C82" i="5"/>
  <c r="E81" i="5"/>
  <c r="H81" i="5"/>
  <c r="N81" i="5"/>
  <c r="D81" i="6" s="1"/>
  <c r="B81" i="5"/>
  <c r="F81" i="5"/>
  <c r="B81" i="6"/>
  <c r="A81" i="12"/>
  <c r="AD81" i="5"/>
  <c r="BF79" i="6"/>
  <c r="K79" i="12"/>
  <c r="AM79" i="6"/>
  <c r="AF79" i="6"/>
  <c r="AX79" i="6"/>
  <c r="AR79" i="6"/>
  <c r="AK79" i="6"/>
  <c r="A80" i="6"/>
  <c r="N80" i="6" s="1"/>
  <c r="BD79" i="6"/>
  <c r="AI79" i="6"/>
  <c r="AN79" i="6"/>
  <c r="AH79" i="6"/>
  <c r="AJ79" i="6"/>
  <c r="H80" i="6" a="1"/>
  <c r="H80" i="6" s="1"/>
  <c r="T80" i="5" s="1"/>
  <c r="N79" i="6"/>
  <c r="AZ79" i="6"/>
  <c r="AO79" i="6"/>
  <c r="AU79" i="6"/>
  <c r="AG79" i="6"/>
  <c r="BA79" i="6"/>
  <c r="AE79" i="6"/>
  <c r="M80" i="6" l="1"/>
  <c r="AI80" i="6" s="1"/>
  <c r="K80" i="12"/>
  <c r="A81" i="6"/>
  <c r="N81" i="6" s="1"/>
  <c r="H81" i="6" a="1"/>
  <c r="H81" i="6" s="1"/>
  <c r="T81" i="5" s="1"/>
  <c r="B82" i="5"/>
  <c r="A82" i="12"/>
  <c r="N82" i="5"/>
  <c r="D82" i="6" s="1"/>
  <c r="C83" i="5"/>
  <c r="D82" i="5"/>
  <c r="B82" i="12" s="1"/>
  <c r="AD82" i="5"/>
  <c r="B82" i="6"/>
  <c r="AE82" i="5"/>
  <c r="K82" i="5"/>
  <c r="H82" i="5"/>
  <c r="E82" i="5"/>
  <c r="F82" i="5"/>
  <c r="J82" i="5"/>
  <c r="G82" i="5"/>
  <c r="J81" i="12"/>
  <c r="L81" i="12"/>
  <c r="F68" i="6"/>
  <c r="E68" i="12"/>
  <c r="G68" i="6"/>
  <c r="M81" i="6" l="1"/>
  <c r="AM81" i="6" s="1"/>
  <c r="BB80" i="6"/>
  <c r="AH80" i="6"/>
  <c r="AR80" i="6"/>
  <c r="AN80" i="6"/>
  <c r="BE80" i="6"/>
  <c r="AK80" i="6"/>
  <c r="AV80" i="6"/>
  <c r="AD80" i="6"/>
  <c r="AJ80" i="6"/>
  <c r="AE80" i="6"/>
  <c r="AU80" i="6"/>
  <c r="BG80" i="6"/>
  <c r="BF80" i="6"/>
  <c r="AP80" i="6"/>
  <c r="AM80" i="6"/>
  <c r="BD80" i="6"/>
  <c r="AS80" i="6"/>
  <c r="BC80" i="6"/>
  <c r="AO80" i="6"/>
  <c r="AY80" i="6"/>
  <c r="AC80" i="6"/>
  <c r="AT80" i="6"/>
  <c r="AF80" i="6"/>
  <c r="AX80" i="6"/>
  <c r="BA80" i="6"/>
  <c r="AQ80" i="6"/>
  <c r="AG80" i="6"/>
  <c r="AZ80" i="6"/>
  <c r="A82" i="6"/>
  <c r="N82" i="6" s="1"/>
  <c r="B83" i="5"/>
  <c r="K83" i="5"/>
  <c r="C84" i="5"/>
  <c r="N83" i="5"/>
  <c r="D83" i="6" s="1"/>
  <c r="A83" i="12"/>
  <c r="B83" i="6"/>
  <c r="E83" i="5"/>
  <c r="AD83" i="5"/>
  <c r="F83" i="5"/>
  <c r="G83" i="5"/>
  <c r="J83" i="5"/>
  <c r="D83" i="5"/>
  <c r="B83" i="12" s="1"/>
  <c r="AE83" i="5"/>
  <c r="H83" i="5"/>
  <c r="K81" i="12"/>
  <c r="H82" i="6" a="1"/>
  <c r="H82" i="6" s="1"/>
  <c r="T82" i="5" s="1"/>
  <c r="J82" i="12"/>
  <c r="L82" i="12"/>
  <c r="N69" i="6"/>
  <c r="N70" i="6"/>
  <c r="N71" i="6"/>
  <c r="N72" i="6"/>
  <c r="N74" i="6"/>
  <c r="BA81" i="6" l="1"/>
  <c r="AK81" i="6"/>
  <c r="AT81" i="6"/>
  <c r="AQ81" i="6"/>
  <c r="AO81" i="6"/>
  <c r="BB81" i="6"/>
  <c r="AY81" i="6"/>
  <c r="BG81" i="6"/>
  <c r="BD81" i="6"/>
  <c r="AZ81" i="6"/>
  <c r="AH81" i="6"/>
  <c r="AX81" i="6"/>
  <c r="BF81" i="6"/>
  <c r="AF81" i="6"/>
  <c r="AD81" i="6"/>
  <c r="AV81" i="6"/>
  <c r="AS81" i="6"/>
  <c r="AE81" i="6"/>
  <c r="BE81" i="6"/>
  <c r="AU81" i="6"/>
  <c r="AC81" i="6"/>
  <c r="AJ81" i="6"/>
  <c r="AI81" i="6"/>
  <c r="BC81" i="6"/>
  <c r="AR81" i="6"/>
  <c r="AN81" i="6"/>
  <c r="AG81" i="6"/>
  <c r="AP81" i="6"/>
  <c r="A83" i="6"/>
  <c r="N83" i="6" s="1"/>
  <c r="M82" i="6"/>
  <c r="AH82" i="6" s="1"/>
  <c r="K82" i="12"/>
  <c r="D84" i="5"/>
  <c r="B84" i="12" s="1"/>
  <c r="K84" i="5"/>
  <c r="AD84" i="5"/>
  <c r="A84" i="12"/>
  <c r="E84" i="5"/>
  <c r="J84" i="5"/>
  <c r="AE84" i="5"/>
  <c r="H84" i="5"/>
  <c r="F84" i="5"/>
  <c r="B84" i="5"/>
  <c r="B84" i="6"/>
  <c r="C85" i="5"/>
  <c r="C86" i="5" s="1"/>
  <c r="N84" i="5"/>
  <c r="D84" i="6" s="1"/>
  <c r="G84" i="5"/>
  <c r="H83" i="6" a="1"/>
  <c r="H83" i="6" s="1"/>
  <c r="T83" i="5" s="1"/>
  <c r="L83" i="12"/>
  <c r="J83" i="12"/>
  <c r="C87" i="5" l="1"/>
  <c r="C88" i="5" s="1"/>
  <c r="K86" i="5"/>
  <c r="N86" i="5"/>
  <c r="B86" i="6"/>
  <c r="A86" i="12"/>
  <c r="D86" i="5"/>
  <c r="B86" i="12" s="1"/>
  <c r="J86" i="5"/>
  <c r="AD86" i="5"/>
  <c r="AE86" i="5"/>
  <c r="M83" i="6"/>
  <c r="BE83" i="6" s="1"/>
  <c r="K83" i="12"/>
  <c r="A84" i="6"/>
  <c r="N84" i="6" s="1"/>
  <c r="AS82" i="6"/>
  <c r="AT82" i="6"/>
  <c r="AF82" i="6"/>
  <c r="AO82" i="6"/>
  <c r="AG82" i="6"/>
  <c r="BG82" i="6"/>
  <c r="AE82" i="6"/>
  <c r="BA82" i="6"/>
  <c r="AQ82" i="6"/>
  <c r="AJ82" i="6"/>
  <c r="AN82" i="6"/>
  <c r="AI82" i="6"/>
  <c r="AX82" i="6"/>
  <c r="AK82" i="6"/>
  <c r="AY82" i="6"/>
  <c r="AD82" i="6"/>
  <c r="BB82" i="6"/>
  <c r="BF82" i="6"/>
  <c r="AP82" i="6"/>
  <c r="AU82" i="6"/>
  <c r="AV82" i="6"/>
  <c r="AR82" i="6"/>
  <c r="AM82" i="6"/>
  <c r="AZ82" i="6"/>
  <c r="BC82" i="6"/>
  <c r="AC82" i="6"/>
  <c r="BE82" i="6"/>
  <c r="BD82" i="6"/>
  <c r="H84" i="6" a="1"/>
  <c r="H84" i="6" s="1"/>
  <c r="T84" i="5" s="1"/>
  <c r="L84" i="12"/>
  <c r="J84" i="12"/>
  <c r="J85" i="5"/>
  <c r="K85" i="5"/>
  <c r="AD85" i="5"/>
  <c r="G85" i="5"/>
  <c r="G86" i="5" s="1"/>
  <c r="A85" i="12"/>
  <c r="F85" i="5"/>
  <c r="F86" i="5" s="1"/>
  <c r="H85" i="5"/>
  <c r="H86" i="5" s="1"/>
  <c r="N85" i="5"/>
  <c r="D85" i="6" s="1"/>
  <c r="AE85" i="5"/>
  <c r="B85" i="6"/>
  <c r="D85" i="5"/>
  <c r="B85" i="12" s="1"/>
  <c r="B85" i="5"/>
  <c r="B86" i="5" s="1"/>
  <c r="E85" i="5"/>
  <c r="E86" i="5" s="1"/>
  <c r="AF86" i="5"/>
  <c r="R86" i="5" l="1"/>
  <c r="AD88" i="5"/>
  <c r="AE88" i="5"/>
  <c r="B88" i="6"/>
  <c r="A88" i="12"/>
  <c r="K88" i="5"/>
  <c r="D88" i="5"/>
  <c r="B88" i="12" s="1"/>
  <c r="J88" i="5"/>
  <c r="N88" i="5"/>
  <c r="E87" i="5"/>
  <c r="E88" i="5" s="1"/>
  <c r="B87" i="5"/>
  <c r="B88" i="5" s="1"/>
  <c r="AE87" i="5"/>
  <c r="A87" i="12"/>
  <c r="B87" i="6"/>
  <c r="F87" i="5"/>
  <c r="F88" i="5" s="1"/>
  <c r="AD87" i="5"/>
  <c r="D87" i="5"/>
  <c r="B87" i="12" s="1"/>
  <c r="J87" i="5"/>
  <c r="K87" i="5"/>
  <c r="N87" i="5"/>
  <c r="D87" i="6" s="1"/>
  <c r="AG86" i="5"/>
  <c r="U86" i="5" s="1"/>
  <c r="S86" i="5"/>
  <c r="D86" i="6"/>
  <c r="J86" i="12"/>
  <c r="L86" i="12"/>
  <c r="K86" i="12" s="1"/>
  <c r="E86" i="12"/>
  <c r="F86" i="6"/>
  <c r="G87" i="5"/>
  <c r="G88" i="5" s="1"/>
  <c r="H87" i="5"/>
  <c r="H88" i="5" s="1"/>
  <c r="AZ83" i="6"/>
  <c r="AC83" i="6"/>
  <c r="BA83" i="6"/>
  <c r="AK83" i="6"/>
  <c r="AY83" i="6"/>
  <c r="AO83" i="6"/>
  <c r="AS83" i="6"/>
  <c r="AX83" i="6"/>
  <c r="BD83" i="6"/>
  <c r="AD83" i="6"/>
  <c r="AQ83" i="6"/>
  <c r="AR83" i="6"/>
  <c r="AN83" i="6"/>
  <c r="AU83" i="6"/>
  <c r="AI83" i="6"/>
  <c r="AP83" i="6"/>
  <c r="AJ83" i="6"/>
  <c r="AF83" i="6"/>
  <c r="AE83" i="6"/>
  <c r="BC83" i="6"/>
  <c r="BG83" i="6"/>
  <c r="AV83" i="6"/>
  <c r="AH83" i="6"/>
  <c r="AT83" i="6"/>
  <c r="BB83" i="6"/>
  <c r="AG83" i="6"/>
  <c r="BF83" i="6"/>
  <c r="AM83" i="6"/>
  <c r="M84" i="6"/>
  <c r="AK84" i="6" s="1"/>
  <c r="A85" i="6"/>
  <c r="H85" i="6" a="1"/>
  <c r="H85" i="6" s="1"/>
  <c r="T85" i="5" s="1"/>
  <c r="K84" i="12"/>
  <c r="L85" i="12"/>
  <c r="J85" i="12"/>
  <c r="J68" i="6" a="1"/>
  <c r="J68" i="6" s="1"/>
  <c r="J71" i="6" a="1"/>
  <c r="J71" i="6" s="1"/>
  <c r="AF87" i="5"/>
  <c r="AF88" i="5"/>
  <c r="R88" i="5" l="1"/>
  <c r="S88" i="5"/>
  <c r="AG88" i="5"/>
  <c r="U88" i="5" s="1"/>
  <c r="J88" i="12"/>
  <c r="L88" i="12"/>
  <c r="D88" i="6"/>
  <c r="E88" i="12"/>
  <c r="F88" i="6"/>
  <c r="A86" i="6"/>
  <c r="R87" i="5"/>
  <c r="S87" i="5"/>
  <c r="G87" i="6" s="1"/>
  <c r="AG87" i="5"/>
  <c r="U87" i="5" s="1"/>
  <c r="J87" i="12"/>
  <c r="L87" i="12"/>
  <c r="W86" i="5"/>
  <c r="AN86" i="5"/>
  <c r="H86" i="6" a="1"/>
  <c r="H86" i="6" s="1"/>
  <c r="G86" i="6"/>
  <c r="H87" i="6" a="1"/>
  <c r="H87" i="6" s="1"/>
  <c r="M85" i="6"/>
  <c r="AC84" i="6"/>
  <c r="BF84" i="6"/>
  <c r="N85" i="6"/>
  <c r="BC84" i="6"/>
  <c r="AP84" i="6"/>
  <c r="BA84" i="6"/>
  <c r="AO84" i="6"/>
  <c r="AH84" i="6"/>
  <c r="AI84" i="6"/>
  <c r="AG84" i="6"/>
  <c r="AJ84" i="6"/>
  <c r="AU84" i="6"/>
  <c r="AZ84" i="6"/>
  <c r="AS84" i="6"/>
  <c r="AT84" i="6"/>
  <c r="AM84" i="6"/>
  <c r="AX84" i="6"/>
  <c r="BB84" i="6"/>
  <c r="AD84" i="6"/>
  <c r="AY84" i="6"/>
  <c r="BE84" i="6"/>
  <c r="BG84" i="6"/>
  <c r="AN84" i="6"/>
  <c r="AV84" i="6"/>
  <c r="AQ84" i="6"/>
  <c r="AE84" i="6"/>
  <c r="AF84" i="6"/>
  <c r="BD84" i="6"/>
  <c r="AR84" i="6"/>
  <c r="K85" i="12"/>
  <c r="K87" i="12" l="1"/>
  <c r="K88" i="12"/>
  <c r="W88" i="5"/>
  <c r="AN88" i="5"/>
  <c r="A87" i="6"/>
  <c r="M87" i="6" s="1"/>
  <c r="N86" i="6"/>
  <c r="M86" i="6"/>
  <c r="H88" i="6" a="1"/>
  <c r="H88" i="6" s="1"/>
  <c r="G88" i="6"/>
  <c r="F87" i="6"/>
  <c r="E87" i="12"/>
  <c r="W87" i="5"/>
  <c r="AN87" i="5"/>
  <c r="T86" i="5"/>
  <c r="AZ85" i="6"/>
  <c r="AM85" i="6"/>
  <c r="AV85" i="6"/>
  <c r="AT85" i="6"/>
  <c r="BC85" i="6"/>
  <c r="BG85" i="6"/>
  <c r="AJ85" i="6"/>
  <c r="BD85" i="6"/>
  <c r="AI85" i="6"/>
  <c r="AF85" i="6"/>
  <c r="AG85" i="6"/>
  <c r="AR85" i="6"/>
  <c r="AY85" i="6"/>
  <c r="AO85" i="6"/>
  <c r="BB85" i="6"/>
  <c r="BF85" i="6"/>
  <c r="AQ85" i="6"/>
  <c r="AN85" i="6"/>
  <c r="AE85" i="6"/>
  <c r="BA85" i="6"/>
  <c r="BE85" i="6"/>
  <c r="AP85" i="6"/>
  <c r="AX85" i="6"/>
  <c r="AC85" i="6"/>
  <c r="AS85" i="6"/>
  <c r="AU85" i="6"/>
  <c r="AH85" i="6"/>
  <c r="AK85" i="6"/>
  <c r="AD85" i="6"/>
  <c r="T87" i="5"/>
  <c r="A16" i="13"/>
  <c r="K29" i="5"/>
  <c r="B16" i="11"/>
  <c r="J37" i="5"/>
  <c r="D37" i="5" s="1"/>
  <c r="B37" i="12" s="1"/>
  <c r="J52" i="5"/>
  <c r="D52" i="5" s="1"/>
  <c r="B52" i="12" s="1"/>
  <c r="J30" i="5"/>
  <c r="D30" i="5" s="1"/>
  <c r="B30" i="12" s="1"/>
  <c r="J42" i="5"/>
  <c r="D42" i="5" s="1"/>
  <c r="B42" i="12" s="1"/>
  <c r="J59" i="5"/>
  <c r="D59" i="5" s="1"/>
  <c r="B59" i="12" s="1"/>
  <c r="A88" i="6" l="1"/>
  <c r="N87" i="6"/>
  <c r="AF86" i="6"/>
  <c r="AI86" i="6"/>
  <c r="AE86" i="6"/>
  <c r="AH86" i="6"/>
  <c r="AG86" i="6"/>
  <c r="AJ86" i="6"/>
  <c r="AD86" i="6"/>
  <c r="AB86" i="6"/>
  <c r="AK86" i="6"/>
  <c r="AQ86" i="6"/>
  <c r="AU86" i="6"/>
  <c r="AZ86" i="6"/>
  <c r="BC86" i="6"/>
  <c r="AO86" i="6"/>
  <c r="AS86" i="6"/>
  <c r="AY86" i="6"/>
  <c r="AM86" i="6"/>
  <c r="AR86" i="6"/>
  <c r="AV86" i="6"/>
  <c r="BA86" i="6"/>
  <c r="BD86" i="6"/>
  <c r="BF86" i="6"/>
  <c r="AC86" i="6"/>
  <c r="AN86" i="6"/>
  <c r="AP86" i="6"/>
  <c r="AT86" i="6"/>
  <c r="AX86" i="6"/>
  <c r="BB86" i="6"/>
  <c r="BE86" i="6"/>
  <c r="BG86" i="6"/>
  <c r="T88" i="5"/>
  <c r="AI87" i="6"/>
  <c r="BB87" i="6"/>
  <c r="AM87" i="6"/>
  <c r="AT87" i="6"/>
  <c r="BG87" i="6"/>
  <c r="AU87" i="6"/>
  <c r="AQ87" i="6"/>
  <c r="AF87" i="6"/>
  <c r="AJ87" i="6"/>
  <c r="AO87" i="6"/>
  <c r="AS87" i="6"/>
  <c r="AV87" i="6"/>
  <c r="BA87" i="6"/>
  <c r="BE87" i="6"/>
  <c r="AD87" i="6"/>
  <c r="AH87" i="6"/>
  <c r="AN87" i="6"/>
  <c r="AR87" i="6"/>
  <c r="AZ87" i="6"/>
  <c r="BF87" i="6"/>
  <c r="AC87" i="6"/>
  <c r="AK87" i="6"/>
  <c r="AP87" i="6"/>
  <c r="AY87" i="6"/>
  <c r="AX87" i="6"/>
  <c r="AG87" i="6"/>
  <c r="BC87" i="6"/>
  <c r="AB87" i="6"/>
  <c r="AE87" i="6"/>
  <c r="BD87" i="6"/>
  <c r="C16" i="13"/>
  <c r="K16" i="13" s="1"/>
  <c r="G16" i="11"/>
  <c r="F16" i="13" s="1"/>
  <c r="K16" i="11"/>
  <c r="J16" i="13" s="1"/>
  <c r="N88" i="6" l="1"/>
  <c r="M88" i="6"/>
  <c r="X86" i="5"/>
  <c r="X87" i="5"/>
  <c r="I68" i="5"/>
  <c r="AK88" i="6" l="1"/>
  <c r="AE88" i="6"/>
  <c r="AB88" i="6"/>
  <c r="AI88" i="6"/>
  <c r="AG88" i="6"/>
  <c r="AD88" i="6"/>
  <c r="AJ88" i="6"/>
  <c r="AC88" i="6"/>
  <c r="AF88" i="6"/>
  <c r="AH88" i="6"/>
  <c r="AN88" i="6"/>
  <c r="AO88" i="6"/>
  <c r="AU88" i="6"/>
  <c r="AY88" i="6"/>
  <c r="BB88" i="6"/>
  <c r="BG88" i="6"/>
  <c r="AM88" i="6"/>
  <c r="AQ88" i="6"/>
  <c r="AT88" i="6"/>
  <c r="AX88" i="6"/>
  <c r="BC88" i="6"/>
  <c r="AR88" i="6"/>
  <c r="BF88" i="6"/>
  <c r="AZ88" i="6"/>
  <c r="AP88" i="6"/>
  <c r="AS88" i="6"/>
  <c r="AV88" i="6"/>
  <c r="BA88" i="6"/>
  <c r="BD88" i="6"/>
  <c r="BE88" i="6"/>
  <c r="Z86" i="5"/>
  <c r="AB86" i="5" s="1"/>
  <c r="I86" i="12"/>
  <c r="AO86" i="12" s="1"/>
  <c r="AM86" i="5"/>
  <c r="L86" i="5"/>
  <c r="Z87" i="5"/>
  <c r="AB87" i="5" s="1"/>
  <c r="AM87" i="5"/>
  <c r="I87" i="12"/>
  <c r="AO87" i="12" s="1"/>
  <c r="L87" i="5"/>
  <c r="J68" i="5"/>
  <c r="D68" i="5" s="1"/>
  <c r="B68" i="12" s="1"/>
  <c r="J71" i="5"/>
  <c r="X88" i="5" l="1"/>
  <c r="C86" i="6"/>
  <c r="AC86" i="5"/>
  <c r="M86" i="12"/>
  <c r="O86" i="12"/>
  <c r="C86" i="12"/>
  <c r="C87" i="6"/>
  <c r="AC87" i="5"/>
  <c r="O87" i="12"/>
  <c r="M87" i="12"/>
  <c r="C87" i="12"/>
  <c r="I71" i="5"/>
  <c r="I88" i="12" l="1"/>
  <c r="AM88" i="5"/>
  <c r="L88" i="5"/>
  <c r="Z88" i="5"/>
  <c r="AB88" i="5" s="1"/>
  <c r="Y86" i="12"/>
  <c r="N86" i="12"/>
  <c r="Y87" i="12"/>
  <c r="N87" i="12"/>
  <c r="AF42" i="5"/>
  <c r="AF71" i="5"/>
  <c r="AF37" i="5"/>
  <c r="AF29" i="5"/>
  <c r="AF68" i="5"/>
  <c r="AF59" i="5"/>
  <c r="AF47" i="5"/>
  <c r="AF20" i="5"/>
  <c r="AF52" i="5"/>
  <c r="AF30" i="5"/>
  <c r="C88" i="6" l="1"/>
  <c r="AC88" i="5"/>
  <c r="AO88" i="12"/>
  <c r="C88" i="12"/>
  <c r="M88" i="12"/>
  <c r="O88" i="12"/>
  <c r="X86" i="12"/>
  <c r="W86" i="12"/>
  <c r="X87" i="12"/>
  <c r="W87" i="12"/>
  <c r="S52" i="5"/>
  <c r="AG52" i="5"/>
  <c r="U52" i="5" s="1"/>
  <c r="AN52" i="5" s="1"/>
  <c r="S20" i="5"/>
  <c r="AG20" i="5"/>
  <c r="U20" i="5" s="1"/>
  <c r="AN20" i="5" s="1"/>
  <c r="AG47" i="5"/>
  <c r="U47" i="5" s="1"/>
  <c r="AN47" i="5" s="1"/>
  <c r="S47" i="5"/>
  <c r="S68" i="5"/>
  <c r="AG68" i="5"/>
  <c r="U68" i="5" s="1"/>
  <c r="AN68" i="5" s="1"/>
  <c r="S42" i="5"/>
  <c r="AG42" i="5"/>
  <c r="U42" i="5" s="1"/>
  <c r="AN42" i="5" s="1"/>
  <c r="S37" i="5"/>
  <c r="AG37" i="5"/>
  <c r="U37" i="5" s="1"/>
  <c r="AN37" i="5" s="1"/>
  <c r="S30" i="5"/>
  <c r="AG30" i="5"/>
  <c r="U30" i="5" s="1"/>
  <c r="AN30" i="5" s="1"/>
  <c r="S71" i="5"/>
  <c r="AG71" i="5"/>
  <c r="U71" i="5" s="1"/>
  <c r="AN71" i="5" s="1"/>
  <c r="S29" i="5"/>
  <c r="AG29" i="5"/>
  <c r="U29" i="5" s="1"/>
  <c r="AN29" i="5" s="1"/>
  <c r="AG59" i="5"/>
  <c r="U59" i="5" s="1"/>
  <c r="AN59" i="5" s="1"/>
  <c r="S59" i="5"/>
  <c r="Y88" i="12" l="1"/>
  <c r="N88" i="12"/>
  <c r="T86" i="12"/>
  <c r="V86" i="12"/>
  <c r="U86" i="12"/>
  <c r="T87" i="12"/>
  <c r="U87" i="12"/>
  <c r="V87" i="12"/>
  <c r="J47" i="5"/>
  <c r="D47" i="5" s="1"/>
  <c r="B47" i="12" s="1"/>
  <c r="X88" i="12" l="1"/>
  <c r="W88" i="12"/>
  <c r="A17" i="13"/>
  <c r="B17" i="11"/>
  <c r="F80" i="8"/>
  <c r="F86" i="8"/>
  <c r="F83" i="8"/>
  <c r="F89" i="8"/>
  <c r="T88" i="12" l="1"/>
  <c r="V88" i="12"/>
  <c r="U88" i="12"/>
  <c r="C17" i="13"/>
  <c r="K17" i="13" s="1"/>
  <c r="G17" i="11"/>
  <c r="F17" i="13" s="1"/>
  <c r="K17" i="11"/>
  <c r="J17" i="13" s="1"/>
  <c r="A5" i="5" l="1"/>
  <c r="D10" i="2"/>
  <c r="N7" i="11"/>
  <c r="O7" i="11" s="1"/>
  <c r="N7" i="13"/>
  <c r="O7" i="13" s="1"/>
  <c r="B20" i="11" l="1"/>
  <c r="B21" i="11"/>
  <c r="B12" i="11"/>
  <c r="A18" i="13"/>
  <c r="B19" i="11"/>
  <c r="A22" i="13"/>
  <c r="A19" i="13"/>
  <c r="A21" i="13"/>
  <c r="J29" i="5"/>
  <c r="D29" i="5" s="1"/>
  <c r="A20" i="13"/>
  <c r="B22" i="11"/>
  <c r="A23" i="13"/>
  <c r="B18" i="11"/>
  <c r="J16" i="5"/>
  <c r="D16" i="5" s="1"/>
  <c r="A12" i="13"/>
  <c r="B23" i="11"/>
  <c r="K71" i="5"/>
  <c r="D71" i="5" s="1"/>
  <c r="F44" i="8"/>
  <c r="F45" i="8" s="1"/>
  <c r="F20" i="8"/>
  <c r="F21" i="8" s="1"/>
  <c r="F65" i="8"/>
  <c r="F29" i="8"/>
  <c r="F30" i="8" s="1"/>
  <c r="F59" i="8"/>
  <c r="F32" i="8"/>
  <c r="F33" i="8" s="1"/>
  <c r="F26" i="8"/>
  <c r="F27" i="8" s="1"/>
  <c r="F62" i="8"/>
  <c r="F1" i="8"/>
  <c r="F2" i="8" s="1"/>
  <c r="F38" i="8"/>
  <c r="F39" i="8" s="1"/>
  <c r="F17" i="8"/>
  <c r="F18" i="8" s="1"/>
  <c r="F23" i="8"/>
  <c r="F24" i="8" s="1"/>
  <c r="F47" i="8"/>
  <c r="F48" i="8" s="1"/>
  <c r="F35" i="8"/>
  <c r="F36" i="8" s="1"/>
  <c r="F56" i="8"/>
  <c r="F68" i="8"/>
  <c r="F53" i="8"/>
  <c r="F50" i="8"/>
  <c r="F74" i="8"/>
  <c r="F14" i="8"/>
  <c r="F15" i="8" s="1"/>
  <c r="F71" i="8"/>
  <c r="F41" i="8"/>
  <c r="F42" i="8" s="1"/>
  <c r="F77" i="8"/>
  <c r="Z7" i="11"/>
  <c r="D11" i="2"/>
  <c r="D3" i="2" s="1"/>
  <c r="AO12" i="13" l="1"/>
  <c r="AL12" i="13"/>
  <c r="AO23" i="13"/>
  <c r="AL23" i="13"/>
  <c r="AO21" i="13"/>
  <c r="AL21" i="13"/>
  <c r="AL19" i="13"/>
  <c r="AO19" i="13"/>
  <c r="AJ19" i="13"/>
  <c r="AM19" i="13"/>
  <c r="AO22" i="13"/>
  <c r="AL22" i="13"/>
  <c r="AM22" i="13"/>
  <c r="AN22" i="13"/>
  <c r="AJ22" i="13"/>
  <c r="AK22" i="13"/>
  <c r="AN18" i="13"/>
  <c r="AL18" i="13"/>
  <c r="AM18" i="13"/>
  <c r="AO18" i="13"/>
  <c r="AO20" i="13"/>
  <c r="AL20" i="13"/>
  <c r="G23" i="11"/>
  <c r="F23" i="13" s="1"/>
  <c r="O23" i="11"/>
  <c r="K23" i="11"/>
  <c r="J23" i="13" s="1"/>
  <c r="AA23" i="11"/>
  <c r="C23" i="13"/>
  <c r="AB23" i="11"/>
  <c r="N23" i="11" s="1"/>
  <c r="B29" i="12"/>
  <c r="B15" i="13"/>
  <c r="B21" i="13"/>
  <c r="AG21" i="13" s="1"/>
  <c r="J35" i="8"/>
  <c r="M35" i="8"/>
  <c r="P35" i="8" s="1"/>
  <c r="B19" i="13"/>
  <c r="AH19" i="13" s="1"/>
  <c r="C22" i="13"/>
  <c r="G22" i="11"/>
  <c r="F22" i="13" s="1"/>
  <c r="AA22" i="11"/>
  <c r="O22" i="11"/>
  <c r="K22" i="11"/>
  <c r="J22" i="13" s="1"/>
  <c r="AB22" i="11"/>
  <c r="N22" i="11" s="1"/>
  <c r="M47" i="8"/>
  <c r="Q47" i="8" s="1"/>
  <c r="J47" i="8"/>
  <c r="G18" i="11"/>
  <c r="F18" i="13" s="1"/>
  <c r="C18" i="13"/>
  <c r="F10" i="8" a="1"/>
  <c r="F10" i="8" s="1"/>
  <c r="K18" i="11"/>
  <c r="J18" i="13" s="1"/>
  <c r="O18" i="11"/>
  <c r="AB18" i="11"/>
  <c r="N18" i="11" s="1"/>
  <c r="AA18" i="11"/>
  <c r="J17" i="8"/>
  <c r="M17" i="8"/>
  <c r="P17" i="8" s="1"/>
  <c r="AB19" i="11"/>
  <c r="N19" i="11" s="1"/>
  <c r="G19" i="11"/>
  <c r="F19" i="13" s="1"/>
  <c r="O19" i="11"/>
  <c r="C19" i="13"/>
  <c r="AA19" i="11"/>
  <c r="K19" i="11"/>
  <c r="J19" i="13" s="1"/>
  <c r="Q1" i="8"/>
  <c r="I1" i="8"/>
  <c r="M1" i="8"/>
  <c r="J1" i="8"/>
  <c r="N1" i="8"/>
  <c r="P1" i="8"/>
  <c r="O1" i="8"/>
  <c r="S1" i="8"/>
  <c r="G1" i="8" s="1"/>
  <c r="G2" i="8" s="1"/>
  <c r="B18" i="13"/>
  <c r="AG18" i="13" s="1"/>
  <c r="O20" i="11"/>
  <c r="AB20" i="11"/>
  <c r="N20" i="11" s="1"/>
  <c r="K20" i="11"/>
  <c r="J20" i="13" s="1"/>
  <c r="AA20" i="11"/>
  <c r="G20" i="11"/>
  <c r="F20" i="13" s="1"/>
  <c r="C20" i="13"/>
  <c r="B12" i="13"/>
  <c r="AJ12" i="13" s="1"/>
  <c r="B22" i="13"/>
  <c r="AC22" i="13" s="1"/>
  <c r="K21" i="11"/>
  <c r="J21" i="13" s="1"/>
  <c r="G21" i="11"/>
  <c r="F21" i="13" s="1"/>
  <c r="O21" i="11"/>
  <c r="C21" i="13"/>
  <c r="AA21" i="11"/>
  <c r="AB21" i="11"/>
  <c r="N21" i="11" s="1"/>
  <c r="M41" i="8"/>
  <c r="Q41" i="8" s="1"/>
  <c r="J41" i="8"/>
  <c r="B23" i="13"/>
  <c r="AG23" i="13" s="1"/>
  <c r="AA12" i="11"/>
  <c r="C12" i="13"/>
  <c r="K12" i="11"/>
  <c r="J12" i="13" s="1"/>
  <c r="O12" i="11"/>
  <c r="G12" i="11"/>
  <c r="F12" i="13" s="1"/>
  <c r="AB12" i="11"/>
  <c r="N12" i="11" s="1"/>
  <c r="J32" i="8"/>
  <c r="M32" i="8"/>
  <c r="J29" i="8"/>
  <c r="M29" i="8"/>
  <c r="J20" i="8"/>
  <c r="M20" i="8"/>
  <c r="P20" i="8" s="1"/>
  <c r="M44" i="8"/>
  <c r="J44" i="8"/>
  <c r="B14" i="13"/>
  <c r="B16" i="12"/>
  <c r="B20" i="13"/>
  <c r="AD20" i="13" s="1"/>
  <c r="J38" i="8"/>
  <c r="M38" i="8"/>
  <c r="Q38" i="8" s="1"/>
  <c r="J26" i="8"/>
  <c r="M26" i="8"/>
  <c r="Q26" i="8" s="1"/>
  <c r="J14" i="8"/>
  <c r="M14" i="8"/>
  <c r="M23" i="8"/>
  <c r="J23" i="8"/>
  <c r="B71" i="12"/>
  <c r="F51" i="8" l="1"/>
  <c r="B16" i="13"/>
  <c r="AN19" i="13"/>
  <c r="AK19" i="13"/>
  <c r="AN21" i="13"/>
  <c r="AK21" i="13"/>
  <c r="AJ21" i="13"/>
  <c r="AM21" i="13"/>
  <c r="AM23" i="13"/>
  <c r="AJ23" i="13"/>
  <c r="AK20" i="13"/>
  <c r="AM20" i="13"/>
  <c r="AN23" i="13"/>
  <c r="AN15" i="13"/>
  <c r="AN20" i="13"/>
  <c r="AK23" i="13"/>
  <c r="AJ20" i="13"/>
  <c r="AK12" i="13"/>
  <c r="AM12" i="13"/>
  <c r="AN12" i="13"/>
  <c r="AJ18" i="13"/>
  <c r="AK18" i="13"/>
  <c r="B17" i="13"/>
  <c r="D15" i="5"/>
  <c r="AF23" i="13"/>
  <c r="AC23" i="13"/>
  <c r="AD18" i="13"/>
  <c r="AC20" i="13"/>
  <c r="O29" i="8"/>
  <c r="AF19" i="13"/>
  <c r="AH18" i="13"/>
  <c r="AG19" i="13"/>
  <c r="AC19" i="13"/>
  <c r="AE18" i="13"/>
  <c r="AD19" i="13"/>
  <c r="AH21" i="13"/>
  <c r="AF21" i="13"/>
  <c r="Q29" i="8"/>
  <c r="P47" i="8"/>
  <c r="AE23" i="13"/>
  <c r="O35" i="8"/>
  <c r="P44" i="8"/>
  <c r="AF20" i="13"/>
  <c r="AE22" i="13"/>
  <c r="AE19" i="13"/>
  <c r="O32" i="8"/>
  <c r="N20" i="8"/>
  <c r="O17" i="8"/>
  <c r="AC12" i="13"/>
  <c r="O38" i="8"/>
  <c r="O18" i="13"/>
  <c r="Q32" i="8"/>
  <c r="M18" i="13"/>
  <c r="AD22" i="13"/>
  <c r="AG22" i="13"/>
  <c r="O41" i="8"/>
  <c r="AD12" i="13"/>
  <c r="AE12" i="13"/>
  <c r="AG12" i="13"/>
  <c r="AH23" i="13"/>
  <c r="AE20" i="13"/>
  <c r="N14" i="8"/>
  <c r="R14" i="8" s="1"/>
  <c r="C14" i="8" s="1"/>
  <c r="AE14" i="13"/>
  <c r="AH14" i="13"/>
  <c r="O23" i="8"/>
  <c r="Q44" i="8"/>
  <c r="M22" i="13"/>
  <c r="U22" i="13"/>
  <c r="O22" i="13"/>
  <c r="S22" i="13"/>
  <c r="T22" i="13"/>
  <c r="R22" i="13"/>
  <c r="K22" i="13"/>
  <c r="P12" i="11"/>
  <c r="C12" i="11"/>
  <c r="Z12" i="11"/>
  <c r="L12" i="13"/>
  <c r="Q35" i="8"/>
  <c r="S37" i="8"/>
  <c r="T12" i="13"/>
  <c r="O12" i="13"/>
  <c r="R12" i="13"/>
  <c r="K12" i="13"/>
  <c r="M12" i="13"/>
  <c r="S12" i="13"/>
  <c r="U12" i="13"/>
  <c r="S46" i="8"/>
  <c r="P14" i="8"/>
  <c r="H1" i="8"/>
  <c r="J2" i="8" s="1"/>
  <c r="H2" i="8"/>
  <c r="Q14" i="8"/>
  <c r="P26" i="8"/>
  <c r="AH22" i="13"/>
  <c r="N17" i="8"/>
  <c r="O26" i="8"/>
  <c r="O20" i="8"/>
  <c r="AD23" i="13"/>
  <c r="AF22" i="13"/>
  <c r="O14" i="8"/>
  <c r="S16" i="8"/>
  <c r="A14" i="8"/>
  <c r="AE15" i="13"/>
  <c r="AH15" i="13"/>
  <c r="Q17" i="8"/>
  <c r="S19" i="8"/>
  <c r="P41" i="8"/>
  <c r="S43" i="8"/>
  <c r="K20" i="13"/>
  <c r="M20" i="13"/>
  <c r="O20" i="13"/>
  <c r="U20" i="13"/>
  <c r="R20" i="13"/>
  <c r="T20" i="13"/>
  <c r="S20" i="13"/>
  <c r="R1" i="8"/>
  <c r="A1" i="8"/>
  <c r="S3" i="8"/>
  <c r="P38" i="8"/>
  <c r="S40" i="8"/>
  <c r="C20" i="11"/>
  <c r="L20" i="13"/>
  <c r="D20" i="13" s="1"/>
  <c r="P20" i="11"/>
  <c r="Z20" i="11"/>
  <c r="S49" i="8"/>
  <c r="AH12" i="13"/>
  <c r="AF18" i="13"/>
  <c r="T18" i="13" s="1"/>
  <c r="Z18" i="11"/>
  <c r="AC18" i="13"/>
  <c r="R18" i="13" s="1"/>
  <c r="AH20" i="13"/>
  <c r="P29" i="8"/>
  <c r="S31" i="8"/>
  <c r="AF12" i="13"/>
  <c r="C18" i="11"/>
  <c r="L18" i="13"/>
  <c r="D18" i="13" s="1"/>
  <c r="P18" i="11"/>
  <c r="AC21" i="13"/>
  <c r="AE21" i="13"/>
  <c r="U19" i="13"/>
  <c r="S19" i="13"/>
  <c r="R19" i="13"/>
  <c r="O19" i="13"/>
  <c r="M19" i="13"/>
  <c r="K19" i="13"/>
  <c r="T19" i="13"/>
  <c r="AD21" i="13"/>
  <c r="L19" i="13"/>
  <c r="D19" i="13" s="1"/>
  <c r="P19" i="11"/>
  <c r="C19" i="11"/>
  <c r="Z19" i="11"/>
  <c r="K18" i="13"/>
  <c r="U18" i="13"/>
  <c r="S18" i="13"/>
  <c r="AG20" i="13"/>
  <c r="K23" i="13"/>
  <c r="S23" i="13"/>
  <c r="M23" i="13"/>
  <c r="R23" i="13"/>
  <c r="O23" i="13"/>
  <c r="U23" i="13"/>
  <c r="T23" i="13"/>
  <c r="Q20" i="8"/>
  <c r="S22" i="8"/>
  <c r="S28" i="8"/>
  <c r="C23" i="11"/>
  <c r="L23" i="13"/>
  <c r="D23" i="13" s="1"/>
  <c r="P23" i="11"/>
  <c r="Z23" i="11"/>
  <c r="P32" i="8"/>
  <c r="S34" i="8"/>
  <c r="T21" i="13"/>
  <c r="M21" i="13"/>
  <c r="U21" i="13"/>
  <c r="R21" i="13"/>
  <c r="O21" i="13"/>
  <c r="S21" i="13"/>
  <c r="K21" i="13"/>
  <c r="P22" i="11"/>
  <c r="L22" i="13"/>
  <c r="D22" i="13" s="1"/>
  <c r="C22" i="11"/>
  <c r="Z22" i="11"/>
  <c r="P23" i="8"/>
  <c r="S25" i="8"/>
  <c r="A23" i="8"/>
  <c r="Q23" i="8"/>
  <c r="C21" i="11"/>
  <c r="Z21" i="11"/>
  <c r="P21" i="11"/>
  <c r="L21" i="13"/>
  <c r="D21" i="13" s="1"/>
  <c r="O44" i="8"/>
  <c r="M50" i="8" l="1"/>
  <c r="Q50" i="8" s="1"/>
  <c r="J50" i="8"/>
  <c r="AH16" i="13"/>
  <c r="AE16" i="13"/>
  <c r="N18" i="13"/>
  <c r="AK15" i="13"/>
  <c r="AN16" i="13"/>
  <c r="AK16" i="13"/>
  <c r="AN14" i="13"/>
  <c r="AK14" i="13"/>
  <c r="F16" i="8"/>
  <c r="R20" i="8"/>
  <c r="D14" i="8"/>
  <c r="R17" i="8"/>
  <c r="P12" i="13"/>
  <c r="N12" i="13"/>
  <c r="W3" i="8"/>
  <c r="AA1" i="8"/>
  <c r="AC1" i="8"/>
  <c r="V3" i="8"/>
  <c r="D1" i="8"/>
  <c r="U3" i="8"/>
  <c r="AF3" i="8"/>
  <c r="AF1" i="8"/>
  <c r="X3" i="8"/>
  <c r="Y1" i="8"/>
  <c r="AA3" i="8"/>
  <c r="Z1" i="8"/>
  <c r="X1" i="8"/>
  <c r="C1" i="8"/>
  <c r="AD1" i="8"/>
  <c r="W1" i="8"/>
  <c r="AB1" i="8"/>
  <c r="Y3" i="8"/>
  <c r="E1" i="8"/>
  <c r="AE1" i="8"/>
  <c r="E3" i="8"/>
  <c r="V1" i="8"/>
  <c r="Z3" i="8"/>
  <c r="AB3" i="8"/>
  <c r="U1" i="8"/>
  <c r="AE3" i="8"/>
  <c r="AD3" i="8"/>
  <c r="F3" i="8"/>
  <c r="AC3" i="8"/>
  <c r="D12" i="13"/>
  <c r="V12" i="13"/>
  <c r="P20" i="13"/>
  <c r="N20" i="13"/>
  <c r="P22" i="13"/>
  <c r="N22" i="13"/>
  <c r="N19" i="13"/>
  <c r="P19" i="13"/>
  <c r="P23" i="13"/>
  <c r="N23" i="13"/>
  <c r="P21" i="13"/>
  <c r="N21" i="13"/>
  <c r="P18" i="13"/>
  <c r="P50" i="8" l="1"/>
  <c r="F54" i="8"/>
  <c r="S52" i="8"/>
  <c r="N23" i="8"/>
  <c r="R23" i="8" s="1"/>
  <c r="N44" i="8"/>
  <c r="R44" i="8" s="1"/>
  <c r="F46" i="8" s="1"/>
  <c r="N32" i="8"/>
  <c r="R32" i="8" s="1"/>
  <c r="F34" i="8" s="1"/>
  <c r="N29" i="8"/>
  <c r="R29" i="8" s="1"/>
  <c r="N41" i="8"/>
  <c r="R41" i="8" s="1"/>
  <c r="N26" i="8"/>
  <c r="R26" i="8" s="1"/>
  <c r="F28" i="8" s="1"/>
  <c r="N35" i="8"/>
  <c r="R35" i="8" s="1"/>
  <c r="F37" i="8" s="1"/>
  <c r="AD37" i="8" s="1"/>
  <c r="N38" i="8"/>
  <c r="R38" i="8" s="1"/>
  <c r="N47" i="8"/>
  <c r="F19" i="8"/>
  <c r="AB19" i="8" s="1"/>
  <c r="F22" i="8"/>
  <c r="Y22" i="8" s="1"/>
  <c r="C46" i="10"/>
  <c r="A51" i="9"/>
  <c r="A29" i="9"/>
  <c r="C68" i="9"/>
  <c r="F68" i="9" s="1"/>
  <c r="C61" i="10"/>
  <c r="A23" i="10"/>
  <c r="C32" i="9"/>
  <c r="F32" i="9" s="1"/>
  <c r="C39" i="10"/>
  <c r="C44" i="9"/>
  <c r="F44" i="9" s="1"/>
  <c r="A52" i="10"/>
  <c r="A46" i="9"/>
  <c r="C22" i="10"/>
  <c r="M12" i="6"/>
  <c r="A45" i="10"/>
  <c r="A31" i="10"/>
  <c r="A26" i="9"/>
  <c r="A48" i="10"/>
  <c r="A28" i="10"/>
  <c r="A31" i="9"/>
  <c r="C20" i="9"/>
  <c r="F20" i="9" s="1"/>
  <c r="A47" i="10"/>
  <c r="A69" i="9"/>
  <c r="C52" i="9"/>
  <c r="F52" i="9" s="1"/>
  <c r="C28" i="10"/>
  <c r="C37" i="10"/>
  <c r="A19" i="9"/>
  <c r="A42" i="10"/>
  <c r="A34" i="9"/>
  <c r="A24" i="9"/>
  <c r="C49" i="10"/>
  <c r="A27" i="10"/>
  <c r="C34" i="9"/>
  <c r="F34" i="9" s="1"/>
  <c r="A25" i="10"/>
  <c r="C66" i="9"/>
  <c r="F66" i="9" s="1"/>
  <c r="C43" i="10"/>
  <c r="A67" i="10"/>
  <c r="C50" i="10"/>
  <c r="C29" i="9"/>
  <c r="F29" i="9" s="1"/>
  <c r="C26" i="10"/>
  <c r="A18" i="10"/>
  <c r="C36" i="10"/>
  <c r="C31" i="9"/>
  <c r="F31" i="9" s="1"/>
  <c r="A46" i="10"/>
  <c r="A57" i="10"/>
  <c r="C42" i="9"/>
  <c r="F42" i="9" s="1"/>
  <c r="A59" i="10"/>
  <c r="A51" i="10"/>
  <c r="A44" i="9"/>
  <c r="C67" i="9"/>
  <c r="F67" i="9" s="1"/>
  <c r="C59" i="9"/>
  <c r="F59" i="9" s="1"/>
  <c r="C24" i="9"/>
  <c r="F24" i="9" s="1"/>
  <c r="A53" i="9"/>
  <c r="A54" i="9"/>
  <c r="C54" i="9"/>
  <c r="F54" i="9" s="1"/>
  <c r="C34" i="10"/>
  <c r="A60" i="10"/>
  <c r="C35" i="10"/>
  <c r="A68" i="9"/>
  <c r="C60" i="9"/>
  <c r="F60" i="9" s="1"/>
  <c r="A43" i="9"/>
  <c r="A32" i="9"/>
  <c r="C38" i="9"/>
  <c r="F38" i="9" s="1"/>
  <c r="A69" i="10"/>
  <c r="C58" i="9"/>
  <c r="F58" i="9" s="1"/>
  <c r="C19" i="9"/>
  <c r="F19" i="9" s="1"/>
  <c r="A49" i="10"/>
  <c r="A27" i="9"/>
  <c r="C69" i="10"/>
  <c r="C40" i="10"/>
  <c r="C46" i="9"/>
  <c r="F46" i="9" s="1"/>
  <c r="A17" i="9"/>
  <c r="C38" i="10"/>
  <c r="C27" i="10"/>
  <c r="A17" i="10"/>
  <c r="C17" i="10"/>
  <c r="A20" i="10"/>
  <c r="A28" i="9"/>
  <c r="C64" i="10"/>
  <c r="A61" i="10"/>
  <c r="A36" i="10"/>
  <c r="C44" i="10"/>
  <c r="C30" i="9"/>
  <c r="F30" i="9" s="1"/>
  <c r="A44" i="10"/>
  <c r="C31" i="10"/>
  <c r="A64" i="10"/>
  <c r="A60" i="9"/>
  <c r="C32" i="10"/>
  <c r="C66" i="10"/>
  <c r="A58" i="10"/>
  <c r="C18" i="10"/>
  <c r="A18" i="9"/>
  <c r="C47" i="10"/>
  <c r="C48" i="9"/>
  <c r="F48" i="9" s="1"/>
  <c r="C45" i="10"/>
  <c r="C67" i="10"/>
  <c r="A65" i="10"/>
  <c r="C50" i="9"/>
  <c r="F50" i="9" s="1"/>
  <c r="C1" i="10"/>
  <c r="C59" i="10"/>
  <c r="A66" i="10"/>
  <c r="C58" i="10"/>
  <c r="A53" i="10"/>
  <c r="C16" i="9"/>
  <c r="F16" i="9" s="1"/>
  <c r="D8" i="9" s="1"/>
  <c r="F103" i="8" s="1"/>
  <c r="C52" i="10"/>
  <c r="C25" i="9"/>
  <c r="F25" i="9" s="1"/>
  <c r="C61" i="9"/>
  <c r="F61" i="9" s="1"/>
  <c r="A62" i="9"/>
  <c r="A67" i="9"/>
  <c r="C60" i="10"/>
  <c r="A23" i="9"/>
  <c r="A50" i="10"/>
  <c r="C39" i="9"/>
  <c r="F39" i="9" s="1"/>
  <c r="A61" i="9"/>
  <c r="C55" i="9"/>
  <c r="F55" i="9" s="1"/>
  <c r="A1" i="10"/>
  <c r="C25" i="10"/>
  <c r="A63" i="9"/>
  <c r="C65" i="9"/>
  <c r="F65" i="9" s="1"/>
  <c r="C56" i="10"/>
  <c r="C53" i="9"/>
  <c r="F53" i="9" s="1"/>
  <c r="C27" i="9"/>
  <c r="F27" i="9" s="1"/>
  <c r="A42" i="9"/>
  <c r="A22" i="9"/>
  <c r="A64" i="9"/>
  <c r="A35" i="10"/>
  <c r="C23" i="10"/>
  <c r="A38" i="9"/>
  <c r="C21" i="9"/>
  <c r="F21" i="9" s="1"/>
  <c r="A1" i="9"/>
  <c r="C62" i="9"/>
  <c r="F62" i="9" s="1"/>
  <c r="C53" i="10"/>
  <c r="C57" i="10"/>
  <c r="C24" i="10"/>
  <c r="A38" i="10"/>
  <c r="C16" i="10"/>
  <c r="A37" i="10"/>
  <c r="A22" i="10"/>
  <c r="A40" i="9"/>
  <c r="A16" i="9"/>
  <c r="A34" i="10"/>
  <c r="C68" i="10"/>
  <c r="A54" i="10"/>
  <c r="A50" i="9"/>
  <c r="A30" i="10"/>
  <c r="A24" i="10"/>
  <c r="A20" i="9"/>
  <c r="A21" i="9"/>
  <c r="A68" i="10"/>
  <c r="A66" i="9"/>
  <c r="C47" i="9"/>
  <c r="F47" i="9" s="1"/>
  <c r="A35" i="9"/>
  <c r="C65" i="10"/>
  <c r="C51" i="10"/>
  <c r="A48" i="9"/>
  <c r="A55" i="10"/>
  <c r="A40" i="10"/>
  <c r="A47" i="9"/>
  <c r="A26" i="10"/>
  <c r="C56" i="9"/>
  <c r="F56" i="9" s="1"/>
  <c r="A59" i="9"/>
  <c r="C36" i="9"/>
  <c r="F36" i="9" s="1"/>
  <c r="C23" i="9"/>
  <c r="F23" i="9" s="1"/>
  <c r="C51" i="9"/>
  <c r="F51" i="9" s="1"/>
  <c r="C55" i="10"/>
  <c r="A41" i="9"/>
  <c r="C20" i="10"/>
  <c r="C63" i="9"/>
  <c r="F63" i="9" s="1"/>
  <c r="A58" i="9"/>
  <c r="A57" i="9"/>
  <c r="A52" i="9"/>
  <c r="A45" i="9"/>
  <c r="A36" i="9"/>
  <c r="C19" i="10"/>
  <c r="C49" i="9"/>
  <c r="F49" i="9" s="1"/>
  <c r="A37" i="9"/>
  <c r="A33" i="9"/>
  <c r="A32" i="10"/>
  <c r="C26" i="9"/>
  <c r="F26" i="9" s="1"/>
  <c r="A30" i="9"/>
  <c r="A56" i="10"/>
  <c r="A19" i="10"/>
  <c r="C33" i="10"/>
  <c r="C63" i="10"/>
  <c r="C21" i="10"/>
  <c r="A63" i="10"/>
  <c r="C41" i="9"/>
  <c r="F41" i="9" s="1"/>
  <c r="C64" i="9"/>
  <c r="F64" i="9" s="1"/>
  <c r="A33" i="10"/>
  <c r="C69" i="9"/>
  <c r="F69" i="9" s="1"/>
  <c r="C41" i="10"/>
  <c r="C22" i="9"/>
  <c r="F22" i="9" s="1"/>
  <c r="C48" i="10"/>
  <c r="A56" i="9"/>
  <c r="A39" i="10"/>
  <c r="C62" i="10"/>
  <c r="A65" i="9"/>
  <c r="C33" i="9"/>
  <c r="F33" i="9" s="1"/>
  <c r="A29" i="10"/>
  <c r="A25" i="9"/>
  <c r="A62" i="10"/>
  <c r="A39" i="9"/>
  <c r="A41" i="10"/>
  <c r="C45" i="9"/>
  <c r="F45" i="9" s="1"/>
  <c r="A16" i="10"/>
  <c r="C17" i="9"/>
  <c r="F17" i="9" s="1"/>
  <c r="C30" i="10"/>
  <c r="A49" i="9"/>
  <c r="C54" i="10"/>
  <c r="C40" i="9"/>
  <c r="F40" i="9" s="1"/>
  <c r="A55" i="9"/>
  <c r="C35" i="9"/>
  <c r="F35" i="9" s="1"/>
  <c r="C1" i="9"/>
  <c r="F1" i="9" s="1"/>
  <c r="C28" i="9"/>
  <c r="F28" i="9" s="1"/>
  <c r="C42" i="10"/>
  <c r="C29" i="10"/>
  <c r="C57" i="9"/>
  <c r="F57" i="9" s="1"/>
  <c r="A21" i="10"/>
  <c r="A43" i="10"/>
  <c r="C43" i="9"/>
  <c r="F43" i="9" s="1"/>
  <c r="C18" i="9"/>
  <c r="F18" i="9" s="1"/>
  <c r="A15" i="9"/>
  <c r="C37" i="9"/>
  <c r="F37" i="9" s="1"/>
  <c r="AG15" i="6"/>
  <c r="V15" i="6" s="1"/>
  <c r="V11" i="6" s="1"/>
  <c r="AE15" i="6"/>
  <c r="T15" i="6" s="1"/>
  <c r="T11" i="6" s="1"/>
  <c r="AF15" i="6"/>
  <c r="U15" i="6" s="1"/>
  <c r="U11" i="6" s="1"/>
  <c r="AD15" i="6"/>
  <c r="S15" i="6" s="1"/>
  <c r="S11" i="6" s="1"/>
  <c r="AJ15" i="6"/>
  <c r="Y15" i="6" s="1"/>
  <c r="Y11" i="6" s="1"/>
  <c r="AI15" i="6"/>
  <c r="X15" i="6" s="1"/>
  <c r="X11" i="6" s="1"/>
  <c r="AH15" i="6"/>
  <c r="W15" i="6" s="1"/>
  <c r="W11" i="6" s="1"/>
  <c r="AK15" i="6"/>
  <c r="Z15" i="6" s="1"/>
  <c r="Z11" i="6" s="1"/>
  <c r="AC15" i="6"/>
  <c r="R15" i="6" s="1"/>
  <c r="R11" i="6" s="1"/>
  <c r="M53" i="8" l="1"/>
  <c r="J53" i="8"/>
  <c r="F25" i="8"/>
  <c r="D23" i="8"/>
  <c r="C23" i="8"/>
  <c r="F31" i="8"/>
  <c r="AC31" i="8"/>
  <c r="Y31" i="8"/>
  <c r="Z31" i="8"/>
  <c r="F43" i="8"/>
  <c r="E43" i="8" s="1"/>
  <c r="F40" i="8"/>
  <c r="U34" i="8"/>
  <c r="AC34" i="8"/>
  <c r="AA37" i="8"/>
  <c r="Y34" i="8"/>
  <c r="AE34" i="8"/>
  <c r="AB34" i="8"/>
  <c r="E37" i="8"/>
  <c r="Z37" i="8"/>
  <c r="AC37" i="8"/>
  <c r="W34" i="8"/>
  <c r="E34" i="8"/>
  <c r="X34" i="8"/>
  <c r="AF37" i="8"/>
  <c r="W37" i="8"/>
  <c r="U37" i="8"/>
  <c r="X37" i="8"/>
  <c r="AE37" i="8"/>
  <c r="AD34" i="8"/>
  <c r="AA34" i="8"/>
  <c r="Y37" i="8"/>
  <c r="AF34" i="8"/>
  <c r="AB37" i="8"/>
  <c r="Z34" i="8"/>
  <c r="AE19" i="8"/>
  <c r="AF19" i="8"/>
  <c r="AE22" i="8"/>
  <c r="AD19" i="8"/>
  <c r="AC19" i="8"/>
  <c r="Z28" i="8"/>
  <c r="Y19" i="8"/>
  <c r="Z19" i="8"/>
  <c r="AA19" i="8"/>
  <c r="W19" i="8"/>
  <c r="AB28" i="8"/>
  <c r="W22" i="8"/>
  <c r="X19" i="8"/>
  <c r="AB22" i="8"/>
  <c r="V19" i="8"/>
  <c r="X28" i="8"/>
  <c r="AD28" i="8"/>
  <c r="AD22" i="8"/>
  <c r="V22" i="8"/>
  <c r="AC22" i="8"/>
  <c r="Z22" i="8"/>
  <c r="AF22" i="8"/>
  <c r="X22" i="8"/>
  <c r="AA22" i="8"/>
  <c r="AE28" i="8"/>
  <c r="W28" i="8"/>
  <c r="AC28" i="8"/>
  <c r="AA28" i="8"/>
  <c r="Y28" i="8"/>
  <c r="AF28" i="8"/>
  <c r="V28" i="8"/>
  <c r="AH17" i="13"/>
  <c r="A11" i="12"/>
  <c r="M78" i="10"/>
  <c r="K78" i="10"/>
  <c r="W78" i="10"/>
  <c r="AA78" i="10"/>
  <c r="O78" i="10"/>
  <c r="Q78" i="10"/>
  <c r="Y78" i="10"/>
  <c r="I78" i="10"/>
  <c r="S78" i="10"/>
  <c r="AE78" i="10"/>
  <c r="AC78" i="10"/>
  <c r="U78" i="10"/>
  <c r="AE17" i="13"/>
  <c r="AE43" i="8" l="1"/>
  <c r="V43" i="8"/>
  <c r="AD43" i="8"/>
  <c r="Y43" i="8"/>
  <c r="Z43" i="8"/>
  <c r="AA43" i="8"/>
  <c r="U43" i="8"/>
  <c r="S55" i="8"/>
  <c r="P53" i="8"/>
  <c r="Q53" i="8"/>
  <c r="N50" i="8"/>
  <c r="F57" i="8"/>
  <c r="O53" i="8"/>
  <c r="AF31" i="8"/>
  <c r="AE31" i="8"/>
  <c r="U31" i="8"/>
  <c r="AA31" i="8"/>
  <c r="AB31" i="8"/>
  <c r="AD31" i="8"/>
  <c r="W31" i="8"/>
  <c r="AD40" i="8"/>
  <c r="V40" i="8"/>
  <c r="X40" i="8"/>
  <c r="AB40" i="8"/>
  <c r="AA40" i="8"/>
  <c r="Z40" i="8"/>
  <c r="U40" i="8"/>
  <c r="E40" i="8"/>
  <c r="Y40" i="8"/>
  <c r="AE40" i="8"/>
  <c r="AF40" i="8"/>
  <c r="AC40" i="8"/>
  <c r="AF43" i="8"/>
  <c r="W43" i="8"/>
  <c r="E31" i="8"/>
  <c r="X31" i="8"/>
  <c r="AC43" i="8"/>
  <c r="AB43" i="8"/>
  <c r="Y76" i="10"/>
  <c r="Q76" i="10"/>
  <c r="O76" i="10"/>
  <c r="AA76" i="10"/>
  <c r="K76" i="10"/>
  <c r="M76" i="10"/>
  <c r="S76" i="10"/>
  <c r="AE76" i="10"/>
  <c r="W76" i="10"/>
  <c r="AC76" i="10"/>
  <c r="I76" i="10"/>
  <c r="U76" i="10"/>
  <c r="M56" i="8" l="1"/>
  <c r="J56" i="8"/>
  <c r="F60" i="8" l="1"/>
  <c r="Q56" i="8"/>
  <c r="N53" i="8"/>
  <c r="R53" i="8" s="1"/>
  <c r="F55" i="8" s="1"/>
  <c r="S58" i="8"/>
  <c r="O56" i="8"/>
  <c r="P56" i="8"/>
  <c r="M59" i="8" l="1"/>
  <c r="J59" i="8"/>
  <c r="AO17" i="13"/>
  <c r="O17" i="13" s="1"/>
  <c r="AL17" i="13"/>
  <c r="M17" i="13" s="1"/>
  <c r="AK17" i="13"/>
  <c r="AJ17" i="13"/>
  <c r="F63" i="8" l="1"/>
  <c r="S61" i="8"/>
  <c r="N56" i="8"/>
  <c r="R56" i="8" s="1"/>
  <c r="F58" i="8" s="1"/>
  <c r="P59" i="8"/>
  <c r="O59" i="8"/>
  <c r="Q59" i="8"/>
  <c r="AM17" i="13"/>
  <c r="N17" i="13"/>
  <c r="M62" i="8" l="1"/>
  <c r="O62" i="8" s="1"/>
  <c r="J62" i="8"/>
  <c r="S64" i="8" l="1"/>
  <c r="N59" i="8"/>
  <c r="R59" i="8" s="1"/>
  <c r="F61" i="8" s="1"/>
  <c r="F66" i="8"/>
  <c r="P62" i="8"/>
  <c r="Q62" i="8"/>
  <c r="AM16" i="13"/>
  <c r="AJ16" i="13"/>
  <c r="AM15" i="13"/>
  <c r="AJ15" i="13"/>
  <c r="AM14" i="13"/>
  <c r="AJ14" i="13"/>
  <c r="M65" i="8" l="1"/>
  <c r="O65" i="8" s="1"/>
  <c r="J65" i="8"/>
  <c r="AO14" i="13"/>
  <c r="O14" i="13" s="1"/>
  <c r="AO16" i="13"/>
  <c r="O16" i="13" s="1"/>
  <c r="AF50" i="5"/>
  <c r="AF46" i="5"/>
  <c r="AF67" i="5"/>
  <c r="AF24" i="5"/>
  <c r="AF21" i="5"/>
  <c r="AF28" i="5"/>
  <c r="AF76" i="5"/>
  <c r="AF35" i="5"/>
  <c r="AF14" i="5"/>
  <c r="AF41" i="5"/>
  <c r="AF18" i="5"/>
  <c r="AF39" i="5"/>
  <c r="AF54" i="5"/>
  <c r="AF31" i="5"/>
  <c r="AF34" i="5"/>
  <c r="AF72" i="5"/>
  <c r="AF66" i="5"/>
  <c r="AF25" i="5"/>
  <c r="AF83" i="5"/>
  <c r="AF16" i="5"/>
  <c r="AF23" i="5"/>
  <c r="AF44" i="5"/>
  <c r="AF78" i="5"/>
  <c r="AF85" i="5"/>
  <c r="AF43" i="5"/>
  <c r="AF79" i="5"/>
  <c r="AF51" i="5"/>
  <c r="AF32" i="5"/>
  <c r="AF77" i="5"/>
  <c r="AF63" i="5"/>
  <c r="AF48" i="5"/>
  <c r="AF64" i="5"/>
  <c r="AF26" i="5"/>
  <c r="AF62" i="5"/>
  <c r="AF82" i="5"/>
  <c r="AF56" i="5"/>
  <c r="AF55" i="5"/>
  <c r="AF45" i="5"/>
  <c r="AF80" i="5"/>
  <c r="AF19" i="5"/>
  <c r="AF69" i="5"/>
  <c r="AF84" i="5"/>
  <c r="AF40" i="5"/>
  <c r="AF81" i="5"/>
  <c r="AF33" i="5"/>
  <c r="AF65" i="5"/>
  <c r="AF70" i="5"/>
  <c r="AF60" i="5"/>
  <c r="AF22" i="5"/>
  <c r="AF74" i="5"/>
  <c r="AF53" i="5"/>
  <c r="AF58" i="5"/>
  <c r="AF27" i="5"/>
  <c r="AF38" i="5"/>
  <c r="AF49" i="5"/>
  <c r="AF36" i="5"/>
  <c r="AF17" i="5"/>
  <c r="AF61" i="5"/>
  <c r="AF75" i="5"/>
  <c r="AF57" i="5"/>
  <c r="P65" i="8" l="1"/>
  <c r="Q65" i="8"/>
  <c r="F69" i="8"/>
  <c r="S67" i="8"/>
  <c r="N62" i="8"/>
  <c r="R62" i="8" s="1"/>
  <c r="F64" i="8" s="1"/>
  <c r="R14" i="5"/>
  <c r="AG14" i="5"/>
  <c r="S14" i="5"/>
  <c r="G14" i="6" s="1"/>
  <c r="AG16" i="5"/>
  <c r="S16" i="5"/>
  <c r="S17" i="5"/>
  <c r="AG17" i="5"/>
  <c r="AG57" i="5"/>
  <c r="AG74" i="5"/>
  <c r="S31" i="5"/>
  <c r="R22" i="5"/>
  <c r="R64" i="5"/>
  <c r="AG82" i="5"/>
  <c r="S66" i="5"/>
  <c r="R18" i="5"/>
  <c r="R75" i="5"/>
  <c r="R65" i="5"/>
  <c r="AG41" i="5"/>
  <c r="R23" i="5"/>
  <c r="S33" i="5"/>
  <c r="S62" i="5"/>
  <c r="S58" i="5"/>
  <c r="AG77" i="5"/>
  <c r="AG61" i="5"/>
  <c r="S32" i="5"/>
  <c r="S28" i="5"/>
  <c r="R69" i="5"/>
  <c r="S19" i="5"/>
  <c r="R36" i="5"/>
  <c r="S67" i="5"/>
  <c r="S85" i="5"/>
  <c r="R38" i="5"/>
  <c r="AG36" i="5"/>
  <c r="S50" i="5"/>
  <c r="R57" i="5"/>
  <c r="S34" i="5"/>
  <c r="S74" i="5"/>
  <c r="S22" i="5"/>
  <c r="S60" i="5"/>
  <c r="S64" i="5"/>
  <c r="S82" i="5"/>
  <c r="AG18" i="5"/>
  <c r="AG75" i="5"/>
  <c r="S41" i="5"/>
  <c r="S23" i="5"/>
  <c r="S72" i="5"/>
  <c r="R62" i="5"/>
  <c r="AG63" i="5"/>
  <c r="AG58" i="5"/>
  <c r="S77" i="5"/>
  <c r="R32" i="5"/>
  <c r="R28" i="5"/>
  <c r="S69" i="5"/>
  <c r="R19" i="5"/>
  <c r="S57" i="5"/>
  <c r="R34" i="5"/>
  <c r="S25" i="5"/>
  <c r="AG60" i="5"/>
  <c r="R82" i="5"/>
  <c r="S75" i="5"/>
  <c r="AG23" i="5"/>
  <c r="AG72" i="5"/>
  <c r="AG62" i="5"/>
  <c r="S63" i="5"/>
  <c r="AG40" i="5"/>
  <c r="R77" i="5"/>
  <c r="AG28" i="5"/>
  <c r="AG69" i="5"/>
  <c r="R21" i="5"/>
  <c r="AG79" i="5"/>
  <c r="S36" i="5"/>
  <c r="R55" i="5"/>
  <c r="S78" i="5"/>
  <c r="R50" i="5"/>
  <c r="R24" i="5"/>
  <c r="AG43" i="5"/>
  <c r="R26" i="5"/>
  <c r="AG34" i="5"/>
  <c r="R83" i="5"/>
  <c r="R25" i="5"/>
  <c r="S27" i="5"/>
  <c r="R60" i="5"/>
  <c r="S70" i="5"/>
  <c r="R72" i="5"/>
  <c r="R81" i="5"/>
  <c r="R63" i="5"/>
  <c r="R40" i="5"/>
  <c r="AG76" i="5"/>
  <c r="S21" i="5"/>
  <c r="S79" i="5"/>
  <c r="AG45" i="5"/>
  <c r="AG55" i="5"/>
  <c r="AG50" i="5"/>
  <c r="S84" i="5"/>
  <c r="R80" i="5"/>
  <c r="S46" i="5"/>
  <c r="S53" i="5"/>
  <c r="AG26" i="5"/>
  <c r="S56" i="5"/>
  <c r="S83" i="5"/>
  <c r="R44" i="5"/>
  <c r="AG25" i="5"/>
  <c r="AG27" i="5"/>
  <c r="R70" i="5"/>
  <c r="S48" i="5"/>
  <c r="S81" i="5"/>
  <c r="R35" i="5"/>
  <c r="S40" i="5"/>
  <c r="S76" i="5"/>
  <c r="R84" i="5"/>
  <c r="S51" i="5"/>
  <c r="AG21" i="5"/>
  <c r="R79" i="5"/>
  <c r="S80" i="5"/>
  <c r="S45" i="5"/>
  <c r="AG46" i="5"/>
  <c r="S55" i="5"/>
  <c r="R45" i="5"/>
  <c r="R53" i="5"/>
  <c r="S26" i="5"/>
  <c r="R56" i="5"/>
  <c r="AG83" i="5"/>
  <c r="AG44" i="5"/>
  <c r="S54" i="5"/>
  <c r="R27" i="5"/>
  <c r="S39" i="5"/>
  <c r="AG70" i="5"/>
  <c r="AG48" i="5"/>
  <c r="AG81" i="5"/>
  <c r="AG35" i="5"/>
  <c r="R76" i="5"/>
  <c r="R51" i="5"/>
  <c r="AG49" i="5"/>
  <c r="AG53" i="5"/>
  <c r="AG56" i="5"/>
  <c r="R31" i="5"/>
  <c r="S44" i="5"/>
  <c r="R54" i="5"/>
  <c r="AG39" i="5"/>
  <c r="AG66" i="5"/>
  <c r="AG65" i="5"/>
  <c r="R48" i="5"/>
  <c r="R33" i="5"/>
  <c r="S35" i="5"/>
  <c r="R61" i="5"/>
  <c r="AG84" i="5"/>
  <c r="AG51" i="5"/>
  <c r="S24" i="5"/>
  <c r="AG80" i="5"/>
  <c r="R43" i="5"/>
  <c r="AG67" i="5"/>
  <c r="R49" i="5"/>
  <c r="AG85" i="5"/>
  <c r="R46" i="5"/>
  <c r="AG78" i="5"/>
  <c r="AG38" i="5"/>
  <c r="R74" i="5"/>
  <c r="AG31" i="5"/>
  <c r="AG22" i="5"/>
  <c r="AG54" i="5"/>
  <c r="AG64" i="5"/>
  <c r="R39" i="5"/>
  <c r="R66" i="5"/>
  <c r="S18" i="5"/>
  <c r="S65" i="5"/>
  <c r="R41" i="5"/>
  <c r="AG33" i="5"/>
  <c r="R58" i="5"/>
  <c r="S61" i="5"/>
  <c r="AG32" i="5"/>
  <c r="AG19" i="5"/>
  <c r="AG24" i="5"/>
  <c r="S43" i="5"/>
  <c r="R67" i="5"/>
  <c r="S49" i="5"/>
  <c r="R85" i="5"/>
  <c r="S38" i="5"/>
  <c r="R78" i="5"/>
  <c r="J68" i="8" l="1"/>
  <c r="M68" i="8"/>
  <c r="Q68" i="8"/>
  <c r="P68" i="8"/>
  <c r="O68" i="8"/>
  <c r="G38" i="6"/>
  <c r="G49" i="6"/>
  <c r="G43" i="6"/>
  <c r="U24" i="5"/>
  <c r="U19" i="5"/>
  <c r="W19" i="5" s="1"/>
  <c r="AB19" i="6" s="1"/>
  <c r="X19" i="5" s="1"/>
  <c r="U32" i="5"/>
  <c r="W32" i="5" s="1"/>
  <c r="AB32" i="6" s="1"/>
  <c r="X32" i="5" s="1"/>
  <c r="G61" i="6"/>
  <c r="U33" i="5"/>
  <c r="G65" i="6"/>
  <c r="G18" i="6"/>
  <c r="U64" i="5"/>
  <c r="W64" i="5" s="1"/>
  <c r="AB64" i="6" s="1"/>
  <c r="X64" i="5" s="1"/>
  <c r="U54" i="5"/>
  <c r="U22" i="5"/>
  <c r="AN22" i="5" s="1"/>
  <c r="U31" i="5"/>
  <c r="U38" i="5"/>
  <c r="U78" i="5"/>
  <c r="U85" i="5"/>
  <c r="U67" i="5"/>
  <c r="U80" i="5"/>
  <c r="G24" i="6"/>
  <c r="U51" i="5"/>
  <c r="AN51" i="5" s="1"/>
  <c r="U84" i="5"/>
  <c r="AN84" i="5" s="1"/>
  <c r="G35" i="6"/>
  <c r="U65" i="5"/>
  <c r="U66" i="5"/>
  <c r="U39" i="5"/>
  <c r="AN39" i="5" s="1"/>
  <c r="G44" i="6"/>
  <c r="U56" i="5"/>
  <c r="U53" i="5"/>
  <c r="W53" i="5" s="1"/>
  <c r="AB53" i="6" s="1"/>
  <c r="U49" i="5"/>
  <c r="U35" i="5"/>
  <c r="U81" i="5"/>
  <c r="AN81" i="5" s="1"/>
  <c r="U48" i="5"/>
  <c r="W48" i="5" s="1"/>
  <c r="AB48" i="6" s="1"/>
  <c r="U70" i="5"/>
  <c r="G39" i="6"/>
  <c r="G54" i="6"/>
  <c r="U44" i="5"/>
  <c r="U83" i="5"/>
  <c r="G26" i="6"/>
  <c r="G55" i="6"/>
  <c r="U46" i="5"/>
  <c r="G45" i="6"/>
  <c r="G80" i="6"/>
  <c r="U21" i="5"/>
  <c r="AN21" i="5" s="1"/>
  <c r="G51" i="6"/>
  <c r="G76" i="6"/>
  <c r="G40" i="6"/>
  <c r="G81" i="6"/>
  <c r="G48" i="6"/>
  <c r="U27" i="5"/>
  <c r="AN27" i="5" s="1"/>
  <c r="U25" i="5"/>
  <c r="AN25" i="5" s="1"/>
  <c r="G83" i="6"/>
  <c r="G56" i="6"/>
  <c r="U26" i="5"/>
  <c r="W26" i="5" s="1"/>
  <c r="AB26" i="6" s="1"/>
  <c r="X26" i="5" s="1"/>
  <c r="G53" i="6"/>
  <c r="G46" i="6"/>
  <c r="G84" i="6"/>
  <c r="U50" i="5"/>
  <c r="U55" i="5"/>
  <c r="AN55" i="5" s="1"/>
  <c r="U45" i="5"/>
  <c r="G79" i="6"/>
  <c r="G21" i="6"/>
  <c r="U76" i="5"/>
  <c r="G70" i="6"/>
  <c r="G27" i="6"/>
  <c r="U34" i="5"/>
  <c r="U43" i="5"/>
  <c r="W43" i="5" s="1"/>
  <c r="AB43" i="6" s="1"/>
  <c r="G78" i="6"/>
  <c r="G36" i="6"/>
  <c r="U79" i="5"/>
  <c r="U69" i="5"/>
  <c r="U28" i="5"/>
  <c r="W28" i="5" s="1"/>
  <c r="AB28" i="6" s="1"/>
  <c r="X28" i="5" s="1"/>
  <c r="U40" i="5"/>
  <c r="G63" i="6"/>
  <c r="U62" i="5"/>
  <c r="AN62" i="5" s="1"/>
  <c r="U72" i="5"/>
  <c r="U23" i="5"/>
  <c r="G75" i="6"/>
  <c r="U60" i="5"/>
  <c r="W60" i="5" s="1"/>
  <c r="AB60" i="6" s="1"/>
  <c r="G25" i="6"/>
  <c r="G57" i="6"/>
  <c r="G69" i="6"/>
  <c r="G77" i="6"/>
  <c r="U58" i="5"/>
  <c r="AN58" i="5" s="1"/>
  <c r="U63" i="5"/>
  <c r="G72" i="6"/>
  <c r="G23" i="6"/>
  <c r="G41" i="6"/>
  <c r="U75" i="5"/>
  <c r="W75" i="5" s="1"/>
  <c r="AB75" i="6" s="1"/>
  <c r="X75" i="5" s="1"/>
  <c r="U18" i="5"/>
  <c r="W18" i="5" s="1"/>
  <c r="AB18" i="6" s="1"/>
  <c r="G82" i="6"/>
  <c r="G64" i="6"/>
  <c r="G60" i="6"/>
  <c r="G22" i="6"/>
  <c r="G74" i="6"/>
  <c r="G34" i="6"/>
  <c r="G50" i="6"/>
  <c r="U36" i="5"/>
  <c r="W36" i="5" s="1"/>
  <c r="AB36" i="6" s="1"/>
  <c r="X36" i="5" s="1"/>
  <c r="G85" i="6"/>
  <c r="G67" i="6"/>
  <c r="G19" i="6"/>
  <c r="G28" i="6"/>
  <c r="G32" i="6"/>
  <c r="U61" i="5"/>
  <c r="W61" i="5" s="1"/>
  <c r="AB61" i="6" s="1"/>
  <c r="X61" i="5" s="1"/>
  <c r="U77" i="5"/>
  <c r="AN77" i="5" s="1"/>
  <c r="G58" i="6"/>
  <c r="G62" i="6"/>
  <c r="G33" i="6"/>
  <c r="U41" i="5"/>
  <c r="G66" i="6"/>
  <c r="U82" i="5"/>
  <c r="W82" i="5" s="1"/>
  <c r="AB82" i="6" s="1"/>
  <c r="X82" i="5" s="1"/>
  <c r="G31" i="6"/>
  <c r="U74" i="5"/>
  <c r="U57" i="5"/>
  <c r="AN57" i="5" s="1"/>
  <c r="F85" i="6"/>
  <c r="E85" i="12"/>
  <c r="E67" i="12"/>
  <c r="F67" i="6"/>
  <c r="E58" i="12"/>
  <c r="F58" i="6"/>
  <c r="F41" i="6"/>
  <c r="E41" i="12"/>
  <c r="F66" i="6"/>
  <c r="E66" i="12"/>
  <c r="F39" i="6"/>
  <c r="E39" i="12"/>
  <c r="E74" i="12"/>
  <c r="F74" i="6"/>
  <c r="F46" i="6"/>
  <c r="E46" i="12"/>
  <c r="F49" i="6"/>
  <c r="E49" i="12"/>
  <c r="F43" i="6"/>
  <c r="E43" i="12"/>
  <c r="E61" i="12"/>
  <c r="F61" i="6"/>
  <c r="E33" i="12"/>
  <c r="F33" i="6"/>
  <c r="F48" i="6"/>
  <c r="E48" i="12"/>
  <c r="F54" i="6"/>
  <c r="E54" i="12"/>
  <c r="F31" i="6"/>
  <c r="E31" i="12"/>
  <c r="E45" i="12"/>
  <c r="F45" i="6"/>
  <c r="F80" i="6"/>
  <c r="E80" i="12"/>
  <c r="E24" i="12"/>
  <c r="F24" i="6"/>
  <c r="F51" i="6"/>
  <c r="E51" i="12"/>
  <c r="E76" i="12"/>
  <c r="F76" i="6"/>
  <c r="AC14" i="5"/>
  <c r="J14" i="6" s="1" a="1"/>
  <c r="J14" i="6" s="1"/>
  <c r="F14" i="6"/>
  <c r="E14" i="12"/>
  <c r="E27" i="12"/>
  <c r="F27" i="6"/>
  <c r="E56" i="12"/>
  <c r="F56" i="6"/>
  <c r="F53" i="6"/>
  <c r="E53" i="12"/>
  <c r="F79" i="6"/>
  <c r="E79" i="12"/>
  <c r="E84" i="12"/>
  <c r="F84" i="6"/>
  <c r="E35" i="12"/>
  <c r="F35" i="6"/>
  <c r="E70" i="12"/>
  <c r="F70" i="6"/>
  <c r="E44" i="12"/>
  <c r="F44" i="6"/>
  <c r="F40" i="6"/>
  <c r="E40" i="12"/>
  <c r="E63" i="12"/>
  <c r="F63" i="6"/>
  <c r="E81" i="12"/>
  <c r="F81" i="6"/>
  <c r="E72" i="12"/>
  <c r="F72" i="6"/>
  <c r="E60" i="12"/>
  <c r="F60" i="6"/>
  <c r="E25" i="12"/>
  <c r="F25" i="6"/>
  <c r="E83" i="12"/>
  <c r="F83" i="6"/>
  <c r="F26" i="6"/>
  <c r="E26" i="12"/>
  <c r="F50" i="6"/>
  <c r="E50" i="12"/>
  <c r="F55" i="6"/>
  <c r="E55" i="12"/>
  <c r="F21" i="6"/>
  <c r="E21" i="12"/>
  <c r="E77" i="12"/>
  <c r="F77" i="6"/>
  <c r="E82" i="12"/>
  <c r="F82" i="6"/>
  <c r="E34" i="12"/>
  <c r="F34" i="6"/>
  <c r="F78" i="6"/>
  <c r="E78" i="12"/>
  <c r="F19" i="6"/>
  <c r="E19" i="12"/>
  <c r="F28" i="6"/>
  <c r="E28" i="12"/>
  <c r="F32" i="6"/>
  <c r="E32" i="12"/>
  <c r="F62" i="6"/>
  <c r="E62" i="12"/>
  <c r="E57" i="12"/>
  <c r="F57" i="6"/>
  <c r="F38" i="6"/>
  <c r="E38" i="12"/>
  <c r="F36" i="6"/>
  <c r="E36" i="12"/>
  <c r="F69" i="6"/>
  <c r="E69" i="12"/>
  <c r="E23" i="12"/>
  <c r="F23" i="6"/>
  <c r="E65" i="12"/>
  <c r="F65" i="6"/>
  <c r="E75" i="12"/>
  <c r="F75" i="6"/>
  <c r="F18" i="6"/>
  <c r="E18" i="12"/>
  <c r="F64" i="6"/>
  <c r="E64" i="12"/>
  <c r="E22" i="12"/>
  <c r="F22" i="6"/>
  <c r="F72" i="8" l="1"/>
  <c r="S70" i="8"/>
  <c r="N65" i="8"/>
  <c r="R65" i="8" s="1"/>
  <c r="F67" i="8" s="1"/>
  <c r="W24" i="5"/>
  <c r="AB24" i="6" s="1"/>
  <c r="X24" i="5" s="1"/>
  <c r="AN24" i="5"/>
  <c r="W70" i="5"/>
  <c r="AB70" i="6" s="1"/>
  <c r="X70" i="5" s="1"/>
  <c r="AN70" i="5"/>
  <c r="W44" i="5"/>
  <c r="AB44" i="6" s="1"/>
  <c r="X44" i="5" s="1"/>
  <c r="AN44" i="5"/>
  <c r="W83" i="5"/>
  <c r="AB83" i="6" s="1"/>
  <c r="X83" i="5" s="1"/>
  <c r="AN83" i="5"/>
  <c r="W33" i="5"/>
  <c r="AB33" i="6" s="1"/>
  <c r="X33" i="5" s="1"/>
  <c r="AN33" i="5"/>
  <c r="AN54" i="5"/>
  <c r="W54" i="5"/>
  <c r="AB54" i="6" s="1"/>
  <c r="X54" i="5" s="1"/>
  <c r="AN31" i="5"/>
  <c r="W31" i="5"/>
  <c r="AB31" i="6" s="1"/>
  <c r="X31" i="5" s="1"/>
  <c r="AN85" i="5"/>
  <c r="W85" i="5"/>
  <c r="AB85" i="6" s="1"/>
  <c r="X85" i="5" s="1"/>
  <c r="W67" i="5"/>
  <c r="AB67" i="6" s="1"/>
  <c r="X67" i="5" s="1"/>
  <c r="AN67" i="5"/>
  <c r="W79" i="5"/>
  <c r="AB79" i="6" s="1"/>
  <c r="X79" i="5" s="1"/>
  <c r="AN79" i="5"/>
  <c r="AN69" i="5"/>
  <c r="W69" i="5"/>
  <c r="AB69" i="6" s="1"/>
  <c r="X69" i="5" s="1"/>
  <c r="W40" i="5"/>
  <c r="AB40" i="6" s="1"/>
  <c r="X40" i="5" s="1"/>
  <c r="AN40" i="5"/>
  <c r="W72" i="5"/>
  <c r="AB72" i="6" s="1"/>
  <c r="X72" i="5" s="1"/>
  <c r="AN72" i="5"/>
  <c r="AN23" i="5"/>
  <c r="W23" i="5"/>
  <c r="AB23" i="6" s="1"/>
  <c r="X23" i="5" s="1"/>
  <c r="W41" i="5"/>
  <c r="AB41" i="6" s="1"/>
  <c r="X41" i="5" s="1"/>
  <c r="AN41" i="5"/>
  <c r="AN74" i="5"/>
  <c r="W74" i="5"/>
  <c r="AB74" i="6" s="1"/>
  <c r="X74" i="5" s="1"/>
  <c r="W38" i="5"/>
  <c r="AB38" i="6" s="1"/>
  <c r="X38" i="5" s="1"/>
  <c r="AN38" i="5"/>
  <c r="AN78" i="5"/>
  <c r="W78" i="5"/>
  <c r="AB78" i="6" s="1"/>
  <c r="X78" i="5" s="1"/>
  <c r="AN80" i="5"/>
  <c r="W80" i="5"/>
  <c r="AB80" i="6" s="1"/>
  <c r="X80" i="5" s="1"/>
  <c r="AM80" i="5" s="1"/>
  <c r="AN65" i="5"/>
  <c r="W65" i="5"/>
  <c r="AB65" i="6" s="1"/>
  <c r="X65" i="5" s="1"/>
  <c r="W66" i="5"/>
  <c r="AB66" i="6" s="1"/>
  <c r="X66" i="5" s="1"/>
  <c r="AN66" i="5"/>
  <c r="W56" i="5"/>
  <c r="AB56" i="6" s="1"/>
  <c r="AN56" i="5"/>
  <c r="AN49" i="5"/>
  <c r="W49" i="5"/>
  <c r="AB49" i="6" s="1"/>
  <c r="X49" i="5" s="1"/>
  <c r="AN35" i="5"/>
  <c r="W35" i="5"/>
  <c r="AB35" i="6" s="1"/>
  <c r="X35" i="5" s="1"/>
  <c r="AN46" i="5"/>
  <c r="W46" i="5"/>
  <c r="AB46" i="6" s="1"/>
  <c r="X46" i="5" s="1"/>
  <c r="W50" i="5"/>
  <c r="AB50" i="6" s="1"/>
  <c r="AN50" i="5"/>
  <c r="W45" i="5"/>
  <c r="AB45" i="6" s="1"/>
  <c r="AN45" i="5"/>
  <c r="W76" i="5"/>
  <c r="AB76" i="6" s="1"/>
  <c r="X76" i="5" s="1"/>
  <c r="AN76" i="5"/>
  <c r="W34" i="5"/>
  <c r="AB34" i="6" s="1"/>
  <c r="AN34" i="5"/>
  <c r="AN63" i="5"/>
  <c r="W63" i="5"/>
  <c r="AB63" i="6" s="1"/>
  <c r="X63" i="5" s="1"/>
  <c r="W58" i="5"/>
  <c r="AB58" i="6" s="1"/>
  <c r="X58" i="5" s="1"/>
  <c r="AN19" i="5"/>
  <c r="AN18" i="5"/>
  <c r="W57" i="5"/>
  <c r="AB57" i="6" s="1"/>
  <c r="X57" i="5" s="1"/>
  <c r="W27" i="5"/>
  <c r="AB27" i="6" s="1"/>
  <c r="X27" i="5" s="1"/>
  <c r="W81" i="5"/>
  <c r="AB81" i="6" s="1"/>
  <c r="X81" i="5" s="1"/>
  <c r="AN48" i="5"/>
  <c r="AN26" i="5"/>
  <c r="AN60" i="5"/>
  <c r="AN43" i="5"/>
  <c r="W22" i="5"/>
  <c r="AB22" i="6" s="1"/>
  <c r="X22" i="5" s="1"/>
  <c r="AM22" i="5" s="1"/>
  <c r="W55" i="5"/>
  <c r="AB55" i="6" s="1"/>
  <c r="X55" i="5" s="1"/>
  <c r="W62" i="5"/>
  <c r="AB62" i="6" s="1"/>
  <c r="X62" i="5" s="1"/>
  <c r="AM62" i="5" s="1"/>
  <c r="W39" i="5"/>
  <c r="AB39" i="6" s="1"/>
  <c r="X39" i="5" s="1"/>
  <c r="L39" i="5" s="1"/>
  <c r="AC39" i="5" s="1"/>
  <c r="W84" i="5"/>
  <c r="AB84" i="6" s="1"/>
  <c r="X84" i="5" s="1"/>
  <c r="AN36" i="5"/>
  <c r="AN28" i="5"/>
  <c r="AN75" i="5"/>
  <c r="W77" i="5"/>
  <c r="AB77" i="6" s="1"/>
  <c r="X77" i="5" s="1"/>
  <c r="AN64" i="5"/>
  <c r="AN53" i="5"/>
  <c r="AN61" i="5"/>
  <c r="AN82" i="5"/>
  <c r="AN32" i="5"/>
  <c r="W25" i="5"/>
  <c r="AB25" i="6" s="1"/>
  <c r="X25" i="5" s="1"/>
  <c r="W21" i="5"/>
  <c r="AB21" i="6" s="1"/>
  <c r="X21" i="5" s="1"/>
  <c r="W51" i="5"/>
  <c r="AB51" i="6" s="1"/>
  <c r="X51" i="5" s="1"/>
  <c r="I75" i="12"/>
  <c r="L75" i="5"/>
  <c r="AM75" i="5"/>
  <c r="Z75" i="5"/>
  <c r="AB75" i="5" s="1"/>
  <c r="L36" i="5"/>
  <c r="AM36" i="5"/>
  <c r="Z36" i="5"/>
  <c r="AB36" i="5" s="1"/>
  <c r="I36" i="12"/>
  <c r="AM19" i="5"/>
  <c r="I19" i="12"/>
  <c r="L19" i="5"/>
  <c r="C19" i="6" s="1"/>
  <c r="Z19" i="5"/>
  <c r="AB19" i="5" s="1"/>
  <c r="I82" i="12"/>
  <c r="L82" i="5"/>
  <c r="AM82" i="5"/>
  <c r="Z82" i="5"/>
  <c r="AB82" i="5" s="1"/>
  <c r="Z26" i="5"/>
  <c r="AB26" i="5" s="1"/>
  <c r="I26" i="12"/>
  <c r="L26" i="5"/>
  <c r="AM26" i="5"/>
  <c r="L32" i="5"/>
  <c r="I32" i="12"/>
  <c r="AM32" i="5"/>
  <c r="Z32" i="5"/>
  <c r="AB32" i="5" s="1"/>
  <c r="I64" i="12"/>
  <c r="Z64" i="5"/>
  <c r="AB64" i="5" s="1"/>
  <c r="AM64" i="5"/>
  <c r="L64" i="5"/>
  <c r="X18" i="5"/>
  <c r="U19" i="8"/>
  <c r="E19" i="8"/>
  <c r="X60" i="5"/>
  <c r="L28" i="5"/>
  <c r="Z28" i="5"/>
  <c r="AB28" i="5" s="1"/>
  <c r="I28" i="12"/>
  <c r="AM28" i="5"/>
  <c r="X53" i="5"/>
  <c r="L61" i="5"/>
  <c r="Z61" i="5"/>
  <c r="AB61" i="5" s="1"/>
  <c r="I61" i="12"/>
  <c r="AM61" i="5"/>
  <c r="X43" i="5"/>
  <c r="X48" i="5"/>
  <c r="AO15" i="13"/>
  <c r="O15" i="13" s="1"/>
  <c r="J71" i="8" l="1"/>
  <c r="M71" i="8"/>
  <c r="AM24" i="5"/>
  <c r="I24" i="12"/>
  <c r="L24" i="5"/>
  <c r="Z24" i="5"/>
  <c r="AB24" i="5" s="1"/>
  <c r="I70" i="12"/>
  <c r="AM70" i="5"/>
  <c r="L70" i="5"/>
  <c r="Z70" i="5"/>
  <c r="AB70" i="5" s="1"/>
  <c r="L83" i="5"/>
  <c r="C83" i="6" s="1"/>
  <c r="Z83" i="5"/>
  <c r="AB83" i="5" s="1"/>
  <c r="AM83" i="5"/>
  <c r="I83" i="12"/>
  <c r="AC83" i="5"/>
  <c r="AM44" i="5"/>
  <c r="Z44" i="5"/>
  <c r="AB44" i="5" s="1"/>
  <c r="I44" i="12"/>
  <c r="L44" i="5"/>
  <c r="AC64" i="5"/>
  <c r="Z33" i="5"/>
  <c r="AB33" i="5" s="1"/>
  <c r="AM33" i="5"/>
  <c r="L33" i="5"/>
  <c r="I33" i="12"/>
  <c r="L85" i="5"/>
  <c r="Z85" i="5"/>
  <c r="AB85" i="5" s="1"/>
  <c r="I85" i="12"/>
  <c r="AM85" i="5"/>
  <c r="AM54" i="5"/>
  <c r="L54" i="5"/>
  <c r="I54" i="12"/>
  <c r="Z54" i="5"/>
  <c r="AB54" i="5" s="1"/>
  <c r="Z67" i="5"/>
  <c r="AB67" i="5" s="1"/>
  <c r="I67" i="12"/>
  <c r="AM67" i="5"/>
  <c r="L67" i="5"/>
  <c r="I79" i="12"/>
  <c r="L79" i="5"/>
  <c r="AM79" i="5"/>
  <c r="Z79" i="5"/>
  <c r="AB79" i="5" s="1"/>
  <c r="AM69" i="5"/>
  <c r="I69" i="12"/>
  <c r="Z69" i="5"/>
  <c r="AB69" i="5" s="1"/>
  <c r="L69" i="5"/>
  <c r="L40" i="5"/>
  <c r="I40" i="12"/>
  <c r="AM40" i="5"/>
  <c r="Z40" i="5"/>
  <c r="AB40" i="5" s="1"/>
  <c r="L23" i="5"/>
  <c r="I23" i="12"/>
  <c r="AM23" i="5"/>
  <c r="Z23" i="5"/>
  <c r="AB23" i="5" s="1"/>
  <c r="Z41" i="5"/>
  <c r="AB41" i="5" s="1"/>
  <c r="AM41" i="5"/>
  <c r="I41" i="12"/>
  <c r="L41" i="5"/>
  <c r="I74" i="12"/>
  <c r="Z74" i="5"/>
  <c r="AB74" i="5" s="1"/>
  <c r="L74" i="5"/>
  <c r="AM74" i="5"/>
  <c r="Z78" i="5"/>
  <c r="AB78" i="5" s="1"/>
  <c r="I78" i="12"/>
  <c r="L78" i="5"/>
  <c r="AM78" i="5"/>
  <c r="L63" i="5"/>
  <c r="Z63" i="5"/>
  <c r="AB63" i="5" s="1"/>
  <c r="I63" i="12"/>
  <c r="AM63" i="5"/>
  <c r="I58" i="12"/>
  <c r="AM58" i="5"/>
  <c r="L58" i="5"/>
  <c r="Z58" i="5"/>
  <c r="AB58" i="5" s="1"/>
  <c r="L55" i="5"/>
  <c r="I55" i="12"/>
  <c r="AM55" i="5"/>
  <c r="Z55" i="5"/>
  <c r="AB55" i="5" s="1"/>
  <c r="L80" i="5"/>
  <c r="I80" i="12"/>
  <c r="Z80" i="5"/>
  <c r="AB80" i="5" s="1"/>
  <c r="L65" i="5"/>
  <c r="Z65" i="5"/>
  <c r="AB65" i="5" s="1"/>
  <c r="AM65" i="5"/>
  <c r="I65" i="12"/>
  <c r="Z66" i="5"/>
  <c r="AB66" i="5" s="1"/>
  <c r="I66" i="12"/>
  <c r="L66" i="5"/>
  <c r="AM66" i="5"/>
  <c r="X56" i="5"/>
  <c r="X52" i="5" s="1"/>
  <c r="W40" i="8"/>
  <c r="Z49" i="5"/>
  <c r="AB49" i="5" s="1"/>
  <c r="AM49" i="5"/>
  <c r="L49" i="5"/>
  <c r="I49" i="12"/>
  <c r="AM35" i="5"/>
  <c r="I35" i="12"/>
  <c r="L35" i="5"/>
  <c r="Z35" i="5"/>
  <c r="AB35" i="5" s="1"/>
  <c r="Z46" i="5"/>
  <c r="AB46" i="5" s="1"/>
  <c r="I46" i="12"/>
  <c r="AM46" i="5"/>
  <c r="L46" i="5"/>
  <c r="X50" i="5"/>
  <c r="X47" i="5" s="1"/>
  <c r="V37" i="8"/>
  <c r="X45" i="5"/>
  <c r="X42" i="5" s="1"/>
  <c r="V34" i="8"/>
  <c r="L76" i="5"/>
  <c r="I76" i="12"/>
  <c r="AM76" i="5"/>
  <c r="Z76" i="5"/>
  <c r="AB76" i="5" s="1"/>
  <c r="X34" i="5"/>
  <c r="U28" i="8"/>
  <c r="E28" i="8"/>
  <c r="Z57" i="5"/>
  <c r="AB57" i="5" s="1"/>
  <c r="I57" i="12"/>
  <c r="AM57" i="5"/>
  <c r="L57" i="5"/>
  <c r="C57" i="6" s="1"/>
  <c r="I27" i="12"/>
  <c r="L27" i="5"/>
  <c r="C27" i="6" s="1"/>
  <c r="AM27" i="5"/>
  <c r="Z27" i="5"/>
  <c r="AB27" i="5" s="1"/>
  <c r="L81" i="5"/>
  <c r="Z81" i="5"/>
  <c r="AB81" i="5" s="1"/>
  <c r="AM84" i="5"/>
  <c r="Z84" i="5"/>
  <c r="AB84" i="5" s="1"/>
  <c r="I77" i="12"/>
  <c r="AM77" i="5"/>
  <c r="Z25" i="5"/>
  <c r="AB25" i="5" s="1"/>
  <c r="L25" i="5"/>
  <c r="L51" i="5"/>
  <c r="Z51" i="5"/>
  <c r="AB51" i="5" s="1"/>
  <c r="I51" i="12"/>
  <c r="AM51" i="5"/>
  <c r="I62" i="12"/>
  <c r="I81" i="12"/>
  <c r="AM81" i="5"/>
  <c r="AM39" i="5"/>
  <c r="AC26" i="5"/>
  <c r="Z39" i="5"/>
  <c r="AB39" i="5" s="1"/>
  <c r="I39" i="12"/>
  <c r="Z77" i="5"/>
  <c r="AB77" i="5" s="1"/>
  <c r="I25" i="12"/>
  <c r="L77" i="5"/>
  <c r="Z62" i="5"/>
  <c r="AB62" i="5" s="1"/>
  <c r="AM25" i="5"/>
  <c r="L62" i="5"/>
  <c r="X43" i="8"/>
  <c r="V31" i="8"/>
  <c r="L22" i="5"/>
  <c r="Z22" i="5"/>
  <c r="AB22" i="5" s="1"/>
  <c r="I22" i="12"/>
  <c r="L84" i="5"/>
  <c r="AC84" i="5" s="1"/>
  <c r="I84" i="12"/>
  <c r="AO84" i="12" s="1"/>
  <c r="U22" i="8"/>
  <c r="E22" i="8"/>
  <c r="AB15" i="6"/>
  <c r="Q15" i="6" s="1"/>
  <c r="Q11" i="6" s="1"/>
  <c r="AC75" i="5"/>
  <c r="AC32" i="5"/>
  <c r="AC82" i="5"/>
  <c r="C36" i="6"/>
  <c r="AC36" i="5"/>
  <c r="C28" i="6"/>
  <c r="AC28" i="5"/>
  <c r="AC19" i="5"/>
  <c r="AC27" i="5"/>
  <c r="AC57" i="5"/>
  <c r="AO61" i="12"/>
  <c r="O61" i="12"/>
  <c r="C61" i="12"/>
  <c r="M61" i="12"/>
  <c r="I38" i="5"/>
  <c r="I39" i="5" s="1"/>
  <c r="I40" i="5" s="1"/>
  <c r="I41" i="5" s="1"/>
  <c r="X37" i="5"/>
  <c r="I38" i="12"/>
  <c r="Z38" i="5"/>
  <c r="AB38" i="5" s="1"/>
  <c r="AM38" i="5"/>
  <c r="L38" i="5"/>
  <c r="AC38" i="5" s="1"/>
  <c r="AC61" i="5"/>
  <c r="C61" i="6"/>
  <c r="AM60" i="5"/>
  <c r="I60" i="5"/>
  <c r="I61" i="5" s="1"/>
  <c r="I62" i="5" s="1"/>
  <c r="I63" i="5" s="1"/>
  <c r="I64" i="5" s="1"/>
  <c r="I65" i="5" s="1"/>
  <c r="I66" i="5" s="1"/>
  <c r="I67" i="5" s="1"/>
  <c r="I60" i="12"/>
  <c r="L60" i="5"/>
  <c r="AC60" i="5" s="1"/>
  <c r="X59" i="5"/>
  <c r="Z60" i="5"/>
  <c r="AB60" i="5" s="1"/>
  <c r="C26" i="6"/>
  <c r="C64" i="6"/>
  <c r="M26" i="12"/>
  <c r="O26" i="12"/>
  <c r="AO26" i="12"/>
  <c r="C26" i="12"/>
  <c r="C39" i="6"/>
  <c r="Z21" i="5"/>
  <c r="AB21" i="5" s="1"/>
  <c r="AM21" i="5"/>
  <c r="L21" i="5"/>
  <c r="AC21" i="5" s="1"/>
  <c r="X20" i="5"/>
  <c r="I21" i="12"/>
  <c r="I21" i="5"/>
  <c r="I22" i="5" s="1"/>
  <c r="I23" i="5" s="1"/>
  <c r="I24" i="5" s="1"/>
  <c r="I25" i="5" s="1"/>
  <c r="I26" i="5" s="1"/>
  <c r="I27" i="5" s="1"/>
  <c r="L48" i="5"/>
  <c r="AC48" i="5" s="1"/>
  <c r="Z48" i="5"/>
  <c r="AB48" i="5" s="1"/>
  <c r="I48" i="12"/>
  <c r="I48" i="5"/>
  <c r="I49" i="5" s="1"/>
  <c r="AM48" i="5"/>
  <c r="C75" i="6"/>
  <c r="L43" i="5"/>
  <c r="AC43" i="5" s="1"/>
  <c r="Z43" i="5"/>
  <c r="AB43" i="5" s="1"/>
  <c r="AM43" i="5"/>
  <c r="I43" i="12"/>
  <c r="I43" i="5"/>
  <c r="I44" i="5" s="1"/>
  <c r="O32" i="12"/>
  <c r="AO32" i="12"/>
  <c r="M32" i="12"/>
  <c r="C32" i="12"/>
  <c r="C82" i="6"/>
  <c r="C19" i="12"/>
  <c r="M19" i="12"/>
  <c r="AO19" i="12"/>
  <c r="O19" i="12"/>
  <c r="I31" i="12"/>
  <c r="Z31" i="5"/>
  <c r="AB31" i="5" s="1"/>
  <c r="I31" i="5"/>
  <c r="I32" i="5" s="1"/>
  <c r="I33" i="5" s="1"/>
  <c r="AM31" i="5"/>
  <c r="L31" i="5"/>
  <c r="AC31" i="5" s="1"/>
  <c r="O75" i="12"/>
  <c r="C75" i="12"/>
  <c r="M75" i="12"/>
  <c r="AO75" i="12"/>
  <c r="I53" i="12"/>
  <c r="Z53" i="5"/>
  <c r="AB53" i="5" s="1"/>
  <c r="I53" i="5"/>
  <c r="I54" i="5" s="1"/>
  <c r="I55" i="5" s="1"/>
  <c r="AM53" i="5"/>
  <c r="L53" i="5"/>
  <c r="AC53" i="5" s="1"/>
  <c r="AM72" i="5"/>
  <c r="Z72" i="5"/>
  <c r="AB72" i="5" s="1"/>
  <c r="X71" i="5"/>
  <c r="I72" i="5"/>
  <c r="I73" i="5" s="1"/>
  <c r="I72" i="12"/>
  <c r="L72" i="5"/>
  <c r="AC72" i="5" s="1"/>
  <c r="O64" i="12"/>
  <c r="C64" i="12"/>
  <c r="M64" i="12"/>
  <c r="AO64" i="12"/>
  <c r="C32" i="6"/>
  <c r="M82" i="12"/>
  <c r="AO82" i="12"/>
  <c r="C82" i="12"/>
  <c r="O82" i="12"/>
  <c r="I69" i="5"/>
  <c r="X68" i="5"/>
  <c r="O28" i="12"/>
  <c r="M28" i="12"/>
  <c r="C28" i="12"/>
  <c r="AO28" i="12"/>
  <c r="I18" i="5"/>
  <c r="I19" i="5" s="1"/>
  <c r="O19" i="5" s="1"/>
  <c r="X17" i="5"/>
  <c r="Z18" i="5"/>
  <c r="AB18" i="5" s="1"/>
  <c r="AM18" i="5"/>
  <c r="I18" i="12"/>
  <c r="L18" i="5"/>
  <c r="AC18" i="5" s="1"/>
  <c r="X16" i="5"/>
  <c r="AO49" i="12"/>
  <c r="C49" i="12"/>
  <c r="M49" i="12"/>
  <c r="O49" i="12"/>
  <c r="AO36" i="12"/>
  <c r="C36" i="12"/>
  <c r="O36" i="12"/>
  <c r="M36" i="12"/>
  <c r="O28" i="13"/>
  <c r="C24" i="12" l="1"/>
  <c r="AO24" i="12"/>
  <c r="M24" i="12"/>
  <c r="O24" i="12"/>
  <c r="N24" i="12" s="1"/>
  <c r="AC24" i="5"/>
  <c r="J24" i="6" s="1" a="1"/>
  <c r="J24" i="6" s="1"/>
  <c r="C24" i="6"/>
  <c r="J86" i="6" a="1"/>
  <c r="J86" i="6" s="1"/>
  <c r="J88" i="6" a="1"/>
  <c r="J88" i="6" s="1"/>
  <c r="J73" i="6" a="1"/>
  <c r="J73" i="6" s="1"/>
  <c r="J87" i="6" a="1"/>
  <c r="J87" i="6" s="1"/>
  <c r="P71" i="8"/>
  <c r="O71" i="8"/>
  <c r="Q71" i="8"/>
  <c r="S73" i="8"/>
  <c r="F75" i="8"/>
  <c r="N68" i="8"/>
  <c r="R68" i="8" s="1"/>
  <c r="F70" i="8" s="1"/>
  <c r="I74" i="5"/>
  <c r="O73" i="5"/>
  <c r="AC80" i="5"/>
  <c r="J80" i="6" s="1" a="1"/>
  <c r="J80" i="6" s="1"/>
  <c r="C80" i="6"/>
  <c r="M83" i="12"/>
  <c r="AO83" i="12"/>
  <c r="C83" i="12"/>
  <c r="O83" i="12"/>
  <c r="N83" i="12" s="1"/>
  <c r="AC44" i="5"/>
  <c r="J44" i="6" s="1" a="1"/>
  <c r="J44" i="6" s="1"/>
  <c r="C44" i="6"/>
  <c r="AC54" i="5"/>
  <c r="J54" i="6" s="1" a="1"/>
  <c r="J54" i="6" s="1"/>
  <c r="C54" i="6"/>
  <c r="AC33" i="5"/>
  <c r="J33" i="6" s="1" a="1"/>
  <c r="J33" i="6" s="1"/>
  <c r="C33" i="6"/>
  <c r="AO70" i="12"/>
  <c r="O70" i="12"/>
  <c r="M70" i="12"/>
  <c r="C70" i="12"/>
  <c r="AC63" i="5"/>
  <c r="J63" i="6" s="1" a="1"/>
  <c r="J63" i="6" s="1"/>
  <c r="C63" i="6"/>
  <c r="C58" i="12"/>
  <c r="M58" i="12"/>
  <c r="O58" i="12"/>
  <c r="AO58" i="12"/>
  <c r="C55" i="12"/>
  <c r="M55" i="12"/>
  <c r="O55" i="12"/>
  <c r="AO55" i="12"/>
  <c r="AC70" i="5"/>
  <c r="J70" i="6" s="1" a="1"/>
  <c r="J70" i="6" s="1"/>
  <c r="C70" i="6"/>
  <c r="O74" i="8"/>
  <c r="C44" i="12"/>
  <c r="M44" i="12"/>
  <c r="O44" i="12"/>
  <c r="AO44" i="12"/>
  <c r="Y44" i="12" s="1"/>
  <c r="M33" i="12"/>
  <c r="C33" i="12"/>
  <c r="O33" i="12"/>
  <c r="AO33" i="12"/>
  <c r="AC85" i="5"/>
  <c r="J85" i="6" s="1" a="1"/>
  <c r="J85" i="6" s="1"/>
  <c r="C85" i="6"/>
  <c r="C85" i="12"/>
  <c r="M85" i="12"/>
  <c r="O85" i="12"/>
  <c r="AO85" i="12"/>
  <c r="C69" i="12"/>
  <c r="O69" i="12"/>
  <c r="M69" i="12"/>
  <c r="AO69" i="12"/>
  <c r="I56" i="5"/>
  <c r="I57" i="5" s="1"/>
  <c r="C69" i="6"/>
  <c r="AC69" i="5"/>
  <c r="J69" i="6" s="1" a="1"/>
  <c r="J69" i="6" s="1"/>
  <c r="AC55" i="5"/>
  <c r="J55" i="6" s="1" a="1"/>
  <c r="J55" i="6" s="1"/>
  <c r="C55" i="6"/>
  <c r="C81" i="6"/>
  <c r="AC81" i="5"/>
  <c r="J81" i="6" s="1" a="1"/>
  <c r="J81" i="6" s="1"/>
  <c r="C41" i="6"/>
  <c r="AC41" i="5"/>
  <c r="J41" i="6" s="1" a="1"/>
  <c r="J41" i="6" s="1"/>
  <c r="C67" i="6"/>
  <c r="AC67" i="5"/>
  <c r="J67" i="6" s="1" a="1"/>
  <c r="J67" i="6" s="1"/>
  <c r="AC66" i="5"/>
  <c r="J66" i="6" s="1" a="1"/>
  <c r="J66" i="6" s="1"/>
  <c r="C66" i="6"/>
  <c r="C46" i="6"/>
  <c r="AC46" i="5"/>
  <c r="J46" i="6" s="1" a="1"/>
  <c r="J46" i="6" s="1"/>
  <c r="AO54" i="12"/>
  <c r="M54" i="12"/>
  <c r="C54" i="12"/>
  <c r="O54" i="12"/>
  <c r="N54" i="12" s="1"/>
  <c r="C62" i="6"/>
  <c r="AC62" i="5"/>
  <c r="J62" i="6" s="1" a="1"/>
  <c r="J62" i="6" s="1"/>
  <c r="J36" i="6" a="1"/>
  <c r="J36" i="6" s="1"/>
  <c r="AC40" i="5"/>
  <c r="J40" i="6" s="1" a="1"/>
  <c r="J40" i="6" s="1"/>
  <c r="C40" i="6"/>
  <c r="C23" i="12"/>
  <c r="M23" i="12"/>
  <c r="AO23" i="12"/>
  <c r="O23" i="12"/>
  <c r="AO65" i="12"/>
  <c r="O65" i="12"/>
  <c r="C65" i="12"/>
  <c r="M65" i="12"/>
  <c r="AC35" i="5"/>
  <c r="J35" i="6" s="1" a="1"/>
  <c r="J35" i="6" s="1"/>
  <c r="C35" i="6"/>
  <c r="M67" i="12"/>
  <c r="C67" i="12"/>
  <c r="AO67" i="12"/>
  <c r="O67" i="12"/>
  <c r="AO40" i="12"/>
  <c r="M40" i="12"/>
  <c r="C40" i="12"/>
  <c r="O40" i="12"/>
  <c r="AO74" i="12"/>
  <c r="M74" i="12"/>
  <c r="O74" i="12"/>
  <c r="C74" i="12"/>
  <c r="C78" i="12"/>
  <c r="M78" i="12"/>
  <c r="O78" i="12"/>
  <c r="AO78" i="12"/>
  <c r="C80" i="12"/>
  <c r="AO80" i="12"/>
  <c r="O80" i="12"/>
  <c r="M80" i="12"/>
  <c r="AC65" i="5"/>
  <c r="J65" i="6" s="1" a="1"/>
  <c r="J65" i="6" s="1"/>
  <c r="C65" i="6"/>
  <c r="M66" i="12"/>
  <c r="AO66" i="12"/>
  <c r="C66" i="12"/>
  <c r="O66" i="12"/>
  <c r="AC49" i="5"/>
  <c r="J49" i="6" s="1" a="1"/>
  <c r="J49" i="6" s="1"/>
  <c r="C49" i="6"/>
  <c r="O41" i="5"/>
  <c r="AB37" i="5"/>
  <c r="O67" i="5"/>
  <c r="AC79" i="5"/>
  <c r="J79" i="6" s="1" a="1"/>
  <c r="J79" i="6" s="1"/>
  <c r="C79" i="6"/>
  <c r="AC23" i="5"/>
  <c r="J23" i="6" s="1" a="1"/>
  <c r="J23" i="6" s="1"/>
  <c r="C23" i="6"/>
  <c r="C78" i="6"/>
  <c r="AC78" i="5"/>
  <c r="J78" i="6" s="1" a="1"/>
  <c r="J78" i="6" s="1"/>
  <c r="AO35" i="12"/>
  <c r="M35" i="12"/>
  <c r="O35" i="12"/>
  <c r="C35" i="12"/>
  <c r="AC77" i="5"/>
  <c r="J77" i="6" s="1" a="1"/>
  <c r="J77" i="6" s="1"/>
  <c r="C77" i="6"/>
  <c r="I50" i="5"/>
  <c r="I51" i="5" s="1"/>
  <c r="O51" i="5" s="1"/>
  <c r="E51" i="6" s="1"/>
  <c r="I45" i="5"/>
  <c r="I46" i="5" s="1"/>
  <c r="O46" i="5" s="1"/>
  <c r="I34" i="5"/>
  <c r="I35" i="5" s="1"/>
  <c r="M79" i="12"/>
  <c r="C79" i="12"/>
  <c r="O79" i="12"/>
  <c r="AO79" i="12"/>
  <c r="C41" i="12"/>
  <c r="M41" i="12"/>
  <c r="AO41" i="12"/>
  <c r="O41" i="12"/>
  <c r="AC74" i="5"/>
  <c r="J74" i="6" s="1" a="1"/>
  <c r="J74" i="6" s="1"/>
  <c r="C74" i="6"/>
  <c r="AO63" i="12"/>
  <c r="O63" i="12"/>
  <c r="M63" i="12"/>
  <c r="C63" i="12"/>
  <c r="AC58" i="5"/>
  <c r="J58" i="6" s="1" a="1"/>
  <c r="J58" i="6" s="1"/>
  <c r="C58" i="6"/>
  <c r="X29" i="5"/>
  <c r="X30" i="5"/>
  <c r="O77" i="12"/>
  <c r="M77" i="12"/>
  <c r="C77" i="12"/>
  <c r="AO77" i="12"/>
  <c r="AC25" i="5"/>
  <c r="J25" i="6" s="1" a="1"/>
  <c r="J25" i="6" s="1"/>
  <c r="C25" i="6"/>
  <c r="O51" i="12"/>
  <c r="AO51" i="12"/>
  <c r="C51" i="12"/>
  <c r="M51" i="12"/>
  <c r="AO25" i="12"/>
  <c r="O25" i="12"/>
  <c r="M25" i="12"/>
  <c r="C25" i="12"/>
  <c r="Z56" i="5"/>
  <c r="AB56" i="5" s="1"/>
  <c r="AB52" i="5" s="1"/>
  <c r="I56" i="12"/>
  <c r="L56" i="5"/>
  <c r="AM56" i="5"/>
  <c r="L50" i="5"/>
  <c r="AC50" i="5" s="1"/>
  <c r="J50" i="6" s="1" a="1"/>
  <c r="J50" i="6" s="1"/>
  <c r="AM50" i="5"/>
  <c r="Z50" i="5"/>
  <c r="AB50" i="5" s="1"/>
  <c r="AB47" i="5" s="1"/>
  <c r="I50" i="12"/>
  <c r="Z45" i="5"/>
  <c r="AB45" i="5" s="1"/>
  <c r="I45" i="12"/>
  <c r="L45" i="5"/>
  <c r="AM45" i="5"/>
  <c r="I34" i="12"/>
  <c r="Z34" i="5"/>
  <c r="AB34" i="5" s="1"/>
  <c r="AB30" i="5" s="1"/>
  <c r="AM34" i="5"/>
  <c r="L34" i="5"/>
  <c r="AC34" i="5" s="1"/>
  <c r="J34" i="6" s="1" a="1"/>
  <c r="J34" i="6" s="1"/>
  <c r="J31" i="6" a="1"/>
  <c r="J31" i="6" s="1"/>
  <c r="AB68" i="5"/>
  <c r="J18" i="6" a="1"/>
  <c r="J18" i="6" s="1"/>
  <c r="AO46" i="12"/>
  <c r="O46" i="12"/>
  <c r="C46" i="12"/>
  <c r="M46" i="12"/>
  <c r="AC76" i="5"/>
  <c r="J76" i="6" s="1" a="1"/>
  <c r="J76" i="6" s="1"/>
  <c r="C76" i="6"/>
  <c r="M76" i="12"/>
  <c r="AO76" i="12"/>
  <c r="C76" i="12"/>
  <c r="O76" i="12"/>
  <c r="AO57" i="12"/>
  <c r="C57" i="12"/>
  <c r="O57" i="12"/>
  <c r="M57" i="12"/>
  <c r="AO27" i="12"/>
  <c r="O27" i="12"/>
  <c r="M27" i="12"/>
  <c r="C27" i="12"/>
  <c r="AC51" i="5"/>
  <c r="J51" i="6" s="1" a="1"/>
  <c r="J51" i="6" s="1"/>
  <c r="C51" i="6"/>
  <c r="C62" i="12"/>
  <c r="M62" i="12"/>
  <c r="AO62" i="12"/>
  <c r="O62" i="12"/>
  <c r="M81" i="12"/>
  <c r="C81" i="12"/>
  <c r="O81" i="12"/>
  <c r="AO81" i="12"/>
  <c r="O39" i="12"/>
  <c r="AO39" i="12"/>
  <c r="AC22" i="5"/>
  <c r="J22" i="6" s="1" a="1"/>
  <c r="J22" i="6" s="1"/>
  <c r="C22" i="6"/>
  <c r="C22" i="12"/>
  <c r="AO22" i="12"/>
  <c r="O22" i="12"/>
  <c r="M22" i="12"/>
  <c r="J57" i="6" a="1"/>
  <c r="J57" i="6" s="1"/>
  <c r="C84" i="12"/>
  <c r="AB59" i="5"/>
  <c r="M84" i="12"/>
  <c r="J43" i="6" a="1"/>
  <c r="J43" i="6" s="1"/>
  <c r="O84" i="12"/>
  <c r="J26" i="6" a="1"/>
  <c r="J26" i="6" s="1"/>
  <c r="J28" i="6" a="1"/>
  <c r="J28" i="6" s="1"/>
  <c r="J64" i="6" a="1"/>
  <c r="J64" i="6" s="1"/>
  <c r="J60" i="6" a="1"/>
  <c r="J60" i="6" s="1"/>
  <c r="J39" i="6" a="1"/>
  <c r="J39" i="6" s="1"/>
  <c r="J53" i="6" a="1"/>
  <c r="J53" i="6" s="1"/>
  <c r="J83" i="6" a="1"/>
  <c r="J83" i="6" s="1"/>
  <c r="J75" i="6" a="1"/>
  <c r="J75" i="6" s="1"/>
  <c r="J72" i="6" a="1"/>
  <c r="J72" i="6" s="1"/>
  <c r="J38" i="6" a="1"/>
  <c r="J38" i="6" s="1"/>
  <c r="J48" i="6" a="1"/>
  <c r="J48" i="6" s="1"/>
  <c r="J21" i="6" a="1"/>
  <c r="J21" i="6" s="1"/>
  <c r="J61" i="6" a="1"/>
  <c r="J61" i="6" s="1"/>
  <c r="J19" i="6" a="1"/>
  <c r="J19" i="6" s="1"/>
  <c r="S62" i="8"/>
  <c r="J82" i="6" a="1"/>
  <c r="J82" i="6" s="1"/>
  <c r="C39" i="12"/>
  <c r="M39" i="12"/>
  <c r="X15" i="5"/>
  <c r="O62" i="5"/>
  <c r="O65" i="5"/>
  <c r="AB71" i="5"/>
  <c r="O63" i="5"/>
  <c r="J27" i="6" a="1"/>
  <c r="J27" i="6" s="1"/>
  <c r="J84" i="6" a="1"/>
  <c r="J84" i="6" s="1"/>
  <c r="S65" i="8"/>
  <c r="AB20" i="5"/>
  <c r="C84" i="6"/>
  <c r="S59" i="8"/>
  <c r="J32" i="6" a="1"/>
  <c r="J32" i="6" s="1"/>
  <c r="O64" i="5"/>
  <c r="O32" i="5"/>
  <c r="O49" i="5"/>
  <c r="D49" i="12" s="1"/>
  <c r="O40" i="5"/>
  <c r="D40" i="12" s="1"/>
  <c r="O39" i="5"/>
  <c r="Y32" i="12"/>
  <c r="X32" i="12" s="1"/>
  <c r="O22" i="5"/>
  <c r="O25" i="5"/>
  <c r="O54" i="5"/>
  <c r="O24" i="5"/>
  <c r="D24" i="12" s="1"/>
  <c r="O26" i="5"/>
  <c r="O61" i="5"/>
  <c r="O66" i="5"/>
  <c r="E66" i="6" s="1"/>
  <c r="O33" i="5"/>
  <c r="O69" i="5"/>
  <c r="O44" i="5"/>
  <c r="D44" i="12" s="1"/>
  <c r="I28" i="5"/>
  <c r="O28" i="5" s="1"/>
  <c r="O27" i="5"/>
  <c r="O55" i="5"/>
  <c r="D55" i="12" s="1"/>
  <c r="O23" i="5"/>
  <c r="D23" i="12" s="1"/>
  <c r="N28" i="12"/>
  <c r="N36" i="12"/>
  <c r="Y26" i="12"/>
  <c r="W26" i="12" s="1"/>
  <c r="Y36" i="12"/>
  <c r="X36" i="12" s="1"/>
  <c r="Y49" i="12"/>
  <c r="W49" i="12" s="1"/>
  <c r="N75" i="12"/>
  <c r="Y61" i="12"/>
  <c r="C18" i="12"/>
  <c r="O18" i="12"/>
  <c r="AO18" i="12"/>
  <c r="M18" i="12"/>
  <c r="Y82" i="12"/>
  <c r="N64" i="12"/>
  <c r="C72" i="12"/>
  <c r="O72" i="12"/>
  <c r="M72" i="12"/>
  <c r="AO72" i="12"/>
  <c r="Y19" i="12"/>
  <c r="C43" i="6"/>
  <c r="O43" i="5"/>
  <c r="O48" i="12"/>
  <c r="C48" i="12"/>
  <c r="AO48" i="12"/>
  <c r="M48" i="12"/>
  <c r="I37" i="12"/>
  <c r="L37" i="5"/>
  <c r="Z37" i="5"/>
  <c r="AM37" i="5"/>
  <c r="S29" i="8"/>
  <c r="AB17" i="5"/>
  <c r="AB16" i="5"/>
  <c r="I71" i="12"/>
  <c r="Z71" i="5"/>
  <c r="L71" i="5"/>
  <c r="AM71" i="5"/>
  <c r="M53" i="12"/>
  <c r="AO53" i="12"/>
  <c r="C53" i="12"/>
  <c r="O53" i="12"/>
  <c r="C31" i="6"/>
  <c r="O31" i="5"/>
  <c r="N32" i="12"/>
  <c r="C48" i="6"/>
  <c r="O48" i="5"/>
  <c r="N49" i="12"/>
  <c r="I17" i="12"/>
  <c r="Z17" i="5"/>
  <c r="I79" i="10"/>
  <c r="S17" i="8"/>
  <c r="AM17" i="5"/>
  <c r="L17" i="5"/>
  <c r="E19" i="6"/>
  <c r="D19" i="12"/>
  <c r="I68" i="12"/>
  <c r="AM68" i="5"/>
  <c r="L68" i="5"/>
  <c r="Z68" i="5"/>
  <c r="S32" i="8"/>
  <c r="I42" i="12"/>
  <c r="L42" i="5"/>
  <c r="Z42" i="5"/>
  <c r="AM42" i="5"/>
  <c r="AO21" i="12"/>
  <c r="M21" i="12"/>
  <c r="O21" i="12"/>
  <c r="C21" i="12"/>
  <c r="Z59" i="5"/>
  <c r="AM59" i="5"/>
  <c r="S41" i="8"/>
  <c r="L59" i="5"/>
  <c r="I59" i="12"/>
  <c r="C38" i="6"/>
  <c r="O38" i="5"/>
  <c r="Y64" i="12"/>
  <c r="L52" i="5"/>
  <c r="I52" i="12"/>
  <c r="AM52" i="5"/>
  <c r="Z52" i="5"/>
  <c r="S38" i="8"/>
  <c r="AO43" i="12"/>
  <c r="O43" i="12"/>
  <c r="M43" i="12"/>
  <c r="C43" i="12"/>
  <c r="S35" i="8"/>
  <c r="AM47" i="5"/>
  <c r="L47" i="5"/>
  <c r="Z47" i="5"/>
  <c r="I47" i="12"/>
  <c r="S20" i="8"/>
  <c r="I20" i="12"/>
  <c r="Z20" i="5"/>
  <c r="L20" i="5"/>
  <c r="AM20" i="5"/>
  <c r="N26" i="12"/>
  <c r="C60" i="6"/>
  <c r="O60" i="5"/>
  <c r="N61" i="12"/>
  <c r="L16" i="5"/>
  <c r="Z16" i="5"/>
  <c r="I16" i="12"/>
  <c r="AM16" i="5"/>
  <c r="O14" i="11"/>
  <c r="S14" i="8"/>
  <c r="Y28" i="12"/>
  <c r="I70" i="5"/>
  <c r="N82" i="12"/>
  <c r="C53" i="6"/>
  <c r="O53" i="5"/>
  <c r="Y75" i="12"/>
  <c r="O31" i="12"/>
  <c r="C31" i="12"/>
  <c r="AO31" i="12"/>
  <c r="M31" i="12"/>
  <c r="C21" i="6"/>
  <c r="O21" i="5"/>
  <c r="AO60" i="12"/>
  <c r="C60" i="12"/>
  <c r="O60" i="12"/>
  <c r="M60" i="12"/>
  <c r="O18" i="5"/>
  <c r="C18" i="6"/>
  <c r="C72" i="6"/>
  <c r="O72" i="5"/>
  <c r="N19" i="12"/>
  <c r="AO38" i="12"/>
  <c r="C38" i="12"/>
  <c r="M38" i="12"/>
  <c r="O38" i="12"/>
  <c r="D51" i="2"/>
  <c r="F33" i="14"/>
  <c r="D48" i="2"/>
  <c r="D53" i="2"/>
  <c r="D54" i="2"/>
  <c r="D47" i="2"/>
  <c r="D52" i="2"/>
  <c r="AD6" i="13"/>
  <c r="AE6" i="13" s="1"/>
  <c r="N81" i="12" l="1"/>
  <c r="N40" i="12"/>
  <c r="N67" i="12"/>
  <c r="Y85" i="12"/>
  <c r="W85" i="12" s="1"/>
  <c r="V85" i="12" s="1"/>
  <c r="N41" i="12"/>
  <c r="P74" i="8"/>
  <c r="Q74" i="8"/>
  <c r="Y24" i="12"/>
  <c r="N23" i="12"/>
  <c r="Y58" i="12"/>
  <c r="I75" i="5"/>
  <c r="O74" i="5"/>
  <c r="N55" i="12"/>
  <c r="N44" i="12"/>
  <c r="Y33" i="12"/>
  <c r="N79" i="12"/>
  <c r="N33" i="12"/>
  <c r="M74" i="8"/>
  <c r="J74" i="8"/>
  <c r="E73" i="6"/>
  <c r="D73" i="12"/>
  <c r="Y79" i="12"/>
  <c r="Y69" i="12"/>
  <c r="N58" i="12"/>
  <c r="Y83" i="12"/>
  <c r="N78" i="12"/>
  <c r="Y70" i="12"/>
  <c r="N66" i="12"/>
  <c r="N74" i="12"/>
  <c r="N70" i="12"/>
  <c r="Y55" i="12"/>
  <c r="N76" i="12"/>
  <c r="N85" i="12"/>
  <c r="X61" i="12"/>
  <c r="W61" i="12"/>
  <c r="N62" i="12"/>
  <c r="O56" i="5"/>
  <c r="N69" i="12"/>
  <c r="Y81" i="12"/>
  <c r="Y39" i="12"/>
  <c r="Y74" i="12"/>
  <c r="Y80" i="12"/>
  <c r="O57" i="5"/>
  <c r="I58" i="5"/>
  <c r="O58" i="5" s="1"/>
  <c r="V67" i="8"/>
  <c r="V65" i="8" s="1"/>
  <c r="AC67" i="8"/>
  <c r="AC65" i="8" s="1"/>
  <c r="Y67" i="8"/>
  <c r="Y65" i="8" s="1"/>
  <c r="E67" i="8"/>
  <c r="E65" i="8" s="1"/>
  <c r="AB67" i="8"/>
  <c r="AB65" i="8" s="1"/>
  <c r="AA67" i="8"/>
  <c r="AA65" i="8" s="1"/>
  <c r="U67" i="8"/>
  <c r="U65" i="8" s="1"/>
  <c r="AF67" i="8"/>
  <c r="AF65" i="8" s="1"/>
  <c r="X67" i="8"/>
  <c r="X65" i="8" s="1"/>
  <c r="AE67" i="8"/>
  <c r="AE65" i="8" s="1"/>
  <c r="Z67" i="8"/>
  <c r="Z65" i="8" s="1"/>
  <c r="AD67" i="8"/>
  <c r="AD65" i="8" s="1"/>
  <c r="W67" i="8"/>
  <c r="W65" i="8" s="1"/>
  <c r="AF61" i="8"/>
  <c r="AF59" i="8" s="1"/>
  <c r="AA61" i="8"/>
  <c r="AA59" i="8" s="1"/>
  <c r="E61" i="8"/>
  <c r="E59" i="8" s="1"/>
  <c r="AB61" i="8"/>
  <c r="AB59" i="8" s="1"/>
  <c r="X61" i="8"/>
  <c r="X59" i="8" s="1"/>
  <c r="U61" i="8"/>
  <c r="U59" i="8" s="1"/>
  <c r="V61" i="8"/>
  <c r="V59" i="8" s="1"/>
  <c r="AE61" i="8"/>
  <c r="AE59" i="8" s="1"/>
  <c r="AD61" i="8"/>
  <c r="AD59" i="8" s="1"/>
  <c r="AC61" i="8"/>
  <c r="AC59" i="8" s="1"/>
  <c r="Y61" i="8"/>
  <c r="Y59" i="8" s="1"/>
  <c r="Z61" i="8"/>
  <c r="Z59" i="8" s="1"/>
  <c r="W61" i="8"/>
  <c r="W59" i="8" s="1"/>
  <c r="Y65" i="12"/>
  <c r="Y77" i="12"/>
  <c r="Y54" i="12"/>
  <c r="Y51" i="12"/>
  <c r="Y40" i="12"/>
  <c r="Y67" i="12"/>
  <c r="Y23" i="12"/>
  <c r="Y78" i="12"/>
  <c r="N65" i="12"/>
  <c r="N80" i="12"/>
  <c r="Y66" i="12"/>
  <c r="Y41" i="12"/>
  <c r="N35" i="12"/>
  <c r="Y25" i="12"/>
  <c r="N25" i="12"/>
  <c r="O45" i="5"/>
  <c r="Y35" i="12"/>
  <c r="Y63" i="12"/>
  <c r="D41" i="12"/>
  <c r="E41" i="6"/>
  <c r="D67" i="12"/>
  <c r="E67" i="6"/>
  <c r="D46" i="12"/>
  <c r="E46" i="6"/>
  <c r="E64" i="6"/>
  <c r="D64" i="12"/>
  <c r="E32" i="6"/>
  <c r="D32" i="12"/>
  <c r="D22" i="12"/>
  <c r="E22" i="6"/>
  <c r="N63" i="12"/>
  <c r="Y46" i="12"/>
  <c r="N51" i="12"/>
  <c r="D20" i="8"/>
  <c r="M37" i="12"/>
  <c r="N77" i="12"/>
  <c r="I36" i="5"/>
  <c r="O36" i="5" s="1"/>
  <c r="O35" i="5"/>
  <c r="L29" i="5"/>
  <c r="O15" i="11"/>
  <c r="Z29" i="5"/>
  <c r="I29" i="12"/>
  <c r="L30" i="5"/>
  <c r="S26" i="8"/>
  <c r="AM30" i="5"/>
  <c r="I30" i="12"/>
  <c r="Z30" i="5"/>
  <c r="S47" i="8"/>
  <c r="AB42" i="5"/>
  <c r="D32" i="8" s="1"/>
  <c r="AB29" i="5"/>
  <c r="N46" i="12"/>
  <c r="Y76" i="12"/>
  <c r="Y57" i="12"/>
  <c r="N57" i="12"/>
  <c r="Y27" i="12"/>
  <c r="N27" i="12"/>
  <c r="Y62" i="12"/>
  <c r="Y22" i="12"/>
  <c r="N22" i="12"/>
  <c r="N39" i="12"/>
  <c r="S23" i="8"/>
  <c r="AM29" i="5"/>
  <c r="C50" i="6"/>
  <c r="O50" i="5"/>
  <c r="C34" i="6"/>
  <c r="O34" i="5"/>
  <c r="Q75" i="10"/>
  <c r="Q77" i="10"/>
  <c r="Q80" i="10" s="1"/>
  <c r="S75" i="10"/>
  <c r="S77" i="10"/>
  <c r="S80" i="10" s="1"/>
  <c r="M77" i="10"/>
  <c r="M80" i="10" s="1"/>
  <c r="AE75" i="10"/>
  <c r="AA77" i="10"/>
  <c r="AA80" i="10" s="1"/>
  <c r="K77" i="10"/>
  <c r="K80" i="10" s="1"/>
  <c r="X44" i="12"/>
  <c r="W44" i="12"/>
  <c r="C56" i="12"/>
  <c r="O56" i="12"/>
  <c r="O52" i="12" s="1"/>
  <c r="AO56" i="12"/>
  <c r="M56" i="12"/>
  <c r="M52" i="12" s="1"/>
  <c r="C56" i="6"/>
  <c r="AC56" i="5"/>
  <c r="J56" i="6" s="1" a="1"/>
  <c r="J56" i="6" s="1"/>
  <c r="AO50" i="12"/>
  <c r="AO47" i="12" s="1"/>
  <c r="O50" i="12"/>
  <c r="O47" i="12" s="1"/>
  <c r="C50" i="12"/>
  <c r="M50" i="12"/>
  <c r="M47" i="12" s="1"/>
  <c r="M45" i="12"/>
  <c r="M42" i="12" s="1"/>
  <c r="O45" i="12"/>
  <c r="O42" i="12" s="1"/>
  <c r="C45" i="12"/>
  <c r="AO45" i="12"/>
  <c r="C45" i="6"/>
  <c r="AC45" i="5"/>
  <c r="J45" i="6" s="1" a="1"/>
  <c r="J45" i="6" s="1"/>
  <c r="M34" i="12"/>
  <c r="C34" i="12"/>
  <c r="O34" i="12"/>
  <c r="AO34" i="12"/>
  <c r="M68" i="12"/>
  <c r="M71" i="12"/>
  <c r="M20" i="12"/>
  <c r="M59" i="12"/>
  <c r="S44" i="8"/>
  <c r="O16" i="11"/>
  <c r="N84" i="12"/>
  <c r="Y84" i="12"/>
  <c r="Y77" i="10"/>
  <c r="Y80" i="10" s="1"/>
  <c r="AA75" i="10"/>
  <c r="M75" i="10"/>
  <c r="W77" i="10"/>
  <c r="W80" i="10" s="1"/>
  <c r="U75" i="10"/>
  <c r="W75" i="10"/>
  <c r="AM15" i="5"/>
  <c r="I77" i="10"/>
  <c r="Y75" i="10"/>
  <c r="AE77" i="10"/>
  <c r="AE80" i="10" s="1"/>
  <c r="U77" i="10"/>
  <c r="U80" i="10" s="1"/>
  <c r="Z15" i="5"/>
  <c r="AC75" i="10"/>
  <c r="AC77" i="10"/>
  <c r="AC80" i="10" s="1"/>
  <c r="O75" i="10"/>
  <c r="O77" i="10"/>
  <c r="O80" i="10" s="1"/>
  <c r="I75" i="10"/>
  <c r="Y9" i="10" s="1"/>
  <c r="K75" i="10"/>
  <c r="D62" i="12"/>
  <c r="E62" i="6"/>
  <c r="D65" i="12"/>
  <c r="E65" i="6"/>
  <c r="E63" i="6"/>
  <c r="D63" i="12"/>
  <c r="S68" i="8"/>
  <c r="E39" i="6"/>
  <c r="D39" i="12"/>
  <c r="D25" i="12"/>
  <c r="E25" i="6"/>
  <c r="E54" i="6"/>
  <c r="D54" i="12"/>
  <c r="E26" i="6"/>
  <c r="D26" i="12"/>
  <c r="D61" i="12"/>
  <c r="E61" i="6"/>
  <c r="D33" i="12"/>
  <c r="E33" i="6"/>
  <c r="D69" i="12"/>
  <c r="E69" i="6"/>
  <c r="D62" i="8"/>
  <c r="E49" i="6"/>
  <c r="X26" i="12"/>
  <c r="O17" i="11"/>
  <c r="S56" i="8" s="1"/>
  <c r="W32" i="12"/>
  <c r="S74" i="8"/>
  <c r="E55" i="6"/>
  <c r="S71" i="8"/>
  <c r="W36" i="12"/>
  <c r="E44" i="6"/>
  <c r="E40" i="6"/>
  <c r="E23" i="6"/>
  <c r="E24" i="6"/>
  <c r="D66" i="12"/>
  <c r="X49" i="12"/>
  <c r="D51" i="12"/>
  <c r="O70" i="5"/>
  <c r="E27" i="6"/>
  <c r="D27" i="12"/>
  <c r="E28" i="6"/>
  <c r="D28" i="12"/>
  <c r="E18" i="6"/>
  <c r="D18" i="12"/>
  <c r="C59" i="12"/>
  <c r="J59" i="12"/>
  <c r="G62" i="8"/>
  <c r="G63" i="8" s="1"/>
  <c r="H63" i="8"/>
  <c r="H62" i="8"/>
  <c r="J63" i="8" s="1"/>
  <c r="AG14" i="13"/>
  <c r="U14" i="13" s="1"/>
  <c r="AD14" i="13"/>
  <c r="S14" i="13" s="1"/>
  <c r="AB14" i="11"/>
  <c r="AC37" i="5"/>
  <c r="C37" i="6"/>
  <c r="O37" i="5"/>
  <c r="N48" i="12"/>
  <c r="X75" i="12"/>
  <c r="W75" i="12"/>
  <c r="O59" i="5"/>
  <c r="C59" i="6"/>
  <c r="AC59" i="5"/>
  <c r="AO20" i="12"/>
  <c r="Y21" i="12"/>
  <c r="C17" i="12"/>
  <c r="J17" i="12"/>
  <c r="D31" i="12"/>
  <c r="E31" i="6"/>
  <c r="D17" i="8"/>
  <c r="C37" i="12"/>
  <c r="J37" i="12"/>
  <c r="O47" i="5"/>
  <c r="C47" i="6"/>
  <c r="AC47" i="5"/>
  <c r="H66" i="8"/>
  <c r="H65" i="8"/>
  <c r="J66" i="8" s="1"/>
  <c r="G65" i="8"/>
  <c r="G66" i="8" s="1"/>
  <c r="AO68" i="12"/>
  <c r="N38" i="12"/>
  <c r="O37" i="12"/>
  <c r="W28" i="12"/>
  <c r="X28" i="12"/>
  <c r="AC20" i="5"/>
  <c r="C20" i="6"/>
  <c r="O20" i="5"/>
  <c r="H35" i="8"/>
  <c r="J36" i="8" s="1"/>
  <c r="W35" i="8"/>
  <c r="Z35" i="8"/>
  <c r="AE35" i="8"/>
  <c r="AA35" i="8"/>
  <c r="AB35" i="8"/>
  <c r="AC35" i="8"/>
  <c r="X35" i="8"/>
  <c r="E35" i="8"/>
  <c r="Y35" i="8"/>
  <c r="AD35" i="8"/>
  <c r="G35" i="8"/>
  <c r="G36" i="8" s="1"/>
  <c r="U35" i="8"/>
  <c r="H36" i="8"/>
  <c r="AF35" i="8"/>
  <c r="V35" i="8"/>
  <c r="AB38" i="8"/>
  <c r="AF38" i="8"/>
  <c r="V38" i="8"/>
  <c r="E38" i="8"/>
  <c r="U38" i="8"/>
  <c r="G38" i="8"/>
  <c r="G39" i="8" s="1"/>
  <c r="Y38" i="8"/>
  <c r="H38" i="8"/>
  <c r="J39" i="8" s="1"/>
  <c r="Z38" i="8"/>
  <c r="AD38" i="8"/>
  <c r="H39" i="8"/>
  <c r="AA38" i="8"/>
  <c r="AE38" i="8"/>
  <c r="X38" i="8"/>
  <c r="AC38" i="8"/>
  <c r="W38" i="8"/>
  <c r="AB41" i="8"/>
  <c r="W41" i="8"/>
  <c r="H41" i="8"/>
  <c r="J42" i="8" s="1"/>
  <c r="E41" i="8"/>
  <c r="H42" i="8"/>
  <c r="Y41" i="8"/>
  <c r="D41" i="8"/>
  <c r="V41" i="8"/>
  <c r="U41" i="8"/>
  <c r="AC41" i="8"/>
  <c r="AD41" i="8"/>
  <c r="Z41" i="8"/>
  <c r="AE41" i="8"/>
  <c r="AF41" i="8"/>
  <c r="G41" i="8"/>
  <c r="G42" i="8" s="1"/>
  <c r="AA41" i="8"/>
  <c r="X41" i="8"/>
  <c r="AC68" i="5"/>
  <c r="C68" i="6"/>
  <c r="O68" i="5"/>
  <c r="N53" i="12"/>
  <c r="J71" i="12"/>
  <c r="C71" i="12"/>
  <c r="N31" i="12"/>
  <c r="G14" i="8"/>
  <c r="G15" i="8" s="1"/>
  <c r="H14" i="8"/>
  <c r="J15" i="8" s="1"/>
  <c r="H15" i="8"/>
  <c r="N43" i="12"/>
  <c r="U26" i="12"/>
  <c r="V26" i="12"/>
  <c r="T26" i="12"/>
  <c r="C42" i="6"/>
  <c r="AC42" i="5"/>
  <c r="O42" i="5"/>
  <c r="W19" i="12"/>
  <c r="X19" i="12"/>
  <c r="D72" i="12"/>
  <c r="E72" i="6"/>
  <c r="E53" i="6"/>
  <c r="D53" i="12"/>
  <c r="P14" i="11"/>
  <c r="C14" i="11"/>
  <c r="L14" i="13"/>
  <c r="J20" i="12"/>
  <c r="C20" i="12"/>
  <c r="Y43" i="12"/>
  <c r="J42" i="12"/>
  <c r="C42" i="12"/>
  <c r="C68" i="12"/>
  <c r="J68" i="12"/>
  <c r="O17" i="5"/>
  <c r="C17" i="6"/>
  <c r="AC17" i="5"/>
  <c r="Y53" i="12"/>
  <c r="W82" i="12"/>
  <c r="X82" i="12"/>
  <c r="C16" i="6"/>
  <c r="O16" i="5"/>
  <c r="AC16" i="5"/>
  <c r="H60" i="8"/>
  <c r="G59" i="8"/>
  <c r="G60" i="8" s="1"/>
  <c r="H59" i="8"/>
  <c r="J60" i="8" s="1"/>
  <c r="AO37" i="12"/>
  <c r="Y38" i="12"/>
  <c r="O59" i="12"/>
  <c r="N60" i="12"/>
  <c r="AA20" i="8"/>
  <c r="G20" i="8"/>
  <c r="G21" i="8" s="1"/>
  <c r="W20" i="8"/>
  <c r="H21" i="8"/>
  <c r="X20" i="8"/>
  <c r="H20" i="8"/>
  <c r="J21" i="8" s="1"/>
  <c r="AE20" i="8"/>
  <c r="Y20" i="8"/>
  <c r="AD20" i="8"/>
  <c r="AB20" i="8"/>
  <c r="AF20" i="8"/>
  <c r="V20" i="8"/>
  <c r="AC20" i="8"/>
  <c r="Z20" i="8"/>
  <c r="E20" i="8"/>
  <c r="U20" i="8"/>
  <c r="C52" i="12"/>
  <c r="J52" i="12"/>
  <c r="D38" i="12"/>
  <c r="E38" i="6"/>
  <c r="H32" i="8"/>
  <c r="J33" i="8" s="1"/>
  <c r="E32" i="8"/>
  <c r="AD32" i="8"/>
  <c r="H33" i="8"/>
  <c r="AA32" i="8"/>
  <c r="Y32" i="8"/>
  <c r="Z32" i="8"/>
  <c r="AE32" i="8"/>
  <c r="W32" i="8"/>
  <c r="U32" i="8"/>
  <c r="AF32" i="8"/>
  <c r="AC32" i="8"/>
  <c r="X32" i="8"/>
  <c r="G32" i="8"/>
  <c r="G33" i="8" s="1"/>
  <c r="AB32" i="8"/>
  <c r="V32" i="8"/>
  <c r="U85" i="12"/>
  <c r="D35" i="8"/>
  <c r="H30" i="8"/>
  <c r="U29" i="8"/>
  <c r="D29" i="8"/>
  <c r="AC29" i="8"/>
  <c r="E29" i="8"/>
  <c r="AD29" i="8"/>
  <c r="Z29" i="8"/>
  <c r="Y29" i="8"/>
  <c r="AF29" i="8"/>
  <c r="W29" i="8"/>
  <c r="AB29" i="8"/>
  <c r="AA29" i="8"/>
  <c r="G29" i="8"/>
  <c r="G30" i="8" s="1"/>
  <c r="AE29" i="8"/>
  <c r="H29" i="8"/>
  <c r="J30" i="8" s="1"/>
  <c r="X29" i="8"/>
  <c r="V29" i="8"/>
  <c r="D43" i="12"/>
  <c r="E43" i="6"/>
  <c r="Y72" i="12"/>
  <c r="AO71" i="12"/>
  <c r="M17" i="12"/>
  <c r="M16" i="12"/>
  <c r="AL14" i="13" s="1"/>
  <c r="M14" i="13" s="1"/>
  <c r="N14" i="13" s="1"/>
  <c r="E21" i="6"/>
  <c r="D21" i="12"/>
  <c r="J16" i="12"/>
  <c r="C16" i="12"/>
  <c r="C52" i="6"/>
  <c r="AC52" i="5"/>
  <c r="O52" i="5"/>
  <c r="H18" i="8"/>
  <c r="AA17" i="8"/>
  <c r="H17" i="8"/>
  <c r="J18" i="8" s="1"/>
  <c r="W17" i="8"/>
  <c r="AD17" i="8"/>
  <c r="AF17" i="8"/>
  <c r="AB17" i="8"/>
  <c r="V17" i="8"/>
  <c r="Y17" i="8"/>
  <c r="AC17" i="8"/>
  <c r="AE17" i="8"/>
  <c r="Z17" i="8"/>
  <c r="G17" i="8"/>
  <c r="G18" i="8" s="1"/>
  <c r="X17" i="8"/>
  <c r="AF16" i="8"/>
  <c r="AF14" i="8" s="1"/>
  <c r="Z16" i="8"/>
  <c r="Z14" i="8" s="1"/>
  <c r="AB16" i="8"/>
  <c r="AB14" i="8" s="1"/>
  <c r="Y16" i="8"/>
  <c r="Y14" i="8" s="1"/>
  <c r="AE16" i="8"/>
  <c r="AE14" i="8" s="1"/>
  <c r="V16" i="8"/>
  <c r="V14" i="8" s="1"/>
  <c r="U16" i="8"/>
  <c r="U14" i="8" s="1"/>
  <c r="E16" i="8"/>
  <c r="X16" i="8"/>
  <c r="X14" i="8" s="1"/>
  <c r="W16" i="8"/>
  <c r="AD16" i="8"/>
  <c r="AD14" i="8" s="1"/>
  <c r="AA16" i="8"/>
  <c r="AA14" i="8" s="1"/>
  <c r="AC16" i="8"/>
  <c r="AC14" i="8" s="1"/>
  <c r="E17" i="8"/>
  <c r="AE103" i="8"/>
  <c r="AB77" i="9" s="1"/>
  <c r="V103" i="8"/>
  <c r="J77" i="9" s="1"/>
  <c r="Z103" i="8"/>
  <c r="R77" i="9" s="1"/>
  <c r="AD103" i="8"/>
  <c r="Z77" i="9" s="1"/>
  <c r="AA103" i="8"/>
  <c r="T77" i="9" s="1"/>
  <c r="AC103" i="8"/>
  <c r="X77" i="9" s="1"/>
  <c r="U17" i="8"/>
  <c r="U103" i="8"/>
  <c r="H77" i="9" s="1"/>
  <c r="Y103" i="8"/>
  <c r="P77" i="9" s="1"/>
  <c r="E103" i="8"/>
  <c r="X103" i="8"/>
  <c r="N77" i="9" s="1"/>
  <c r="AB103" i="8"/>
  <c r="V77" i="9" s="1"/>
  <c r="AF103" i="8"/>
  <c r="AD77" i="9" s="1"/>
  <c r="W103" i="8"/>
  <c r="L77" i="9" s="1"/>
  <c r="D48" i="12"/>
  <c r="E48" i="6"/>
  <c r="D38" i="8"/>
  <c r="Y48" i="12"/>
  <c r="Y18" i="12"/>
  <c r="AO17" i="12"/>
  <c r="AO16" i="12"/>
  <c r="Y31" i="12"/>
  <c r="T49" i="12"/>
  <c r="U49" i="12"/>
  <c r="V49" i="12"/>
  <c r="C47" i="12"/>
  <c r="J47" i="12"/>
  <c r="Y60" i="12"/>
  <c r="AO59" i="12"/>
  <c r="D59" i="8"/>
  <c r="E60" i="6"/>
  <c r="D60" i="12"/>
  <c r="W64" i="12"/>
  <c r="X64" i="12"/>
  <c r="N21" i="12"/>
  <c r="O20" i="12"/>
  <c r="C71" i="6"/>
  <c r="AC71" i="5"/>
  <c r="O71" i="5"/>
  <c r="N72" i="12"/>
  <c r="O71" i="12"/>
  <c r="O68" i="12"/>
  <c r="N18" i="12"/>
  <c r="O17" i="12"/>
  <c r="L17" i="12" s="1"/>
  <c r="O16" i="12"/>
  <c r="D46" i="2"/>
  <c r="D50" i="2"/>
  <c r="T85" i="12" l="1"/>
  <c r="X85" i="12"/>
  <c r="W24" i="12"/>
  <c r="V24" i="12" s="1"/>
  <c r="X24" i="12"/>
  <c r="D74" i="12"/>
  <c r="E74" i="6"/>
  <c r="X58" i="12"/>
  <c r="W58" i="12"/>
  <c r="O75" i="5"/>
  <c r="I76" i="5"/>
  <c r="W33" i="12"/>
  <c r="X33" i="12"/>
  <c r="X69" i="12"/>
  <c r="W69" i="12"/>
  <c r="W79" i="12"/>
  <c r="X79" i="12"/>
  <c r="F78" i="8"/>
  <c r="N71" i="8"/>
  <c r="R71" i="8" s="1"/>
  <c r="S76" i="8"/>
  <c r="S53" i="8"/>
  <c r="S50" i="8"/>
  <c r="G50" i="8" s="1"/>
  <c r="G51" i="8" s="1"/>
  <c r="X70" i="12"/>
  <c r="W70" i="12"/>
  <c r="W81" i="12"/>
  <c r="X81" i="12"/>
  <c r="W39" i="12"/>
  <c r="X39" i="12"/>
  <c r="D57" i="12"/>
  <c r="E57" i="6"/>
  <c r="W51" i="12"/>
  <c r="X51" i="12"/>
  <c r="W83" i="12"/>
  <c r="X83" i="12"/>
  <c r="X55" i="12"/>
  <c r="W55" i="12"/>
  <c r="U61" i="12"/>
  <c r="V61" i="12"/>
  <c r="T61" i="12"/>
  <c r="D56" i="12"/>
  <c r="E56" i="6"/>
  <c r="X80" i="12"/>
  <c r="W80" i="12"/>
  <c r="T80" i="12" s="1"/>
  <c r="Y56" i="12"/>
  <c r="AO52" i="12"/>
  <c r="Y52" i="12" s="1"/>
  <c r="W52" i="12" s="1"/>
  <c r="W74" i="12"/>
  <c r="X74" i="12"/>
  <c r="X77" i="12"/>
  <c r="W77" i="12"/>
  <c r="X46" i="12"/>
  <c r="W46" i="12"/>
  <c r="N74" i="8"/>
  <c r="R74" i="8" s="1"/>
  <c r="D74" i="8" s="1"/>
  <c r="E58" i="6"/>
  <c r="D58" i="12"/>
  <c r="W65" i="12"/>
  <c r="X65" i="12"/>
  <c r="W54" i="12"/>
  <c r="V54" i="12" s="1"/>
  <c r="X54" i="12"/>
  <c r="AA58" i="8"/>
  <c r="AA56" i="8" s="1"/>
  <c r="AB58" i="8"/>
  <c r="AB56" i="8" s="1"/>
  <c r="AC58" i="8"/>
  <c r="AC56" i="8" s="1"/>
  <c r="U58" i="8"/>
  <c r="U56" i="8" s="1"/>
  <c r="AE58" i="8"/>
  <c r="AE56" i="8" s="1"/>
  <c r="E58" i="8"/>
  <c r="E56" i="8" s="1"/>
  <c r="AD58" i="8"/>
  <c r="AD56" i="8" s="1"/>
  <c r="V58" i="8"/>
  <c r="V56" i="8" s="1"/>
  <c r="Y58" i="8"/>
  <c r="Y56" i="8" s="1"/>
  <c r="X58" i="8"/>
  <c r="X56" i="8" s="1"/>
  <c r="AF58" i="8"/>
  <c r="AF56" i="8" s="1"/>
  <c r="Z58" i="8"/>
  <c r="Z56" i="8" s="1"/>
  <c r="W58" i="8"/>
  <c r="W56" i="8" s="1"/>
  <c r="X41" i="12"/>
  <c r="W41" i="12"/>
  <c r="N42" i="12"/>
  <c r="X66" i="12"/>
  <c r="W66" i="12"/>
  <c r="D44" i="8"/>
  <c r="V64" i="8"/>
  <c r="AB64" i="8"/>
  <c r="E64" i="8"/>
  <c r="Y64" i="8"/>
  <c r="AF64" i="8"/>
  <c r="AE64" i="8"/>
  <c r="AC64" i="8"/>
  <c r="AA64" i="8"/>
  <c r="U64" i="8"/>
  <c r="Z64" i="8"/>
  <c r="W64" i="8"/>
  <c r="D68" i="8"/>
  <c r="N59" i="12"/>
  <c r="X63" i="12"/>
  <c r="W63" i="12"/>
  <c r="E50" i="6"/>
  <c r="D50" i="12"/>
  <c r="M30" i="12"/>
  <c r="M29" i="12"/>
  <c r="AL15" i="13" s="1"/>
  <c r="M15" i="13" s="1"/>
  <c r="N15" i="13" s="1"/>
  <c r="N71" i="12"/>
  <c r="N68" i="12"/>
  <c r="X40" i="12"/>
  <c r="W40" i="12"/>
  <c r="W67" i="12"/>
  <c r="X67" i="12"/>
  <c r="X23" i="12"/>
  <c r="W23" i="12"/>
  <c r="W78" i="12"/>
  <c r="X78" i="12"/>
  <c r="W25" i="12"/>
  <c r="X25" i="12"/>
  <c r="X35" i="12"/>
  <c r="W35" i="12"/>
  <c r="O29" i="5"/>
  <c r="AC29" i="5"/>
  <c r="C29" i="6"/>
  <c r="C15" i="11"/>
  <c r="L15" i="13"/>
  <c r="P15" i="11"/>
  <c r="C29" i="12"/>
  <c r="J29" i="12"/>
  <c r="D26" i="8"/>
  <c r="AC26" i="8"/>
  <c r="H26" i="8"/>
  <c r="J27" i="8" s="1"/>
  <c r="X26" i="8"/>
  <c r="G26" i="8"/>
  <c r="G27" i="8" s="1"/>
  <c r="AA26" i="8"/>
  <c r="AB26" i="8"/>
  <c r="V26" i="8"/>
  <c r="Y26" i="8"/>
  <c r="W26" i="8"/>
  <c r="AD26" i="8"/>
  <c r="AE26" i="8"/>
  <c r="Z26" i="8"/>
  <c r="AF26" i="8"/>
  <c r="H27" i="8"/>
  <c r="U26" i="8"/>
  <c r="E26" i="8"/>
  <c r="J30" i="12"/>
  <c r="C30" i="12"/>
  <c r="G47" i="8"/>
  <c r="G48" i="8" s="1"/>
  <c r="AB15" i="11"/>
  <c r="N15" i="11" s="1"/>
  <c r="AG15" i="13"/>
  <c r="U15" i="13" s="1"/>
  <c r="AD15" i="13"/>
  <c r="S15" i="13" s="1"/>
  <c r="V66" i="12"/>
  <c r="U66" i="12"/>
  <c r="T66" i="12"/>
  <c r="W76" i="12"/>
  <c r="X76" i="12"/>
  <c r="X57" i="12"/>
  <c r="W57" i="12"/>
  <c r="W27" i="12"/>
  <c r="X27" i="12"/>
  <c r="X62" i="12"/>
  <c r="W62" i="12"/>
  <c r="G23" i="8"/>
  <c r="G24" i="8" s="1"/>
  <c r="H23" i="8"/>
  <c r="J24" i="8" s="1"/>
  <c r="H24" i="8"/>
  <c r="C16" i="11"/>
  <c r="L16" i="13"/>
  <c r="P16" i="11"/>
  <c r="AO29" i="12"/>
  <c r="N37" i="12"/>
  <c r="N20" i="12"/>
  <c r="D45" i="12"/>
  <c r="E45" i="6"/>
  <c r="D36" i="12"/>
  <c r="E36" i="6"/>
  <c r="C30" i="6"/>
  <c r="AC30" i="5"/>
  <c r="O30" i="5"/>
  <c r="W22" i="12"/>
  <c r="X22" i="12"/>
  <c r="D34" i="12"/>
  <c r="E34" i="6"/>
  <c r="U44" i="12"/>
  <c r="T44" i="12"/>
  <c r="V44" i="12"/>
  <c r="N34" i="12"/>
  <c r="O30" i="12"/>
  <c r="Y34" i="12"/>
  <c r="AO30" i="12"/>
  <c r="H45" i="8"/>
  <c r="H44" i="8"/>
  <c r="J45" i="8" s="1"/>
  <c r="G44" i="8"/>
  <c r="G45" i="8" s="1"/>
  <c r="AE9" i="10"/>
  <c r="I80" i="10"/>
  <c r="H80" i="10" s="1"/>
  <c r="X70" i="8"/>
  <c r="E35" i="6"/>
  <c r="D35" i="12"/>
  <c r="N45" i="12"/>
  <c r="O29" i="12"/>
  <c r="Y45" i="12"/>
  <c r="AO42" i="12"/>
  <c r="Y42" i="12" s="1"/>
  <c r="W42" i="12" s="1"/>
  <c r="G56" i="8"/>
  <c r="G57" i="8" s="1"/>
  <c r="H56" i="8"/>
  <c r="J57" i="8" s="1"/>
  <c r="H57" i="8"/>
  <c r="U46" i="8"/>
  <c r="Z46" i="8"/>
  <c r="T36" i="12"/>
  <c r="U36" i="12"/>
  <c r="V36" i="12"/>
  <c r="H69" i="8"/>
  <c r="H68" i="8"/>
  <c r="J69" i="8" s="1"/>
  <c r="G68" i="8"/>
  <c r="G69" i="8" s="1"/>
  <c r="N56" i="12"/>
  <c r="Y50" i="12"/>
  <c r="N50" i="12"/>
  <c r="O24" i="11"/>
  <c r="Y47" i="12"/>
  <c r="V46" i="8"/>
  <c r="AA46" i="8"/>
  <c r="AE46" i="8"/>
  <c r="Y46" i="8"/>
  <c r="AF46" i="8"/>
  <c r="AD46" i="8"/>
  <c r="X46" i="8"/>
  <c r="E46" i="8"/>
  <c r="AB46" i="8"/>
  <c r="W46" i="8"/>
  <c r="AC46" i="8"/>
  <c r="W84" i="12"/>
  <c r="X84" i="12"/>
  <c r="V32" i="12"/>
  <c r="T32" i="12"/>
  <c r="Z70" i="8"/>
  <c r="Z68" i="8" s="1"/>
  <c r="U70" i="8"/>
  <c r="AA70" i="8"/>
  <c r="AA68" i="8" s="1"/>
  <c r="E70" i="8"/>
  <c r="AC70" i="8"/>
  <c r="AC68" i="8" s="1"/>
  <c r="U32" i="12"/>
  <c r="AB70" i="8"/>
  <c r="AB68" i="8" s="1"/>
  <c r="AF70" i="8"/>
  <c r="AF68" i="8" s="1"/>
  <c r="V70" i="8"/>
  <c r="V68" i="8" s="1"/>
  <c r="Y70" i="8"/>
  <c r="Y68" i="8" s="1"/>
  <c r="P17" i="11"/>
  <c r="C17" i="11"/>
  <c r="L17" i="13"/>
  <c r="F11" i="6"/>
  <c r="W70" i="8"/>
  <c r="W68" i="8" s="1"/>
  <c r="I53" i="8"/>
  <c r="A53" i="8" s="1"/>
  <c r="Y37" i="12"/>
  <c r="Y59" i="12"/>
  <c r="X59" i="12" s="1"/>
  <c r="N11" i="6"/>
  <c r="AE70" i="8"/>
  <c r="AE68" i="8" s="1"/>
  <c r="I12" i="6"/>
  <c r="I59" i="8"/>
  <c r="A59" i="8" s="1"/>
  <c r="H74" i="8"/>
  <c r="J75" i="8" s="1"/>
  <c r="H75" i="8"/>
  <c r="G74" i="8"/>
  <c r="G75" i="8" s="1"/>
  <c r="D56" i="8"/>
  <c r="AB15" i="5"/>
  <c r="G71" i="8"/>
  <c r="G72" i="8" s="1"/>
  <c r="H72" i="8"/>
  <c r="H71" i="8"/>
  <c r="J72" i="8" s="1"/>
  <c r="L42" i="12"/>
  <c r="K42" i="12" s="1"/>
  <c r="Y17" i="12"/>
  <c r="L68" i="12"/>
  <c r="K68" i="12" s="1"/>
  <c r="L20" i="12"/>
  <c r="K20" i="12" s="1"/>
  <c r="E70" i="6"/>
  <c r="D70" i="12"/>
  <c r="L59" i="12"/>
  <c r="K59" i="12" s="1"/>
  <c r="L37" i="12"/>
  <c r="K37" i="12" s="1"/>
  <c r="L71" i="12"/>
  <c r="K71" i="12" s="1"/>
  <c r="E16" i="6"/>
  <c r="D16" i="12"/>
  <c r="I14" i="8"/>
  <c r="X60" i="12"/>
  <c r="W60" i="12"/>
  <c r="E52" i="6"/>
  <c r="I38" i="8"/>
  <c r="A38" i="8" s="1"/>
  <c r="D52" i="12"/>
  <c r="Y71" i="12"/>
  <c r="T19" i="12"/>
  <c r="U19" i="12"/>
  <c r="V19" i="12"/>
  <c r="L52" i="12"/>
  <c r="K52" i="12" s="1"/>
  <c r="N52" i="12"/>
  <c r="V14" i="13"/>
  <c r="D14" i="13"/>
  <c r="P14" i="13"/>
  <c r="E20" i="6"/>
  <c r="D20" i="12"/>
  <c r="I20" i="8"/>
  <c r="A20" i="8" s="1"/>
  <c r="K17" i="12"/>
  <c r="X21" i="12"/>
  <c r="W21" i="12"/>
  <c r="W72" i="12"/>
  <c r="X72" i="12"/>
  <c r="X48" i="12"/>
  <c r="W48" i="12"/>
  <c r="W14" i="8"/>
  <c r="X43" i="12"/>
  <c r="W43" i="12"/>
  <c r="Y20" i="12"/>
  <c r="T64" i="12"/>
  <c r="V64" i="12"/>
  <c r="U64" i="12"/>
  <c r="L16" i="12"/>
  <c r="K16" i="12" s="1"/>
  <c r="N16" i="12"/>
  <c r="N17" i="12"/>
  <c r="P11" i="12"/>
  <c r="O11" i="12" s="1"/>
  <c r="Y16" i="12"/>
  <c r="E17" i="6"/>
  <c r="D17" i="12"/>
  <c r="I17" i="8"/>
  <c r="A17" i="8" s="1"/>
  <c r="D68" i="12"/>
  <c r="E68" i="6"/>
  <c r="U28" i="12"/>
  <c r="T28" i="12"/>
  <c r="V28" i="12"/>
  <c r="L47" i="12"/>
  <c r="K47" i="12" s="1"/>
  <c r="N47" i="12"/>
  <c r="I32" i="8"/>
  <c r="A32" i="8" s="1"/>
  <c r="D42" i="12"/>
  <c r="E42" i="6"/>
  <c r="D71" i="12"/>
  <c r="E71" i="6"/>
  <c r="W31" i="12"/>
  <c r="X31" i="12"/>
  <c r="E14" i="8"/>
  <c r="Y68" i="12"/>
  <c r="I35" i="8"/>
  <c r="A35" i="8" s="1"/>
  <c r="D47" i="12"/>
  <c r="E47" i="6"/>
  <c r="T75" i="12"/>
  <c r="V75" i="12"/>
  <c r="U75" i="12"/>
  <c r="X18" i="12"/>
  <c r="W18" i="12"/>
  <c r="W38" i="12"/>
  <c r="X38" i="12"/>
  <c r="T82" i="12"/>
  <c r="V82" i="12"/>
  <c r="U82" i="12"/>
  <c r="X53" i="12"/>
  <c r="W53" i="12"/>
  <c r="E59" i="6"/>
  <c r="I41" i="8"/>
  <c r="A41" i="8" s="1"/>
  <c r="D59" i="12"/>
  <c r="I29" i="8"/>
  <c r="A29" i="8" s="1"/>
  <c r="D37" i="12"/>
  <c r="E37" i="6"/>
  <c r="N14" i="11"/>
  <c r="S82" i="10"/>
  <c r="C11" i="10" s="1"/>
  <c r="J99" i="12"/>
  <c r="D1" i="2"/>
  <c r="U24" i="12" l="1"/>
  <c r="T24" i="12"/>
  <c r="V58" i="12"/>
  <c r="U58" i="12"/>
  <c r="T58" i="12"/>
  <c r="E75" i="6"/>
  <c r="D75" i="12"/>
  <c r="O76" i="5"/>
  <c r="I77" i="5"/>
  <c r="V69" i="12"/>
  <c r="U69" i="12"/>
  <c r="T69" i="12"/>
  <c r="T33" i="12"/>
  <c r="V33" i="12"/>
  <c r="U33" i="12"/>
  <c r="T79" i="12"/>
  <c r="V79" i="12"/>
  <c r="U79" i="12"/>
  <c r="F73" i="8"/>
  <c r="AE73" i="8"/>
  <c r="AE71" i="8" s="1"/>
  <c r="E73" i="8"/>
  <c r="E71" i="8" s="1"/>
  <c r="AB73" i="8"/>
  <c r="AB71" i="8" s="1"/>
  <c r="AF73" i="8"/>
  <c r="AF71" i="8" s="1"/>
  <c r="AA73" i="8"/>
  <c r="AA71" i="8" s="1"/>
  <c r="V73" i="8"/>
  <c r="V71" i="8" s="1"/>
  <c r="X73" i="8"/>
  <c r="X71" i="8" s="1"/>
  <c r="AD73" i="8"/>
  <c r="AD71" i="8" s="1"/>
  <c r="U73" i="8"/>
  <c r="U71" i="8" s="1"/>
  <c r="Y73" i="8"/>
  <c r="Y71" i="8" s="1"/>
  <c r="Z73" i="8"/>
  <c r="Z71" i="8" s="1"/>
  <c r="AC73" i="8"/>
  <c r="AC71" i="8" s="1"/>
  <c r="W73" i="8"/>
  <c r="W71" i="8" s="1"/>
  <c r="S77" i="8"/>
  <c r="N77" i="8"/>
  <c r="J77" i="8"/>
  <c r="M77" i="8"/>
  <c r="P77" i="8"/>
  <c r="Q77" i="8"/>
  <c r="O77" i="8"/>
  <c r="D53" i="8"/>
  <c r="H54" i="8"/>
  <c r="H53" i="8"/>
  <c r="J54" i="8" s="1"/>
  <c r="G53" i="8"/>
  <c r="G54" i="8" s="1"/>
  <c r="T70" i="12"/>
  <c r="V70" i="12"/>
  <c r="U70" i="12"/>
  <c r="T81" i="12"/>
  <c r="V81" i="12"/>
  <c r="U81" i="12"/>
  <c r="V51" i="12"/>
  <c r="T51" i="12"/>
  <c r="U51" i="12"/>
  <c r="V39" i="12"/>
  <c r="U39" i="12"/>
  <c r="T39" i="12"/>
  <c r="T83" i="12"/>
  <c r="V83" i="12"/>
  <c r="U83" i="12"/>
  <c r="T55" i="12"/>
  <c r="U55" i="12"/>
  <c r="V55" i="12"/>
  <c r="U80" i="12"/>
  <c r="V80" i="12"/>
  <c r="X56" i="12"/>
  <c r="W56" i="12"/>
  <c r="Y30" i="12"/>
  <c r="U77" i="12"/>
  <c r="T77" i="12"/>
  <c r="V77" i="12"/>
  <c r="V46" i="12"/>
  <c r="T46" i="12"/>
  <c r="U46" i="12"/>
  <c r="U65" i="12"/>
  <c r="T65" i="12"/>
  <c r="V65" i="12"/>
  <c r="V74" i="12"/>
  <c r="U74" i="12"/>
  <c r="T74" i="12"/>
  <c r="F76" i="8"/>
  <c r="T54" i="12"/>
  <c r="U54" i="12"/>
  <c r="V41" i="12"/>
  <c r="T41" i="12"/>
  <c r="U41" i="12"/>
  <c r="T63" i="12"/>
  <c r="U63" i="12"/>
  <c r="V63" i="12"/>
  <c r="I62" i="8"/>
  <c r="A62" i="8" s="1"/>
  <c r="V62" i="8"/>
  <c r="V55" i="8"/>
  <c r="V53" i="8" s="1"/>
  <c r="AB62" i="8"/>
  <c r="AB55" i="8"/>
  <c r="AB53" i="8" s="1"/>
  <c r="E62" i="8"/>
  <c r="E55" i="8"/>
  <c r="E53" i="8" s="1"/>
  <c r="Y62" i="8"/>
  <c r="Y55" i="8"/>
  <c r="Y53" i="8" s="1"/>
  <c r="AF62" i="8"/>
  <c r="AF55" i="8"/>
  <c r="AF53" i="8" s="1"/>
  <c r="AE62" i="8"/>
  <c r="AE55" i="8"/>
  <c r="AE53" i="8" s="1"/>
  <c r="AC62" i="8"/>
  <c r="AC55" i="8"/>
  <c r="AC53" i="8" s="1"/>
  <c r="AA62" i="8"/>
  <c r="AA55" i="8"/>
  <c r="AA53" i="8" s="1"/>
  <c r="U62" i="8"/>
  <c r="U55" i="8"/>
  <c r="U53" i="8" s="1"/>
  <c r="Z62" i="8"/>
  <c r="Z55" i="8"/>
  <c r="Z53" i="8" s="1"/>
  <c r="W62" i="8"/>
  <c r="W55" i="8"/>
  <c r="W53" i="8" s="1"/>
  <c r="U44" i="8"/>
  <c r="Z44" i="8"/>
  <c r="V44" i="8"/>
  <c r="AB16" i="11"/>
  <c r="N16" i="11" s="1"/>
  <c r="AD16" i="13"/>
  <c r="AG16" i="13"/>
  <c r="U16" i="13" s="1"/>
  <c r="I65" i="8"/>
  <c r="A65" i="8" s="1"/>
  <c r="I56" i="8"/>
  <c r="A56" i="8" s="1"/>
  <c r="T40" i="12"/>
  <c r="V40" i="12"/>
  <c r="U40" i="12"/>
  <c r="X68" i="8"/>
  <c r="X64" i="8"/>
  <c r="AA44" i="8"/>
  <c r="AE44" i="8"/>
  <c r="Y44" i="8"/>
  <c r="AF44" i="8"/>
  <c r="AD44" i="8"/>
  <c r="X44" i="8"/>
  <c r="E44" i="8"/>
  <c r="AB44" i="8"/>
  <c r="W44" i="8"/>
  <c r="AC44" i="8"/>
  <c r="D71" i="8"/>
  <c r="D65" i="8"/>
  <c r="U78" i="12"/>
  <c r="V78" i="12"/>
  <c r="T78" i="12"/>
  <c r="G11" i="11"/>
  <c r="L28" i="13"/>
  <c r="V15" i="13"/>
  <c r="V16" i="13" s="1"/>
  <c r="V17" i="13" s="1"/>
  <c r="V18" i="13" s="1"/>
  <c r="V19" i="13" s="1"/>
  <c r="V20" i="13" s="1"/>
  <c r="V21" i="13" s="1"/>
  <c r="V22" i="13" s="1"/>
  <c r="V23" i="13" s="1"/>
  <c r="T67" i="12"/>
  <c r="V67" i="12"/>
  <c r="U67" i="12"/>
  <c r="U23" i="12"/>
  <c r="V23" i="12"/>
  <c r="T23" i="12"/>
  <c r="T25" i="12"/>
  <c r="V25" i="12"/>
  <c r="U25" i="12"/>
  <c r="T35" i="12"/>
  <c r="U35" i="12"/>
  <c r="V35" i="12"/>
  <c r="E29" i="6"/>
  <c r="D29" i="12"/>
  <c r="I23" i="8"/>
  <c r="P15" i="13"/>
  <c r="D15" i="13"/>
  <c r="I47" i="8"/>
  <c r="A47" i="8" s="1"/>
  <c r="T76" i="12"/>
  <c r="U76" i="12"/>
  <c r="V76" i="12"/>
  <c r="V57" i="12"/>
  <c r="U57" i="12"/>
  <c r="T57" i="12"/>
  <c r="T27" i="12"/>
  <c r="U27" i="12"/>
  <c r="V27" i="12"/>
  <c r="T62" i="12"/>
  <c r="U62" i="12"/>
  <c r="V62" i="12"/>
  <c r="D16" i="13"/>
  <c r="P16" i="13"/>
  <c r="I26" i="8"/>
  <c r="A26" i="8" s="1"/>
  <c r="E30" i="6"/>
  <c r="D30" i="12"/>
  <c r="Y29" i="12"/>
  <c r="V22" i="12"/>
  <c r="U22" i="12"/>
  <c r="T22" i="12"/>
  <c r="W34" i="12"/>
  <c r="T34" i="12" s="1"/>
  <c r="X34" i="12"/>
  <c r="L30" i="12"/>
  <c r="K30" i="12" s="1"/>
  <c r="N30" i="12"/>
  <c r="AL16" i="13"/>
  <c r="M16" i="13" s="1"/>
  <c r="L29" i="12"/>
  <c r="K29" i="12" s="1"/>
  <c r="N29" i="12"/>
  <c r="X45" i="12"/>
  <c r="W45" i="12"/>
  <c r="I50" i="8"/>
  <c r="A50" i="8" s="1"/>
  <c r="O25" i="11"/>
  <c r="AA7" i="11"/>
  <c r="R12" i="5"/>
  <c r="I44" i="8"/>
  <c r="A44" i="8" s="1"/>
  <c r="X47" i="12"/>
  <c r="W47" i="12"/>
  <c r="T84" i="12"/>
  <c r="V84" i="12"/>
  <c r="U84" i="12"/>
  <c r="U68" i="8"/>
  <c r="E68" i="8"/>
  <c r="X50" i="12"/>
  <c r="W50" i="12"/>
  <c r="W37" i="12"/>
  <c r="X37" i="12"/>
  <c r="W17" i="12"/>
  <c r="X17" i="12"/>
  <c r="I77" i="8"/>
  <c r="AN17" i="13"/>
  <c r="AD70" i="8"/>
  <c r="X42" i="12"/>
  <c r="W59" i="12"/>
  <c r="D17" i="13"/>
  <c r="P17" i="13"/>
  <c r="I68" i="8"/>
  <c r="A68" i="8" s="1"/>
  <c r="AC11" i="5"/>
  <c r="I74" i="8"/>
  <c r="A74" i="8" s="1"/>
  <c r="X52" i="12"/>
  <c r="I71" i="8"/>
  <c r="A71" i="8" s="1"/>
  <c r="AG17" i="13"/>
  <c r="AB17" i="11"/>
  <c r="AD17" i="13"/>
  <c r="T42" i="12"/>
  <c r="V42" i="12"/>
  <c r="U42" i="12"/>
  <c r="T52" i="12"/>
  <c r="U52" i="12"/>
  <c r="V52" i="12"/>
  <c r="U31" i="12"/>
  <c r="V31" i="12"/>
  <c r="T31" i="12"/>
  <c r="U48" i="12"/>
  <c r="V48" i="12"/>
  <c r="T48" i="12"/>
  <c r="X71" i="12"/>
  <c r="W71" i="12"/>
  <c r="T53" i="12"/>
  <c r="U53" i="12"/>
  <c r="V53" i="12"/>
  <c r="W68" i="12"/>
  <c r="X68" i="12"/>
  <c r="X20" i="12"/>
  <c r="W20" i="12"/>
  <c r="V60" i="12"/>
  <c r="T60" i="12"/>
  <c r="U60" i="12"/>
  <c r="X16" i="12"/>
  <c r="W16" i="12"/>
  <c r="V72" i="12"/>
  <c r="T72" i="12"/>
  <c r="U72" i="12"/>
  <c r="U38" i="12"/>
  <c r="V38" i="12"/>
  <c r="T38" i="12"/>
  <c r="U21" i="12"/>
  <c r="T21" i="12"/>
  <c r="V21" i="12"/>
  <c r="T18" i="12"/>
  <c r="U18" i="12"/>
  <c r="V18" i="12"/>
  <c r="T43" i="12"/>
  <c r="U43" i="12"/>
  <c r="V43" i="12"/>
  <c r="S16" i="13" l="1"/>
  <c r="S17" i="13"/>
  <c r="I78" i="5"/>
  <c r="O77" i="5"/>
  <c r="E76" i="6"/>
  <c r="D76" i="12"/>
  <c r="V34" i="12"/>
  <c r="U34" i="12"/>
  <c r="AE76" i="8"/>
  <c r="AE74" i="8" s="1"/>
  <c r="V76" i="8"/>
  <c r="V74" i="8" s="1"/>
  <c r="AB76" i="8"/>
  <c r="AB74" i="8" s="1"/>
  <c r="X76" i="8"/>
  <c r="X74" i="8" s="1"/>
  <c r="E76" i="8"/>
  <c r="E74" i="8" s="1"/>
  <c r="AF76" i="8"/>
  <c r="AF74" i="8" s="1"/>
  <c r="AC76" i="8"/>
  <c r="AC74" i="8" s="1"/>
  <c r="A77" i="8"/>
  <c r="W76" i="8"/>
  <c r="W74" i="8" s="1"/>
  <c r="AA76" i="8"/>
  <c r="AA74" i="8" s="1"/>
  <c r="AD76" i="8"/>
  <c r="AD74" i="8" s="1"/>
  <c r="Z76" i="8"/>
  <c r="Z74" i="8" s="1"/>
  <c r="Y76" i="8"/>
  <c r="Y74" i="8" s="1"/>
  <c r="U76" i="8"/>
  <c r="U74" i="8" s="1"/>
  <c r="G77" i="8"/>
  <c r="G78" i="8" s="1"/>
  <c r="H77" i="8"/>
  <c r="J78" i="8" s="1"/>
  <c r="H78" i="8"/>
  <c r="F81" i="8"/>
  <c r="S79" i="8"/>
  <c r="R77" i="8"/>
  <c r="V56" i="12"/>
  <c r="T56" i="12"/>
  <c r="U56" i="12"/>
  <c r="X30" i="12"/>
  <c r="W30" i="12"/>
  <c r="M27" i="13"/>
  <c r="X62" i="8"/>
  <c r="X55" i="8"/>
  <c r="X53" i="8" s="1"/>
  <c r="U17" i="13"/>
  <c r="AD4" i="13" s="1"/>
  <c r="D33" i="14"/>
  <c r="L24" i="13"/>
  <c r="P24" i="13"/>
  <c r="O24" i="13"/>
  <c r="U37" i="12"/>
  <c r="V37" i="12"/>
  <c r="T37" i="12"/>
  <c r="AD68" i="8"/>
  <c r="AD64" i="8"/>
  <c r="X29" i="12"/>
  <c r="W29" i="12"/>
  <c r="M28" i="13"/>
  <c r="N16" i="13"/>
  <c r="T17" i="12"/>
  <c r="U17" i="12"/>
  <c r="V17" i="12"/>
  <c r="T45" i="12"/>
  <c r="V45" i="12"/>
  <c r="U45" i="12"/>
  <c r="V47" i="12"/>
  <c r="T47" i="12"/>
  <c r="U47" i="12"/>
  <c r="V59" i="12"/>
  <c r="U59" i="12"/>
  <c r="T59" i="12"/>
  <c r="V50" i="12"/>
  <c r="T50" i="12"/>
  <c r="U50" i="12"/>
  <c r="N17" i="11"/>
  <c r="N24" i="11" s="1"/>
  <c r="AB24" i="11"/>
  <c r="AB7" i="11" s="1"/>
  <c r="Z3" i="11" s="1"/>
  <c r="AA3" i="11" s="1"/>
  <c r="T16" i="12"/>
  <c r="U16" i="12"/>
  <c r="V16" i="12"/>
  <c r="U71" i="12"/>
  <c r="T71" i="12"/>
  <c r="V71" i="12"/>
  <c r="V68" i="12"/>
  <c r="U68" i="12"/>
  <c r="T68" i="12"/>
  <c r="U20" i="12"/>
  <c r="T20" i="12"/>
  <c r="V20" i="12"/>
  <c r="O78" i="5" l="1"/>
  <c r="I79" i="5"/>
  <c r="D77" i="12"/>
  <c r="E77" i="6"/>
  <c r="AA86" i="5"/>
  <c r="AA88" i="5"/>
  <c r="AA73" i="5"/>
  <c r="AA87" i="5"/>
  <c r="I80" i="8"/>
  <c r="N80" i="8"/>
  <c r="M80" i="8"/>
  <c r="P80" i="8"/>
  <c r="O80" i="8"/>
  <c r="J80" i="8"/>
  <c r="Q80" i="8"/>
  <c r="S80" i="8"/>
  <c r="E79" i="8" s="1"/>
  <c r="E77" i="8" s="1"/>
  <c r="F79" i="8"/>
  <c r="D77" i="8"/>
  <c r="T30" i="12"/>
  <c r="U30" i="12"/>
  <c r="V30" i="12"/>
  <c r="F34" i="14"/>
  <c r="G10" i="13"/>
  <c r="AD62" i="8"/>
  <c r="AD55" i="8"/>
  <c r="AD53" i="8" s="1"/>
  <c r="T29" i="12"/>
  <c r="U29" i="12"/>
  <c r="V29" i="12"/>
  <c r="M24" i="13"/>
  <c r="O29" i="13"/>
  <c r="N28" i="13"/>
  <c r="AA64" i="5"/>
  <c r="AA63" i="5"/>
  <c r="AA56" i="5"/>
  <c r="AA50" i="5"/>
  <c r="AA74" i="5"/>
  <c r="AA31" i="5"/>
  <c r="AA76" i="5"/>
  <c r="AA85" i="5"/>
  <c r="AD16" i="11"/>
  <c r="AA67" i="5"/>
  <c r="AA66" i="5"/>
  <c r="AA36" i="5"/>
  <c r="AA39" i="5"/>
  <c r="AA45" i="5"/>
  <c r="AA61" i="5"/>
  <c r="AA62" i="5"/>
  <c r="AD14" i="11"/>
  <c r="AA84" i="5"/>
  <c r="AA82" i="5"/>
  <c r="AA49" i="5"/>
  <c r="AA28" i="5"/>
  <c r="AA65" i="5"/>
  <c r="AA24" i="5"/>
  <c r="AA38" i="5"/>
  <c r="AD18" i="11"/>
  <c r="AA32" i="5"/>
  <c r="AA26" i="5"/>
  <c r="AA70" i="5"/>
  <c r="AA40" i="5"/>
  <c r="AA18" i="5"/>
  <c r="AA27" i="5"/>
  <c r="AD19" i="11"/>
  <c r="AD23" i="11"/>
  <c r="AD17" i="11"/>
  <c r="AD15" i="11"/>
  <c r="AA78" i="5"/>
  <c r="AA35" i="5"/>
  <c r="AA58" i="5"/>
  <c r="AA57" i="5"/>
  <c r="AA77" i="5"/>
  <c r="AA33" i="5"/>
  <c r="AA69" i="5"/>
  <c r="AA54" i="5"/>
  <c r="AA43" i="5"/>
  <c r="AA79" i="5"/>
  <c r="AD20" i="11"/>
  <c r="AA46" i="5"/>
  <c r="AA51" i="5"/>
  <c r="AA19" i="5"/>
  <c r="AA81" i="5"/>
  <c r="AA22" i="5"/>
  <c r="AA75" i="5"/>
  <c r="AA23" i="5"/>
  <c r="AA48" i="5"/>
  <c r="AA21" i="5"/>
  <c r="AA25" i="5"/>
  <c r="AD22" i="11"/>
  <c r="AD21" i="11"/>
  <c r="AA55" i="5"/>
  <c r="AA53" i="5"/>
  <c r="AA41" i="5"/>
  <c r="AA44" i="5"/>
  <c r="AA34" i="5"/>
  <c r="AD12" i="11"/>
  <c r="AA83" i="5"/>
  <c r="AA72" i="5"/>
  <c r="AA80" i="5"/>
  <c r="AA60" i="5"/>
  <c r="L27" i="13"/>
  <c r="N25" i="11"/>
  <c r="E78" i="6" l="1"/>
  <c r="D78" i="12"/>
  <c r="I80" i="5"/>
  <c r="O79" i="5"/>
  <c r="AB79" i="8"/>
  <c r="AB77" i="8" s="1"/>
  <c r="Z79" i="8"/>
  <c r="Z77" i="8" s="1"/>
  <c r="AA79" i="8"/>
  <c r="AA77" i="8" s="1"/>
  <c r="AE79" i="8"/>
  <c r="AE77" i="8" s="1"/>
  <c r="X79" i="8"/>
  <c r="X77" i="8" s="1"/>
  <c r="U79" i="8"/>
  <c r="U77" i="8" s="1"/>
  <c r="AD79" i="8"/>
  <c r="AD77" i="8" s="1"/>
  <c r="V79" i="8"/>
  <c r="V77" i="8" s="1"/>
  <c r="F84" i="8"/>
  <c r="S82" i="8"/>
  <c r="A80" i="8"/>
  <c r="G80" i="8"/>
  <c r="G81" i="8" s="1"/>
  <c r="H81" i="8"/>
  <c r="H80" i="8"/>
  <c r="J81" i="8" s="1"/>
  <c r="R80" i="8"/>
  <c r="AC79" i="8"/>
  <c r="AC77" i="8" s="1"/>
  <c r="Y79" i="8"/>
  <c r="Y77" i="8" s="1"/>
  <c r="AF79" i="8"/>
  <c r="AF77" i="8" s="1"/>
  <c r="W79" i="8"/>
  <c r="W77" i="8" s="1"/>
  <c r="E33" i="14"/>
  <c r="N24" i="13"/>
  <c r="E34" i="14"/>
  <c r="AE4" i="13"/>
  <c r="O27" i="13" s="1"/>
  <c r="AA59" i="5"/>
  <c r="C41" i="8" s="1"/>
  <c r="AE12" i="11"/>
  <c r="M12" i="11" s="1"/>
  <c r="L12" i="11" s="1"/>
  <c r="AA47" i="5"/>
  <c r="C35" i="8" s="1"/>
  <c r="AE21" i="11"/>
  <c r="M21" i="11" s="1"/>
  <c r="L21" i="11" s="1"/>
  <c r="AE20" i="11"/>
  <c r="M20" i="11" s="1"/>
  <c r="L20" i="11" s="1"/>
  <c r="AA42" i="5"/>
  <c r="C32" i="8" s="1"/>
  <c r="AE14" i="11"/>
  <c r="AC27" i="13"/>
  <c r="D32" i="14"/>
  <c r="AD27" i="13"/>
  <c r="AA52" i="5"/>
  <c r="C38" i="8" s="1"/>
  <c r="AA71" i="5"/>
  <c r="AE22" i="11"/>
  <c r="M22" i="11" s="1"/>
  <c r="L22" i="11" s="1"/>
  <c r="AE23" i="11"/>
  <c r="M23" i="11" s="1"/>
  <c r="L23" i="11" s="1"/>
  <c r="AA37" i="5"/>
  <c r="C29" i="8" s="1"/>
  <c r="AA20" i="5"/>
  <c r="C20" i="8" s="1"/>
  <c r="AE18" i="11"/>
  <c r="M18" i="11" s="1"/>
  <c r="L18" i="11" s="1"/>
  <c r="AA29" i="5"/>
  <c r="AA30" i="5"/>
  <c r="C26" i="8" s="1"/>
  <c r="C62" i="8"/>
  <c r="AE19" i="11"/>
  <c r="M19" i="11" s="1"/>
  <c r="L19" i="11" s="1"/>
  <c r="AA16" i="5"/>
  <c r="AA15" i="5"/>
  <c r="AA17" i="5"/>
  <c r="C17" i="8" s="1"/>
  <c r="AA68" i="5"/>
  <c r="C44" i="8" s="1"/>
  <c r="I81" i="5" l="1"/>
  <c r="O80" i="5"/>
  <c r="D79" i="12"/>
  <c r="E79" i="6"/>
  <c r="N83" i="8"/>
  <c r="P83" i="8"/>
  <c r="J83" i="8"/>
  <c r="M83" i="8"/>
  <c r="Q83" i="8"/>
  <c r="O83" i="8"/>
  <c r="S83" i="8"/>
  <c r="I83" i="8"/>
  <c r="D80" i="8"/>
  <c r="F82" i="8"/>
  <c r="C65" i="8"/>
  <c r="C71" i="8"/>
  <c r="C80" i="8"/>
  <c r="C56" i="8"/>
  <c r="C59" i="8"/>
  <c r="C74" i="8"/>
  <c r="C68" i="8"/>
  <c r="C53" i="8"/>
  <c r="C77" i="8"/>
  <c r="F32" i="14"/>
  <c r="N27" i="13"/>
  <c r="E32" i="14" s="1"/>
  <c r="AA17" i="11"/>
  <c r="Z17" i="11" s="1"/>
  <c r="AC17" i="13"/>
  <c r="AF17" i="13"/>
  <c r="AC14" i="13"/>
  <c r="R14" i="13" s="1"/>
  <c r="AF14" i="13"/>
  <c r="T14" i="13" s="1"/>
  <c r="AA14" i="11"/>
  <c r="AA15" i="11"/>
  <c r="AF15" i="13"/>
  <c r="T15" i="13" s="1"/>
  <c r="AC15" i="13"/>
  <c r="R15" i="13" s="1"/>
  <c r="AA16" i="11"/>
  <c r="AF16" i="13"/>
  <c r="AC16" i="13"/>
  <c r="O81" i="5" l="1"/>
  <c r="I82" i="5"/>
  <c r="D80" i="12"/>
  <c r="E80" i="6"/>
  <c r="AF82" i="8"/>
  <c r="AF80" i="8" s="1"/>
  <c r="W82" i="8"/>
  <c r="W80" i="8" s="1"/>
  <c r="AD82" i="8"/>
  <c r="AD80" i="8" s="1"/>
  <c r="V82" i="8"/>
  <c r="V80" i="8" s="1"/>
  <c r="AC82" i="8"/>
  <c r="AC80" i="8" s="1"/>
  <c r="AA82" i="8"/>
  <c r="AA80" i="8" s="1"/>
  <c r="Y82" i="8"/>
  <c r="Y80" i="8" s="1"/>
  <c r="X82" i="8"/>
  <c r="X80" i="8" s="1"/>
  <c r="U82" i="8"/>
  <c r="U80" i="8" s="1"/>
  <c r="A83" i="8"/>
  <c r="S85" i="8"/>
  <c r="F87" i="8"/>
  <c r="H84" i="8"/>
  <c r="H83" i="8"/>
  <c r="J84" i="8" s="1"/>
  <c r="AB82" i="8"/>
  <c r="AB80" i="8" s="1"/>
  <c r="G83" i="8"/>
  <c r="G84" i="8" s="1"/>
  <c r="E82" i="8"/>
  <c r="E80" i="8" s="1"/>
  <c r="Z82" i="8"/>
  <c r="Z80" i="8" s="1"/>
  <c r="AE82" i="8"/>
  <c r="AE80" i="8" s="1"/>
  <c r="R83" i="8"/>
  <c r="T16" i="13"/>
  <c r="R16" i="13"/>
  <c r="R17" i="13"/>
  <c r="T17" i="13"/>
  <c r="Z15" i="11"/>
  <c r="Z16" i="11"/>
  <c r="M14" i="11"/>
  <c r="L14" i="11" s="1"/>
  <c r="Z14" i="11"/>
  <c r="AA24" i="11"/>
  <c r="D81" i="12" l="1"/>
  <c r="E81" i="6"/>
  <c r="I83" i="5"/>
  <c r="O82" i="5"/>
  <c r="M26" i="13"/>
  <c r="M25" i="13" s="1"/>
  <c r="P86" i="8"/>
  <c r="N86" i="8"/>
  <c r="M86" i="8"/>
  <c r="J86" i="8"/>
  <c r="O86" i="8"/>
  <c r="Q86" i="8"/>
  <c r="S86" i="8"/>
  <c r="I86" i="8"/>
  <c r="D83" i="8"/>
  <c r="F85" i="8"/>
  <c r="C83" i="8"/>
  <c r="AD3" i="13"/>
  <c r="AE16" i="11"/>
  <c r="M16" i="11" s="1"/>
  <c r="L16" i="11" s="1"/>
  <c r="Z24" i="11"/>
  <c r="I84" i="5" l="1"/>
  <c r="O83" i="5"/>
  <c r="E82" i="6"/>
  <c r="D82" i="12"/>
  <c r="Z85" i="8"/>
  <c r="Z83" i="8" s="1"/>
  <c r="U85" i="8"/>
  <c r="U83" i="8" s="1"/>
  <c r="AF85" i="8"/>
  <c r="AF83" i="8" s="1"/>
  <c r="AE85" i="8"/>
  <c r="AE83" i="8" s="1"/>
  <c r="AA85" i="8"/>
  <c r="AA83" i="8" s="1"/>
  <c r="AC85" i="8"/>
  <c r="AC83" i="8" s="1"/>
  <c r="AD85" i="8"/>
  <c r="AD83" i="8" s="1"/>
  <c r="E85" i="8"/>
  <c r="E83" i="8" s="1"/>
  <c r="X85" i="8"/>
  <c r="X83" i="8" s="1"/>
  <c r="Y85" i="8"/>
  <c r="Y83" i="8" s="1"/>
  <c r="F90" i="8"/>
  <c r="S88" i="8"/>
  <c r="A86" i="8"/>
  <c r="H86" i="8"/>
  <c r="J87" i="8" s="1"/>
  <c r="H87" i="8"/>
  <c r="AB85" i="8"/>
  <c r="AB83" i="8" s="1"/>
  <c r="W85" i="8"/>
  <c r="W83" i="8" s="1"/>
  <c r="V85" i="8"/>
  <c r="V83" i="8" s="1"/>
  <c r="G86" i="8"/>
  <c r="G87" i="8" s="1"/>
  <c r="R86" i="8"/>
  <c r="AE17" i="11"/>
  <c r="M17" i="11" s="1"/>
  <c r="L17" i="11" s="1"/>
  <c r="AE15" i="11"/>
  <c r="M15" i="11" s="1"/>
  <c r="AD2" i="13"/>
  <c r="AE3" i="13"/>
  <c r="O50" i="8"/>
  <c r="R50" i="8" s="1"/>
  <c r="I85" i="5" l="1"/>
  <c r="O84" i="5"/>
  <c r="D83" i="12"/>
  <c r="E83" i="6"/>
  <c r="S89" i="8"/>
  <c r="AA88" i="8" s="1"/>
  <c r="AA86" i="8" s="1"/>
  <c r="J89" i="8"/>
  <c r="Q89" i="8"/>
  <c r="M89" i="8"/>
  <c r="N89" i="8"/>
  <c r="I89" i="8"/>
  <c r="O89" i="8"/>
  <c r="F88" i="8"/>
  <c r="C86" i="8"/>
  <c r="D86" i="8"/>
  <c r="P89" i="8"/>
  <c r="L15" i="11"/>
  <c r="L24" i="11" s="1"/>
  <c r="M24" i="11"/>
  <c r="AE2" i="13"/>
  <c r="O26" i="13"/>
  <c r="C50" i="8"/>
  <c r="H51" i="8"/>
  <c r="D50" i="8"/>
  <c r="H50" i="8"/>
  <c r="J51" i="8" s="1"/>
  <c r="F52" i="8"/>
  <c r="X52" i="8"/>
  <c r="E52" i="8"/>
  <c r="U52" i="8"/>
  <c r="O85" i="5" l="1"/>
  <c r="I86" i="5"/>
  <c r="E84" i="6"/>
  <c r="D84" i="12"/>
  <c r="AE88" i="8"/>
  <c r="AE86" i="8" s="1"/>
  <c r="AB88" i="8"/>
  <c r="AB86" i="8" s="1"/>
  <c r="E88" i="8"/>
  <c r="E86" i="8" s="1"/>
  <c r="W88" i="8"/>
  <c r="W86" i="8" s="1"/>
  <c r="AD88" i="8"/>
  <c r="AD86" i="8" s="1"/>
  <c r="V88" i="8"/>
  <c r="V86" i="8" s="1"/>
  <c r="U88" i="8"/>
  <c r="U86" i="8" s="1"/>
  <c r="G89" i="8"/>
  <c r="G90" i="8" s="1"/>
  <c r="AF88" i="8"/>
  <c r="AF86" i="8" s="1"/>
  <c r="AC88" i="8"/>
  <c r="AC86" i="8" s="1"/>
  <c r="Z88" i="8"/>
  <c r="Z86" i="8" s="1"/>
  <c r="X88" i="8"/>
  <c r="X86" i="8" s="1"/>
  <c r="H90" i="8"/>
  <c r="H89" i="8"/>
  <c r="J90" i="8" s="1"/>
  <c r="Y88" i="8"/>
  <c r="Y86" i="8" s="1"/>
  <c r="S91" i="8"/>
  <c r="R89" i="8"/>
  <c r="A89" i="8"/>
  <c r="R93" i="8"/>
  <c r="I93" i="8" s="1"/>
  <c r="O47" i="8"/>
  <c r="R47" i="8" s="1"/>
  <c r="L25" i="13"/>
  <c r="D30" i="14" s="1"/>
  <c r="L10" i="11"/>
  <c r="M10" i="13" s="1"/>
  <c r="L25" i="11"/>
  <c r="L26" i="13"/>
  <c r="M10" i="11"/>
  <c r="N10" i="13" s="1"/>
  <c r="M25" i="11"/>
  <c r="W52" i="8"/>
  <c r="Y52" i="8"/>
  <c r="V52" i="8"/>
  <c r="AA52" i="8"/>
  <c r="N26" i="13"/>
  <c r="E31" i="14" s="1"/>
  <c r="O25" i="13"/>
  <c r="F31" i="14"/>
  <c r="AE52" i="8"/>
  <c r="AC52" i="8"/>
  <c r="AF52" i="8"/>
  <c r="AD52" i="8"/>
  <c r="Z52" i="8"/>
  <c r="AB52" i="8"/>
  <c r="X50" i="8"/>
  <c r="E50" i="8"/>
  <c r="U50" i="8"/>
  <c r="E85" i="6" l="1"/>
  <c r="D85" i="12"/>
  <c r="I87" i="5"/>
  <c r="O86" i="5"/>
  <c r="C89" i="8"/>
  <c r="W91" i="8"/>
  <c r="W89" i="8" s="1"/>
  <c r="X91" i="8"/>
  <c r="X89" i="8" s="1"/>
  <c r="AE91" i="8"/>
  <c r="AE89" i="8" s="1"/>
  <c r="Y91" i="8"/>
  <c r="Y89" i="8" s="1"/>
  <c r="V91" i="8"/>
  <c r="V89" i="8" s="1"/>
  <c r="D89" i="8"/>
  <c r="AC91" i="8"/>
  <c r="AC89" i="8" s="1"/>
  <c r="Z91" i="8"/>
  <c r="Z89" i="8" s="1"/>
  <c r="AD91" i="8"/>
  <c r="AD89" i="8" s="1"/>
  <c r="U91" i="8"/>
  <c r="U89" i="8" s="1"/>
  <c r="E91" i="8"/>
  <c r="E89" i="8" s="1"/>
  <c r="AA91" i="8"/>
  <c r="AA89" i="8" s="1"/>
  <c r="AF91" i="8"/>
  <c r="AF89" i="8" s="1"/>
  <c r="AB91" i="8"/>
  <c r="AB89" i="8" s="1"/>
  <c r="F91" i="8"/>
  <c r="H48" i="8"/>
  <c r="H47" i="8"/>
  <c r="J48" i="8" s="1"/>
  <c r="C47" i="8"/>
  <c r="F49" i="8"/>
  <c r="D47" i="8"/>
  <c r="W49" i="8"/>
  <c r="G9" i="11"/>
  <c r="Y50" i="8"/>
  <c r="W50" i="8"/>
  <c r="AD26" i="13"/>
  <c r="AC26" i="13"/>
  <c r="D31" i="14"/>
  <c r="N25" i="13"/>
  <c r="E30" i="14" s="1"/>
  <c r="F30" i="14"/>
  <c r="V50" i="8"/>
  <c r="AA50" i="8"/>
  <c r="AE50" i="8"/>
  <c r="AC50" i="8"/>
  <c r="AF50" i="8"/>
  <c r="AD50" i="8"/>
  <c r="Z50" i="8"/>
  <c r="AB50" i="8"/>
  <c r="I88" i="5" l="1"/>
  <c r="O88" i="5" s="1"/>
  <c r="O87" i="5"/>
  <c r="D86" i="12"/>
  <c r="E86" i="6"/>
  <c r="Y49" i="8"/>
  <c r="AB49" i="8"/>
  <c r="X49" i="8"/>
  <c r="AF49" i="8"/>
  <c r="V49" i="8"/>
  <c r="AD49" i="8"/>
  <c r="U49" i="8"/>
  <c r="AE49" i="8"/>
  <c r="Z49" i="8"/>
  <c r="E49" i="8"/>
  <c r="AA49" i="8"/>
  <c r="AC49" i="8"/>
  <c r="W47" i="8"/>
  <c r="W25" i="8"/>
  <c r="W23" i="8" s="1"/>
  <c r="E88" i="6" l="1"/>
  <c r="D88" i="12"/>
  <c r="E87" i="6"/>
  <c r="D87" i="12"/>
  <c r="Y47" i="8"/>
  <c r="Y25" i="8"/>
  <c r="Y23" i="8" s="1"/>
  <c r="AB47" i="8"/>
  <c r="AB25" i="8"/>
  <c r="AB23" i="8" s="1"/>
  <c r="X47" i="8"/>
  <c r="X25" i="8"/>
  <c r="X23" i="8" s="1"/>
  <c r="AF47" i="8"/>
  <c r="AF25" i="8"/>
  <c r="AF23" i="8" s="1"/>
  <c r="V47" i="8"/>
  <c r="V25" i="8"/>
  <c r="V23" i="8" s="1"/>
  <c r="AD25" i="8"/>
  <c r="AD23" i="8" s="1"/>
  <c r="AD47" i="8"/>
  <c r="U47" i="8"/>
  <c r="U25" i="8"/>
  <c r="AE25" i="8"/>
  <c r="AE23" i="8" s="1"/>
  <c r="AE47" i="8"/>
  <c r="Z25" i="8"/>
  <c r="Z23" i="8" s="1"/>
  <c r="Z47" i="8"/>
  <c r="E47" i="8"/>
  <c r="E25" i="8"/>
  <c r="AA25" i="8"/>
  <c r="AA23" i="8" s="1"/>
  <c r="AA47" i="8"/>
  <c r="AC25" i="8"/>
  <c r="AC23" i="8" s="1"/>
  <c r="AC47" i="8"/>
  <c r="U102" i="8" l="1"/>
  <c r="U23" i="8"/>
  <c r="E102" i="8"/>
  <c r="E23" i="8"/>
  <c r="U97" i="8" l="1"/>
  <c r="U98" i="8"/>
  <c r="H76" i="9"/>
  <c r="V102" i="8"/>
  <c r="U101" i="8" a="1"/>
  <c r="U101" i="8" s="1"/>
  <c r="U100" i="8" a="1"/>
  <c r="U100" i="8" s="1"/>
  <c r="E97" i="8"/>
  <c r="E93" i="8" s="1"/>
  <c r="E98" i="8"/>
  <c r="E100" i="8" a="1"/>
  <c r="E100" i="8" s="1"/>
  <c r="E95" i="8" s="1"/>
  <c r="E101" i="8" a="1"/>
  <c r="E101" i="8" s="1"/>
  <c r="U99" i="8" l="1"/>
  <c r="U94" i="8" s="1"/>
  <c r="H74" i="9"/>
  <c r="U93" i="8"/>
  <c r="H73" i="9" s="1"/>
  <c r="H75" i="9"/>
  <c r="H78" i="9" s="1"/>
  <c r="U104" i="8"/>
  <c r="V97" i="8"/>
  <c r="V98" i="8"/>
  <c r="J76" i="9"/>
  <c r="W102" i="8"/>
  <c r="V101" i="8" a="1"/>
  <c r="V101" i="8" s="1"/>
  <c r="U96" i="8"/>
  <c r="V100" i="8" a="1"/>
  <c r="V100" i="8" s="1"/>
  <c r="U95" i="8"/>
  <c r="E96" i="8"/>
  <c r="E99" i="8"/>
  <c r="E94" i="8" s="1"/>
  <c r="V99" i="8" l="1"/>
  <c r="V94" i="8" s="1"/>
  <c r="J74" i="9"/>
  <c r="V93" i="8"/>
  <c r="J73" i="9" s="1"/>
  <c r="V104" i="8"/>
  <c r="J75" i="9"/>
  <c r="J78" i="9" s="1"/>
  <c r="X102" i="8"/>
  <c r="W97" i="8"/>
  <c r="W98" i="8"/>
  <c r="L76" i="9"/>
  <c r="W101" i="8" a="1"/>
  <c r="W101" i="8" s="1"/>
  <c r="V96" i="8"/>
  <c r="V95" i="8"/>
  <c r="W100" i="8" a="1"/>
  <c r="W100" i="8" s="1"/>
  <c r="W99" i="8" l="1"/>
  <c r="W94" i="8" s="1"/>
  <c r="X98" i="8"/>
  <c r="N76" i="9"/>
  <c r="X97" i="8"/>
  <c r="Y102" i="8"/>
  <c r="L74" i="9"/>
  <c r="W93" i="8"/>
  <c r="L73" i="9" s="1"/>
  <c r="W104" i="8"/>
  <c r="L75" i="9"/>
  <c r="L78" i="9" s="1"/>
  <c r="X101" i="8" a="1"/>
  <c r="X101" i="8" s="1"/>
  <c r="W96" i="8"/>
  <c r="W95" i="8"/>
  <c r="X100" i="8" a="1"/>
  <c r="X100" i="8" s="1"/>
  <c r="X99" i="8" l="1"/>
  <c r="X94" i="8" s="1"/>
  <c r="X104" i="8"/>
  <c r="N75" i="9"/>
  <c r="N78" i="9" s="1"/>
  <c r="X93" i="8"/>
  <c r="N73" i="9" s="1"/>
  <c r="N74" i="9"/>
  <c r="Z102" i="8"/>
  <c r="Y98" i="8"/>
  <c r="Y97" i="8"/>
  <c r="P76" i="9"/>
  <c r="Y101" i="8" a="1"/>
  <c r="Y101" i="8" s="1"/>
  <c r="X96" i="8"/>
  <c r="X95" i="8"/>
  <c r="Y100" i="8" a="1"/>
  <c r="Y100" i="8" s="1"/>
  <c r="Y99" i="8" l="1"/>
  <c r="Y94" i="8" s="1"/>
  <c r="AA102" i="8"/>
  <c r="Z97" i="8"/>
  <c r="R76" i="9"/>
  <c r="Z98" i="8"/>
  <c r="P75" i="9"/>
  <c r="P78" i="9" s="1"/>
  <c r="Y104" i="8"/>
  <c r="P74" i="9"/>
  <c r="Y93" i="8"/>
  <c r="P73" i="9" s="1"/>
  <c r="Z101" i="8" a="1"/>
  <c r="Z101" i="8" s="1"/>
  <c r="Y96" i="8"/>
  <c r="Y95" i="8"/>
  <c r="Z100" i="8" a="1"/>
  <c r="Z100" i="8" s="1"/>
  <c r="Z99" i="8" l="1"/>
  <c r="Z94" i="8" s="1"/>
  <c r="AB102" i="8"/>
  <c r="T76" i="9"/>
  <c r="AA97" i="8"/>
  <c r="AA98" i="8"/>
  <c r="R74" i="9"/>
  <c r="Z93" i="8"/>
  <c r="R73" i="9" s="1"/>
  <c r="R75" i="9"/>
  <c r="R78" i="9" s="1"/>
  <c r="Z104" i="8"/>
  <c r="AA101" i="8" a="1"/>
  <c r="AA101" i="8" s="1"/>
  <c r="Z96" i="8"/>
  <c r="AA100" i="8" a="1"/>
  <c r="AA100" i="8" s="1"/>
  <c r="Z95" i="8"/>
  <c r="AA99" i="8" l="1"/>
  <c r="AA94" i="8" s="1"/>
  <c r="V76" i="9"/>
  <c r="AB97" i="8"/>
  <c r="AB98" i="8"/>
  <c r="AC102" i="8"/>
  <c r="T74" i="9"/>
  <c r="AA93" i="8"/>
  <c r="T73" i="9" s="1"/>
  <c r="AA104" i="8"/>
  <c r="T75" i="9"/>
  <c r="T78" i="9" s="1"/>
  <c r="AB101" i="8" a="1"/>
  <c r="AB101" i="8" s="1"/>
  <c r="AA96" i="8"/>
  <c r="AA95" i="8"/>
  <c r="AB100" i="8" a="1"/>
  <c r="AB100" i="8" s="1"/>
  <c r="AB99" i="8" l="1"/>
  <c r="AB94" i="8" s="1"/>
  <c r="V74" i="9"/>
  <c r="AB93" i="8"/>
  <c r="V73" i="9" s="1"/>
  <c r="AB104" i="8"/>
  <c r="V75" i="9"/>
  <c r="V78" i="9" s="1"/>
  <c r="AC97" i="8"/>
  <c r="AC98" i="8"/>
  <c r="X76" i="9"/>
  <c r="AD102" i="8"/>
  <c r="AC101" i="8" a="1"/>
  <c r="AC101" i="8" s="1"/>
  <c r="AB96" i="8"/>
  <c r="AB95" i="8"/>
  <c r="AC100" i="8" a="1"/>
  <c r="AC100" i="8" s="1"/>
  <c r="AC99" i="8" l="1"/>
  <c r="AC94" i="8" s="1"/>
  <c r="AC93" i="8"/>
  <c r="X73" i="9" s="1"/>
  <c r="X74" i="9"/>
  <c r="X75" i="9"/>
  <c r="X78" i="9" s="1"/>
  <c r="AC104" i="8"/>
  <c r="AD97" i="8"/>
  <c r="AD98" i="8"/>
  <c r="Z76" i="9"/>
  <c r="AE102" i="8"/>
  <c r="AC96" i="8"/>
  <c r="AD101" i="8" a="1"/>
  <c r="AD101" i="8" s="1"/>
  <c r="AC95" i="8"/>
  <c r="AD100" i="8" a="1"/>
  <c r="AD100" i="8" s="1"/>
  <c r="AD99" i="8" l="1"/>
  <c r="AD94" i="8" s="1"/>
  <c r="AD93" i="8"/>
  <c r="Z73" i="9" s="1"/>
  <c r="Z74" i="9"/>
  <c r="AD104" i="8"/>
  <c r="Z75" i="9"/>
  <c r="Z78" i="9" s="1"/>
  <c r="AB76" i="9"/>
  <c r="AF102" i="8"/>
  <c r="AE98" i="8"/>
  <c r="AE97" i="8"/>
  <c r="AE101" i="8" a="1"/>
  <c r="AE101" i="8" s="1"/>
  <c r="AD96" i="8"/>
  <c r="AD95" i="8"/>
  <c r="AE100" i="8" a="1"/>
  <c r="AE100" i="8" s="1"/>
  <c r="AE99" i="8" l="1"/>
  <c r="AE94" i="8" s="1"/>
  <c r="AF97" i="8"/>
  <c r="AF98" i="8"/>
  <c r="B6" i="9"/>
  <c r="M13" i="9" s="1"/>
  <c r="AD76" i="9"/>
  <c r="K10" i="8"/>
  <c r="AB75" i="9"/>
  <c r="AB78" i="9" s="1"/>
  <c r="AE104" i="8"/>
  <c r="AB74" i="9"/>
  <c r="AE93" i="8"/>
  <c r="AB73" i="9" s="1"/>
  <c r="AE96" i="8"/>
  <c r="AF101" i="8" a="1"/>
  <c r="AF101" i="8" s="1"/>
  <c r="AF100" i="8" a="1"/>
  <c r="AF100" i="8" s="1"/>
  <c r="AF95" i="8" s="1"/>
  <c r="AE95" i="8"/>
  <c r="AF93" i="8" l="1"/>
  <c r="AD73" i="9" s="1"/>
  <c r="AD74" i="9"/>
  <c r="AD75" i="9"/>
  <c r="AD78" i="9" s="1"/>
  <c r="G78" i="9" s="1"/>
  <c r="AF104" i="8"/>
  <c r="T104" i="8" s="1"/>
  <c r="F11" i="8" a="1"/>
  <c r="F11" i="8" s="1"/>
  <c r="AF96" i="8"/>
  <c r="AF99" i="8"/>
  <c r="AF9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<sst xmlns="http://schemas.openxmlformats.org/spreadsheetml/2006/main" count="2166" uniqueCount="1070">
  <si>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</si>
  <si>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</si>
  <si>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</si>
  <si>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</si>
  <si>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</si>
  <si>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</si>
  <si>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</si>
  <si>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</si>
  <si>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</si>
  <si>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</si>
  <si>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</si>
  <si>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</si>
  <si>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</si>
  <si>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</si>
  <si>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</si>
  <si>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</si>
  <si>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</si>
  <si>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</si>
  <si>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</si>
  <si>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</si>
  <si>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</si>
  <si>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</si>
  <si>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</si>
  <si>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</si>
  <si>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</si>
  <si>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</si>
  <si>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</si>
  <si>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</si>
  <si>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</si>
  <si>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</si>
  <si>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</si>
  <si>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</si>
  <si>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</si>
  <si>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</si>
  <si>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</si>
  <si>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</si>
  <si>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</si>
  <si>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</si>
  <si>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</si>
  <si>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</si>
  <si>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</si>
  <si>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</si>
  <si>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</si>
  <si>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</si>
  <si>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</si>
  <si>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</si>
  <si>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</si>
  <si>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</si>
  <si>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</si>
  <si>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</si>
  <si>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</si>
  <si>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</si>
  <si>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</si>
  <si>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</si>
  <si>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</si>
  <si>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</si>
  <si>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</si>
  <si>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</si>
  <si>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</si>
  <si>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</si>
  <si>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</si>
  <si>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</si>
  <si>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</si>
  <si>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</si>
  <si>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</si>
  <si>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</si>
  <si>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</si>
  <si>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</si>
  <si>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</si>
  <si>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</si>
  <si>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</si>
  <si>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</si>
  <si>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</si>
  <si>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</si>
  <si>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</si>
  <si>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</si>
  <si>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</si>
  <si>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</si>
  <si>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</si>
  <si>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</si>
  <si>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</si>
  <si>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</si>
  <si>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</si>
  <si>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</si>
  <si>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</si>
  <si>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</si>
  <si>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</si>
  <si>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</si>
  <si>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</si>
  <si>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</si>
  <si>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</si>
  <si>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</si>
  <si>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</si>
  <si>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</si>
  <si>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</si>
  <si>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</si>
  <si>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</si>
  <si>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</si>
  <si>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</si>
  <si>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</si>
  <si>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</si>
  <si>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</si>
  <si>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</si>
  <si>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</si>
  <si>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</si>
  <si>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</si>
  <si>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</si>
  <si>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</si>
  <si>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</si>
  <si>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</si>
  <si>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</si>
  <si>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</si>
  <si>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</si>
  <si>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</si>
  <si>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</si>
  <si>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</si>
  <si>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</si>
  <si>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</si>
  <si>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</si>
  <si>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</si>
  <si>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</si>
  <si>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</si>
  <si>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</si>
  <si>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</si>
  <si>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</si>
  <si>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</si>
  <si>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</si>
  <si>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</si>
  <si>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</si>
  <si>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</si>
  <si>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</si>
  <si>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</si>
  <si>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</si>
  <si>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</si>
  <si>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</si>
  <si>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</si>
  <si>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</si>
  <si>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</si>
  <si>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</si>
  <si>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</si>
  <si>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</si>
  <si>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</si>
  <si>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</si>
  <si>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</si>
  <si>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</si>
  <si>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</si>
  <si>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</si>
  <si>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</si>
  <si>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</si>
  <si>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</si>
  <si>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</si>
  <si>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</si>
  <si>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</si>
  <si>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</si>
  <si>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</si>
  <si>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</si>
  <si>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</si>
  <si>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</si>
  <si>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</si>
  <si>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</si>
  <si>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</si>
  <si>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</si>
  <si>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</si>
  <si>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</si>
  <si>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</si>
  <si>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</si>
  <si>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</si>
  <si>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</si>
  <si>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</si>
  <si>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</si>
  <si>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</si>
  <si>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</si>
  <si>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</si>
  <si>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</si>
  <si>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</si>
  <si>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</si>
  <si>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</si>
  <si>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</si>
  <si>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</si>
  <si>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</si>
  <si>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</si>
  <si>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</si>
  <si>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</si>
  <si>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</si>
  <si>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</si>
  <si>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</si>
  <si>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</si>
  <si>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</si>
  <si>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</si>
  <si>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</si>
  <si>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</si>
  <si>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</si>
  <si>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</si>
  <si>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</si>
  <si>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</si>
  <si>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</si>
  <si>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</si>
  <si>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</si>
  <si>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</si>
  <si>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</si>
  <si>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</si>
  <si>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</si>
  <si>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</si>
  <si>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</si>
  <si>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</si>
  <si>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</si>
  <si>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</si>
  <si>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</si>
  <si>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</si>
  <si>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</si>
  <si>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</si>
  <si>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</si>
  <si>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</si>
  <si>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</si>
  <si>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</si>
  <si>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</si>
  <si>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</si>
  <si>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</si>
  <si>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</si>
  <si>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</si>
  <si>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</si>
  <si>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</si>
  <si>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</si>
  <si>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</si>
  <si>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</si>
  <si>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</si>
  <si>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</si>
  <si>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</si>
  <si>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</si>
  <si>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</si>
  <si>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</si>
  <si>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</si>
  <si>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</si>
  <si>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</si>
  <si>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</si>
  <si>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</si>
  <si>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</si>
  <si>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</si>
  <si>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</si>
  <si>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</si>
  <si>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</si>
  <si>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</si>
  <si>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</si>
  <si>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</si>
  <si>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</si>
  <si>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</si>
  <si>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</si>
  <si>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</si>
  <si>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</si>
  <si>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</si>
  <si>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</si>
  <si>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</si>
  <si>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</si>
  <si>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</si>
  <si>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</si>
  <si>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</si>
  <si>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</si>
  <si>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</si>
  <si>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</si>
  <si>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</si>
  <si>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</si>
  <si>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</si>
  <si>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</si>
  <si>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</si>
  <si>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</si>
  <si>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</si>
  <si>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</si>
  <si>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</si>
  <si>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</si>
  <si>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</si>
  <si>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</si>
  <si>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</si>
  <si>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</si>
  <si>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</si>
  <si>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</si>
  <si>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</si>
  <si>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</si>
  <si>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</si>
  <si>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</si>
  <si>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</si>
  <si>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</si>
  <si>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</si>
  <si>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</si>
  <si>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</si>
  <si>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</si>
  <si>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Filtro</t>
  </si>
  <si>
    <t>Título dos Eventos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</si>
  <si>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</si>
  <si>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</si>
  <si>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</si>
  <si>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</si>
  <si>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</si>
  <si>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</si>
  <si>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</si>
  <si>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</si>
  <si>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</si>
  <si>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</si>
  <si>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</si>
  <si>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</si>
  <si>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</si>
  <si>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</si>
  <si>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</si>
  <si>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</si>
  <si>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</si>
  <si>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</si>
  <si>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</si>
  <si>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</si>
  <si>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</si>
  <si>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</si>
  <si>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</si>
  <si>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</si>
  <si>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</si>
  <si>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</si>
  <si>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</si>
  <si>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</si>
  <si>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</si>
  <si>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</si>
  <si>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</si>
  <si>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</si>
  <si>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</si>
  <si>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</si>
  <si>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</si>
  <si>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</si>
  <si>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</si>
  <si>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</si>
  <si>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</si>
  <si>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</si>
  <si>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</si>
  <si>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</si>
  <si>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</si>
  <si>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</si>
  <si>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</si>
  <si>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</si>
  <si>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</si>
  <si>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</si>
  <si>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</si>
  <si>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</si>
  <si>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</si>
  <si>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</si>
  <si>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</si>
  <si>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</si>
  <si>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</si>
  <si>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</si>
  <si>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</si>
  <si>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</si>
  <si>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</si>
  <si>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</si>
  <si>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</si>
  <si>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</si>
  <si>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</si>
  <si>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</si>
  <si>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</si>
  <si>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</si>
  <si>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</si>
  <si>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</si>
  <si>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</si>
  <si>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</si>
  <si>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</si>
  <si>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</si>
  <si>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</si>
  <si>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</si>
  <si>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</si>
  <si>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</si>
  <si>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</si>
  <si>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</si>
  <si>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</si>
  <si>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</si>
  <si>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</si>
  <si>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</si>
  <si>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</si>
  <si>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</si>
  <si>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</si>
  <si>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</si>
  <si>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</si>
  <si>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</si>
  <si>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</si>
  <si>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</si>
  <si>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</si>
  <si>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</si>
  <si>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</si>
  <si>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</si>
  <si>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</si>
  <si>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</si>
  <si>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</si>
  <si>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</si>
  <si>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</si>
  <si>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</si>
  <si>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</si>
  <si>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</si>
  <si>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</si>
  <si>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</si>
  <si>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</si>
  <si>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</si>
  <si>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</si>
  <si>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</si>
  <si>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</si>
  <si>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</si>
  <si>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</si>
  <si>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</si>
  <si>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PO</t>
  </si>
  <si>
    <t>Preço Unitário Edital (R$)</t>
  </si>
  <si>
    <t>Ajustes de formatações.</t>
  </si>
  <si>
    <t>Correção da aplicação do BDI não desonerado.</t>
  </si>
  <si>
    <t>Inclusão de coluna exclusiva "Preço Unitário Edital", para o Modo 'Orçamento Licitado'.</t>
  </si>
  <si>
    <t>Custo Unitário Referência (R$)</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</si>
  <si>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</si>
  <si>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</si>
  <si>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</si>
  <si>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</si>
  <si>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</si>
  <si>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</si>
  <si>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</si>
  <si>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</si>
  <si>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</si>
  <si>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CÁLCULO</t>
  </si>
  <si>
    <t>Corrigida lentidão e travamento ao incluir e excluir frentes.</t>
  </si>
  <si>
    <t>Correção da CPRB que exibia 4,5% mesmo quando não desonerado.</t>
  </si>
  <si>
    <t>Correção da distribuição de Repasse, CP e Outros para as metas manuais.</t>
  </si>
  <si>
    <t>Adicionado botão para adotar a CP do QCI como CP do contrato (zera saldo a reprogramar de CP).</t>
  </si>
  <si>
    <t>Corrigido modo de Cálculo da Planilha para Automático.</t>
  </si>
  <si>
    <t>Arredondamento das frentes:</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</si>
  <si>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</si>
  <si>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</si>
  <si>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</si>
  <si>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</si>
  <si>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</si>
  <si>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</si>
  <si>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</si>
  <si>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</si>
  <si>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</si>
  <si>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</si>
  <si>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</si>
  <si>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</si>
  <si>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</si>
  <si>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</si>
  <si>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</si>
  <si>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</si>
  <si>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</si>
  <si>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</si>
  <si>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</si>
  <si>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</si>
  <si>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</si>
  <si>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</si>
  <si>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</si>
  <si>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</si>
  <si>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</si>
  <si>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</si>
  <si>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</si>
  <si>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</si>
  <si>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</si>
  <si>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</si>
  <si>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</si>
  <si>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</si>
  <si>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</si>
  <si>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</si>
  <si>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</si>
  <si>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</si>
  <si>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Acrescentados botões de navegação (cor azul claro) em várias abas. Em relação a esses botões, também foram ajustados os links, nomes e formatação.</t>
  </si>
  <si>
    <t>Alterada a posição da aba NOVO para antes da aba MENU.</t>
  </si>
  <si>
    <t>Correção na fórmula da data, para replicar a “Data de fechamento do RRE” na aba DADOS.</t>
  </si>
  <si>
    <t>Atualizada a macro de Importação para incluir a importar da coluna "Nº Agrupador de Eventos" da aba CÁLCULO.</t>
  </si>
  <si>
    <t>Atualizada a macro de Imprimir Documentos (para englobar as abas EVENTOS e CRONOPLE).</t>
  </si>
  <si>
    <t>V3.08</t>
  </si>
  <si>
    <t>V3.07</t>
  </si>
  <si>
    <t>V3.06</t>
  </si>
  <si>
    <t>V3.05</t>
  </si>
  <si>
    <t>V3.04</t>
  </si>
  <si>
    <t>V3.03</t>
  </si>
  <si>
    <t>V3.02</t>
  </si>
  <si>
    <t>V3.01</t>
  </si>
  <si>
    <t>V3.00</t>
  </si>
  <si>
    <t>CRONO</t>
  </si>
  <si>
    <t>Ajustada a fórmula do % acumulado a partir da parcela 13 (para manter o padrão da fórmula das parcelas 1 a 12).</t>
  </si>
  <si>
    <t>Corrigida a fórmula do % no quadro "Percentual previsto em:". Que estava limitada a buscar o % previsto até a parcela 12.</t>
  </si>
  <si>
    <t>v3.08</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</si>
  <si>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</si>
  <si>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</si>
  <si>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</si>
  <si>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</si>
  <si>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</si>
  <si>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</si>
  <si>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</si>
  <si>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</si>
  <si>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</si>
  <si>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</si>
  <si>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</si>
  <si>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</si>
  <si>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</si>
  <si>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</si>
  <si>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</si>
  <si>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</si>
  <si>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Macrosserviço</t>
  </si>
  <si>
    <t>UN</t>
  </si>
  <si>
    <t>M</t>
  </si>
  <si>
    <t>Total:</t>
  </si>
  <si>
    <t>N° do Evento</t>
  </si>
  <si>
    <t>N° da Frente de Obra</t>
  </si>
  <si>
    <t>N° do Período de Conclusão do Evento</t>
  </si>
  <si>
    <t>Número</t>
  </si>
  <si>
    <t>Percentual Parcela</t>
  </si>
  <si>
    <t>MÊS</t>
  </si>
  <si>
    <t>M2</t>
  </si>
  <si>
    <t>UNIDADE</t>
  </si>
  <si>
    <t>M3</t>
  </si>
  <si>
    <t>M3XKM</t>
  </si>
  <si>
    <t>Unidades válidas no Tgov</t>
  </si>
  <si>
    <t>Sigla</t>
  </si>
  <si>
    <t>METRO QUADRADO</t>
  </si>
  <si>
    <t>METRO</t>
  </si>
  <si>
    <t>METRO CÚBICO</t>
  </si>
  <si>
    <t>KG</t>
  </si>
  <si>
    <t>QUILOGRAMA</t>
  </si>
  <si>
    <t>TXKM</t>
  </si>
  <si>
    <t>T</t>
  </si>
  <si>
    <t>TONELADA</t>
  </si>
  <si>
    <t>MES</t>
  </si>
  <si>
    <t>H</t>
  </si>
  <si>
    <t>HORA</t>
  </si>
  <si>
    <t>MESES</t>
  </si>
  <si>
    <t>MÊS/MESES</t>
  </si>
  <si>
    <t>CJ</t>
  </si>
  <si>
    <t>CONJUNTO</t>
  </si>
  <si>
    <t>KM</t>
  </si>
  <si>
    <t>QUILOMETRO</t>
  </si>
  <si>
    <t>PC</t>
  </si>
  <si>
    <t>PEÇA</t>
  </si>
  <si>
    <t>CHP</t>
  </si>
  <si>
    <t>PAR</t>
  </si>
  <si>
    <t>OUTRAS</t>
  </si>
  <si>
    <t>DM3</t>
  </si>
  <si>
    <t>DECIMETRO CUBICO</t>
  </si>
  <si>
    <t>DIA</t>
  </si>
  <si>
    <t>100M</t>
  </si>
  <si>
    <t>100 METROS</t>
  </si>
  <si>
    <t>18L</t>
  </si>
  <si>
    <t>18 LITROS</t>
  </si>
  <si>
    <t>200KG</t>
  </si>
  <si>
    <t>200 QUILOS</t>
  </si>
  <si>
    <t>250G</t>
  </si>
  <si>
    <t>250 GRAMAS</t>
  </si>
  <si>
    <t>310ML</t>
  </si>
  <si>
    <t>310 MILILITROS</t>
  </si>
  <si>
    <t>50KG</t>
  </si>
  <si>
    <t>50 QUILOS</t>
  </si>
  <si>
    <t>A</t>
  </si>
  <si>
    <t>AMPÈRE</t>
  </si>
  <si>
    <t>ACA/ACC</t>
  </si>
  <si>
    <t>A.CORR.ALTERN/CONT.</t>
  </si>
  <si>
    <t>AH</t>
  </si>
  <si>
    <t>AMPÈRE HORA</t>
  </si>
  <si>
    <t>AH/H/V</t>
  </si>
  <si>
    <t>AMPÉRE-H/H/VOLT</t>
  </si>
  <si>
    <t>AM</t>
  </si>
  <si>
    <t>AMPOLA</t>
  </si>
  <si>
    <t>AM0/4ML</t>
  </si>
  <si>
    <t>AMPOLA COM 0,4 Ml</t>
  </si>
  <si>
    <t>AM0/5ML</t>
  </si>
  <si>
    <t>AMPOLA COM 0,5 mL</t>
  </si>
  <si>
    <t>AM10ML</t>
  </si>
  <si>
    <t>AMPOLA COM 10 mL</t>
  </si>
  <si>
    <t>AM1/5ML</t>
  </si>
  <si>
    <t>AMPOLA COM 1,5 mL</t>
  </si>
  <si>
    <t>AM1ML</t>
  </si>
  <si>
    <t>AMPOLA COM 1 mL</t>
  </si>
  <si>
    <t>AM2/5ML</t>
  </si>
  <si>
    <t>AMPOLA COM 2,5 mL</t>
  </si>
  <si>
    <t>AM2ML</t>
  </si>
  <si>
    <t>AMPOLA COM 2 mL</t>
  </si>
  <si>
    <t>AM3ML</t>
  </si>
  <si>
    <t>AMPOLA COM 3 mL</t>
  </si>
  <si>
    <t>AM4ML</t>
  </si>
  <si>
    <t>AMPOLA COM 4 mL</t>
  </si>
  <si>
    <t>AM5ML</t>
  </si>
  <si>
    <t>AMPOLA COM 5 mL</t>
  </si>
  <si>
    <t>AM6ML</t>
  </si>
  <si>
    <t>AMPOLA COM 6 mL</t>
  </si>
  <si>
    <t>AM7ML</t>
  </si>
  <si>
    <t>AMPOLA COM 7 mL</t>
  </si>
  <si>
    <t>ANO</t>
  </si>
  <si>
    <t>ANO/ANOS</t>
  </si>
  <si>
    <t>ANOS</t>
  </si>
  <si>
    <t>ARR</t>
  </si>
  <si>
    <t>ARROBA</t>
  </si>
  <si>
    <t>AWG</t>
  </si>
  <si>
    <t>AMERICAN WIRE GAUGE</t>
  </si>
  <si>
    <t>BAR</t>
  </si>
  <si>
    <t>BARRIL</t>
  </si>
  <si>
    <t>BAR.</t>
  </si>
  <si>
    <t>BD</t>
  </si>
  <si>
    <t>BALDE</t>
  </si>
  <si>
    <t>BIS</t>
  </si>
  <si>
    <t>BISNAGA</t>
  </si>
  <si>
    <t>BIS100G</t>
  </si>
  <si>
    <t>BISNAGA COM 100 g</t>
  </si>
  <si>
    <t>BIS10G</t>
  </si>
  <si>
    <t>BISNAGA COM 10 g</t>
  </si>
  <si>
    <t>BIS135G</t>
  </si>
  <si>
    <t>BISNAGA COM 135 g</t>
  </si>
  <si>
    <t>BIS13G</t>
  </si>
  <si>
    <t>BISNAGA COM 13 g</t>
  </si>
  <si>
    <t>BIS14G</t>
  </si>
  <si>
    <t>BISNAGA COM 14 g</t>
  </si>
  <si>
    <t>BIS15G</t>
  </si>
  <si>
    <t>BISNAGA COM 15 g</t>
  </si>
  <si>
    <t>BIS1/65G</t>
  </si>
  <si>
    <t>BISNAGA COM 1,65 g</t>
  </si>
  <si>
    <t>BIS1/8G</t>
  </si>
  <si>
    <t>BISNAGA COM 1,8 g</t>
  </si>
  <si>
    <t>BIS1G</t>
  </si>
  <si>
    <t>BISNAGA COM 1 g</t>
  </si>
  <si>
    <t>BIS20G</t>
  </si>
  <si>
    <t>BISNAGA COM 20 g</t>
  </si>
  <si>
    <t>BIS25G</t>
  </si>
  <si>
    <t>BISNAGA COM 25 g</t>
  </si>
  <si>
    <t>BIS28/8G</t>
  </si>
  <si>
    <t>BISNAGA COM 28,8 g</t>
  </si>
  <si>
    <t>BIS28G</t>
  </si>
  <si>
    <t>BISNAGA COM 28 g</t>
  </si>
  <si>
    <t>BIS2G</t>
  </si>
  <si>
    <t>BISNAGA COM 2 g</t>
  </si>
  <si>
    <t>BIS30G</t>
  </si>
  <si>
    <t>BISNAGA COM 30 g</t>
  </si>
  <si>
    <t>BIS30ML</t>
  </si>
  <si>
    <t>BISNAGA COM 30 mL</t>
  </si>
  <si>
    <t>BIS3/5G</t>
  </si>
  <si>
    <t>BISNAGA COM 3,5 g</t>
  </si>
  <si>
    <t>BIS40G</t>
  </si>
  <si>
    <t>BISNAGA COM 40 g</t>
  </si>
  <si>
    <t>BIS43G</t>
  </si>
  <si>
    <t>BISNAGA COM 43 g</t>
  </si>
  <si>
    <t>BIS45G</t>
  </si>
  <si>
    <t>BISNAGA COM 45 g</t>
  </si>
  <si>
    <t>BIS47G</t>
  </si>
  <si>
    <t>BISNAGA COM 47 g</t>
  </si>
  <si>
    <t>BIS4G</t>
  </si>
  <si>
    <t>BISNAGA COM 4 g</t>
  </si>
  <si>
    <t>BIS50G</t>
  </si>
  <si>
    <t>BISNAGA COM 50 g</t>
  </si>
  <si>
    <t>BIS55G</t>
  </si>
  <si>
    <t>BISNAGA COM 55 g</t>
  </si>
  <si>
    <t>BIS56G</t>
  </si>
  <si>
    <t>BISNAGA COM 56 g</t>
  </si>
  <si>
    <t>BIS5G</t>
  </si>
  <si>
    <t>BISNAGA COM 5 g</t>
  </si>
  <si>
    <t>BIS60G</t>
  </si>
  <si>
    <t>BISNAGA COM 60 g</t>
  </si>
  <si>
    <t>BIS6G</t>
  </si>
  <si>
    <t>BISNAGA COM 6 g</t>
  </si>
  <si>
    <t>BIS70G</t>
  </si>
  <si>
    <t>BISNAGA COM 70 g</t>
  </si>
  <si>
    <t>BIS7/5G</t>
  </si>
  <si>
    <t>BISNAGA COM 7,5 g</t>
  </si>
  <si>
    <t>BIS80G</t>
  </si>
  <si>
    <t>BISNAGA COM 80 g</t>
  </si>
  <si>
    <t>BIS90G</t>
  </si>
  <si>
    <t>BISNAGA COM 90 g</t>
  </si>
  <si>
    <t>BIS/GL</t>
  </si>
  <si>
    <t>BISNAGA POR GALÃO</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</si>
  <si>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</si>
  <si>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</si>
  <si>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</si>
  <si>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</si>
  <si>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</si>
  <si>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</si>
  <si>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</si>
  <si>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</si>
  <si>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</si>
  <si>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</si>
  <si>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</si>
  <si>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</si>
  <si>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</si>
  <si>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</si>
  <si>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</si>
  <si>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</si>
  <si>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</si>
  <si>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</si>
  <si>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</si>
  <si>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</si>
  <si>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</si>
  <si>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</si>
  <si>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</si>
  <si>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</si>
  <si>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</si>
  <si>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</si>
  <si>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</si>
  <si>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</si>
  <si>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</si>
  <si>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</si>
  <si>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</si>
  <si>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</si>
  <si>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</si>
  <si>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</si>
  <si>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t>
  </si>
  <si>
    <t>GRAU CELSIUS</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</si>
  <si>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</si>
  <si>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</si>
  <si>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</si>
  <si>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</si>
  <si>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</si>
  <si>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</si>
  <si>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</si>
  <si>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</si>
  <si>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</si>
  <si>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</si>
  <si>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</si>
  <si>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</si>
  <si>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</si>
  <si>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</si>
  <si>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</si>
  <si>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</si>
  <si>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</si>
  <si>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</si>
  <si>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</si>
  <si>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</si>
  <si>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</si>
  <si>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</si>
  <si>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CI</t>
  </si>
  <si>
    <t>CURIE</t>
  </si>
  <si>
    <t>CIL</t>
  </si>
  <si>
    <t>CILINDRO</t>
  </si>
  <si>
    <t>CIN</t>
  </si>
  <si>
    <t>CINQUENTA</t>
  </si>
  <si>
    <t>CL</t>
  </si>
  <si>
    <t>CENTILITRO</t>
  </si>
  <si>
    <t>CM</t>
  </si>
  <si>
    <t>CENTÍMETRO</t>
  </si>
  <si>
    <t>CM2</t>
  </si>
  <si>
    <t>CENTIMETRO QUADRADO</t>
  </si>
  <si>
    <t>CM2/H</t>
  </si>
  <si>
    <t>CENT.QUAD/HORA</t>
  </si>
  <si>
    <t>CM2/M</t>
  </si>
  <si>
    <t>CENT.QUADRADO/METRO</t>
  </si>
  <si>
    <t>CM3</t>
  </si>
  <si>
    <t>CENTÍMETRO CÚBICO</t>
  </si>
  <si>
    <t>CM³/H</t>
  </si>
  <si>
    <t>CENT.CÚBICO POR HORA</t>
  </si>
  <si>
    <t>CM³/MIN</t>
  </si>
  <si>
    <t>CM³/MINUTO</t>
  </si>
  <si>
    <t>CM/POL</t>
  </si>
  <si>
    <t>CENTÍMETRO/POLEGADA</t>
  </si>
  <si>
    <t>CNT</t>
  </si>
  <si>
    <t>RECIPIENTE</t>
  </si>
  <si>
    <t>CO</t>
  </si>
  <si>
    <t>CONTEINER</t>
  </si>
  <si>
    <t>COL</t>
  </si>
  <si>
    <t>COLEÇÃO</t>
  </si>
  <si>
    <t>COMP</t>
  </si>
  <si>
    <t>COMPRIMENTO</t>
  </si>
  <si>
    <t>COMPR</t>
  </si>
  <si>
    <t>COMPRIMIDO</t>
  </si>
  <si>
    <t>CÓPIA</t>
  </si>
  <si>
    <t>COPO</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</si>
  <si>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</si>
  <si>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</si>
  <si>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</si>
  <si>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</si>
  <si>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</si>
  <si>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</si>
  <si>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</si>
  <si>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</si>
  <si>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</si>
  <si>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</si>
  <si>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</si>
  <si>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</si>
  <si>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</si>
  <si>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</si>
  <si>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</si>
  <si>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</si>
  <si>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</si>
  <si>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</si>
  <si>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</si>
  <si>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</si>
  <si>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</si>
  <si>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</si>
  <si>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</si>
  <si>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</si>
  <si>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</si>
  <si>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</si>
  <si>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</si>
  <si>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</si>
  <si>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</si>
  <si>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</si>
  <si>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</si>
  <si>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</si>
  <si>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</si>
  <si>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</si>
  <si>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</si>
  <si>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</si>
  <si>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</si>
  <si>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</si>
  <si>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</si>
  <si>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</si>
  <si>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</si>
  <si>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</si>
  <si>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</si>
  <si>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</si>
  <si>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</si>
  <si>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</si>
  <si>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</si>
  <si>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</si>
  <si>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</si>
  <si>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</si>
  <si>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</si>
  <si>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</si>
  <si>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</si>
  <si>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</si>
  <si>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</si>
  <si>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</si>
  <si>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</si>
  <si>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</si>
  <si>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</si>
  <si>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</si>
  <si>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</si>
  <si>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</si>
  <si>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</si>
  <si>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</si>
  <si>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</si>
  <si>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</si>
  <si>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</si>
  <si>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</si>
  <si>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</si>
  <si>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</si>
  <si>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</si>
  <si>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</si>
  <si>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</si>
  <si>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</si>
  <si>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</si>
  <si>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</si>
  <si>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FARAD</t>
  </si>
  <si>
    <t>°F</t>
  </si>
  <si>
    <t>GRAU FAHRENHEIT</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</si>
  <si>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</si>
  <si>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</si>
  <si>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</si>
  <si>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</si>
  <si>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</si>
  <si>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</si>
  <si>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</si>
  <si>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</si>
  <si>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</si>
  <si>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</si>
  <si>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</si>
  <si>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</si>
  <si>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</si>
  <si>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</si>
  <si>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</si>
  <si>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</si>
  <si>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</si>
  <si>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</si>
  <si>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</si>
  <si>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</si>
  <si>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</si>
  <si>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</si>
  <si>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</si>
  <si>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</si>
  <si>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</si>
  <si>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</si>
  <si>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</si>
  <si>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</si>
  <si>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</si>
  <si>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</si>
  <si>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</si>
  <si>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</si>
  <si>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</si>
  <si>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</si>
  <si>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</si>
  <si>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</si>
  <si>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</si>
  <si>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</si>
  <si>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</si>
  <si>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</si>
  <si>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</si>
  <si>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</si>
  <si>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</si>
  <si>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</si>
  <si>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</si>
  <si>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</si>
  <si>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</si>
  <si>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</si>
  <si>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</si>
  <si>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</si>
  <si>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</si>
  <si>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</si>
  <si>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</si>
  <si>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</si>
  <si>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</si>
  <si>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</si>
  <si>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</si>
  <si>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</si>
  <si>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</si>
  <si>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</si>
  <si>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</si>
  <si>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</si>
  <si>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</si>
  <si>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</si>
  <si>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</si>
  <si>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</si>
  <si>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</si>
  <si>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</si>
  <si>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</si>
  <si>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</si>
  <si>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</si>
  <si>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</si>
  <si>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</si>
  <si>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</si>
  <si>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</si>
  <si>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</si>
  <si>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</si>
  <si>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Incluídos botões de navegação para os formulários de BDI (BDI 1, BDI 2, BDI 3).</t>
  </si>
  <si>
    <t/>
  </si>
  <si>
    <t>Administração Local:</t>
  </si>
  <si>
    <t>Administração Local</t>
  </si>
  <si>
    <t>TransfereGOV</t>
  </si>
  <si>
    <t>Linha Adm. L.</t>
  </si>
  <si>
    <t>OK</t>
  </si>
  <si>
    <t>Incluídos alertas de erro de preenchimento em todas as abas.</t>
  </si>
  <si>
    <t>Não é mais possível deixar Eventos em branco (sem nome ou sem valor).</t>
  </si>
  <si>
    <t>Não é mais possível deixar Frentes de Obra em branco (sem nome ou sem quantidades).</t>
  </si>
  <si>
    <t>Incluída linha com o percentual acumulado da Administração Local em cada período.</t>
  </si>
  <si>
    <t>Incluído campo para selecionar o Macrosserviço referente à Administração Local (acompanhamento por BM).</t>
  </si>
  <si>
    <t>Incluído campo para selecionar o Título do Evento referente à Administração Local (acompanhamento por PLE).</t>
  </si>
  <si>
    <t>Incluída linha com o percentual acumulado da Administração Local em cada parcela.</t>
  </si>
  <si>
    <t>Incluída linha com o percentual acumulado da Administração Local em cada medição.</t>
  </si>
  <si>
    <t>Incluído campo com o percentual medido acumulado da Administração Local.</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</si>
  <si>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</si>
  <si>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</si>
  <si>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Incluído botão de macro para gerar arquivo (em xlsx) para upload da PO e CFF no TransfereGOV.</t>
  </si>
  <si>
    <t>Lista Macrosserviços</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</si>
  <si>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</si>
  <si>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Automática, conforme os agrupadores Nível 2 do Orçamento</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</si>
  <si>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</si>
  <si>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OGU</t>
  </si>
  <si>
    <t>PREFEITURA MUNICIPAL DE SARANDI/RS</t>
  </si>
  <si>
    <t>SARANDI/RS</t>
  </si>
  <si>
    <t>0</t>
  </si>
  <si>
    <t>PAVILHÃO COMUNITÁRIO COMUNIDADE ÁREA 10</t>
  </si>
  <si>
    <t>DESONERADO</t>
  </si>
  <si>
    <t>PREFEITO MUNICIPAL</t>
  </si>
  <si>
    <t>EMPREITADA POR PREÇO GLOBAL</t>
  </si>
  <si>
    <t>Composição</t>
  </si>
  <si>
    <t>COMP-01</t>
  </si>
  <si>
    <t>97622</t>
  </si>
  <si>
    <t>COMP-02</t>
  </si>
  <si>
    <t>COMP-03</t>
  </si>
  <si>
    <t>92413</t>
  </si>
  <si>
    <t>103669</t>
  </si>
  <si>
    <t>92919</t>
  </si>
  <si>
    <t>92915</t>
  </si>
  <si>
    <t>102476</t>
  </si>
  <si>
    <t>92762</t>
  </si>
  <si>
    <t>92759</t>
  </si>
  <si>
    <t>103672</t>
  </si>
  <si>
    <t>92471</t>
  </si>
  <si>
    <t>97113</t>
  </si>
  <si>
    <t>98557</t>
  </si>
  <si>
    <t>SINAPI-I</t>
  </si>
  <si>
    <t>92543</t>
  </si>
  <si>
    <t>94231</t>
  </si>
  <si>
    <t>94227</t>
  </si>
  <si>
    <t>89848</t>
  </si>
  <si>
    <t>REFORMA E AMPLIAÇÃO DE PAVILHÃO</t>
  </si>
  <si>
    <t>ESTRUTURA METÁLICA - PILARES</t>
  </si>
  <si>
    <t>CONSTRUÇÃO DA CHURRASQUEIRA</t>
  </si>
  <si>
    <t>FUNDAÇÕES</t>
  </si>
  <si>
    <t>CONCRETO ARMADO - PILARES</t>
  </si>
  <si>
    <t>CONCRETO ARMADO - VIGAS SUPERIORES</t>
  </si>
  <si>
    <t>103355</t>
  </si>
  <si>
    <t>102491</t>
  </si>
  <si>
    <t xml:space="preserve">SERVIÇOS PRELIMINARES </t>
  </si>
  <si>
    <t>103689</t>
  </si>
  <si>
    <t>4,5</t>
  </si>
  <si>
    <t>99059</t>
  </si>
  <si>
    <t xml:space="preserve">PAREDES </t>
  </si>
  <si>
    <t>87904</t>
  </si>
  <si>
    <t>7,5*23,5</t>
  </si>
  <si>
    <t>23</t>
  </si>
  <si>
    <t>97086</t>
  </si>
  <si>
    <t>17*0,15+3,5*0,15</t>
  </si>
  <si>
    <t>8+8+3+23</t>
  </si>
  <si>
    <t>96533</t>
  </si>
  <si>
    <t>INSTALAÇÃO DO TELHADO</t>
  </si>
  <si>
    <t>100378</t>
  </si>
  <si>
    <t>92580</t>
  </si>
  <si>
    <t>(0,2+0,2+0,2+0,2)*4,5*17</t>
  </si>
  <si>
    <t>4,5*4*0,617*17</t>
  </si>
  <si>
    <t>0,154*(4,5*17)/0,15*(0,15+0,15+0,15+0,15+0,1)</t>
  </si>
  <si>
    <t>0,15*0,15*4,5*17</t>
  </si>
  <si>
    <t>17*2</t>
  </si>
  <si>
    <t>0,154*(14+14+14+1+1)/0,15*(0,14+0,14+0,24+0,24+0,1)</t>
  </si>
  <si>
    <t>0,617*4*(14+14+14+1+1)</t>
  </si>
  <si>
    <t>0,3*2*(14+1+1+14+14)</t>
  </si>
  <si>
    <t>0,2*0,3*(14+14+14+1+1)</t>
  </si>
  <si>
    <t>14*4*0,617*8</t>
  </si>
  <si>
    <t>(0,2+0,2)*14*8</t>
  </si>
  <si>
    <t>0,154*(14*8)/0,15*(0,15+0,15+0,15+0,15+0,1)</t>
  </si>
  <si>
    <t>0,15*0,25*14*8</t>
  </si>
  <si>
    <t>(14+14+14+1+1)*(0,15+2/3*2*0,3)</t>
  </si>
  <si>
    <t>96622</t>
  </si>
  <si>
    <t>=,05*1,66*17+1,23*3,5</t>
  </si>
  <si>
    <t>14*0,7 assentados com face de 10x20</t>
  </si>
  <si>
    <t>COMP-06</t>
  </si>
  <si>
    <t>14*,5*2</t>
  </si>
  <si>
    <t>100719</t>
  </si>
  <si>
    <t>100757</t>
  </si>
  <si>
    <t>97097</t>
  </si>
  <si>
    <t>1524</t>
  </si>
  <si>
    <t>GNIÁSIO 10</t>
  </si>
  <si>
    <t>000000</t>
  </si>
  <si>
    <t>000000-00</t>
  </si>
  <si>
    <t>Em Análise</t>
  </si>
  <si>
    <t>Sem Projeto</t>
  </si>
  <si>
    <t xml:space="preserve">MARCIELE FLORES </t>
  </si>
  <si>
    <t>CREA/RS 268.201</t>
  </si>
  <si>
    <t>(0,127+0,04*2+0,017*2)*6*23,5*2+(12,6*(0,092+0,05*2)+16,13*(0,1+0,05*2))*9*2+((0,127*4,5*2+0,1*6)*12*2)</t>
  </si>
  <si>
    <t>94213</t>
  </si>
  <si>
    <t>4*2*14+3*14</t>
  </si>
  <si>
    <t>(4*2*14+3*14)*2</t>
  </si>
  <si>
    <t>PISO DE CONCRETO CHURRASQUEIRA</t>
  </si>
  <si>
    <t>COMP-09</t>
  </si>
  <si>
    <t>CONFORME PROJETO</t>
  </si>
  <si>
    <t>93,50</t>
  </si>
  <si>
    <t>93,50+42</t>
  </si>
  <si>
    <t>93,50 m² *0,07 espessura</t>
  </si>
  <si>
    <t>0,15*1,5*1*7+3*4,97*3</t>
  </si>
  <si>
    <t>103674</t>
  </si>
  <si>
    <t>11692</t>
  </si>
  <si>
    <t>COMP-05</t>
  </si>
  <si>
    <t>INSTALAÇÕES ELÉTRICAS</t>
  </si>
  <si>
    <t>11945</t>
  </si>
  <si>
    <t>11055</t>
  </si>
  <si>
    <t>91924</t>
  </si>
  <si>
    <t>91926</t>
  </si>
  <si>
    <t>91928</t>
  </si>
  <si>
    <t>12615</t>
  </si>
  <si>
    <t>2388</t>
  </si>
  <si>
    <t>20111</t>
  </si>
  <si>
    <t>91937</t>
  </si>
  <si>
    <t>14543</t>
  </si>
  <si>
    <t>12294</t>
  </si>
  <si>
    <t>97610</t>
  </si>
  <si>
    <t>0,4*2,2</t>
  </si>
  <si>
    <t>2*1,15</t>
  </si>
  <si>
    <t>14</t>
  </si>
  <si>
    <t>13</t>
  </si>
  <si>
    <t>261</t>
  </si>
  <si>
    <t>2,89+75,98+12,31</t>
  </si>
  <si>
    <t>12,31*3</t>
  </si>
  <si>
    <t>133</t>
  </si>
  <si>
    <t>6</t>
  </si>
  <si>
    <t>4</t>
  </si>
  <si>
    <t>11</t>
  </si>
  <si>
    <t>11*(0,3+0,3+0,9+0,9)</t>
  </si>
  <si>
    <t>0,2*0,8*1*11</t>
  </si>
  <si>
    <t>1,5*1*11</t>
  </si>
  <si>
    <t>11*1*(0,8*2+0,2*2)</t>
  </si>
  <si>
    <t>(15,5+7,5)*3,45KG/M +(14,5)*1,9 Tesouras +(31,5*3,45)+(27,5*1,9) treliça</t>
  </si>
  <si>
    <t>(14*2+4*1,9*2)+23</t>
  </si>
  <si>
    <t>24</t>
  </si>
  <si>
    <t>7,5*23,5+3,30</t>
  </si>
  <si>
    <t>(0,127+0,04*2+0,017*2)*6*(23,5+3,30) *2*2 terças +((15,5+31,5+7,5) *(0,075+0,04+0,04) +(14,5+27,5)* (0,68+0,03+0,03)) *2*2 tesouras e treliça</t>
  </si>
  <si>
    <t xml:space="preserve">1. SERVIÇOS PRELIMINARES </t>
  </si>
  <si>
    <t>100900</t>
  </si>
  <si>
    <t>103361</t>
  </si>
  <si>
    <t>34400</t>
  </si>
  <si>
    <t>ESQUADRIAS</t>
  </si>
  <si>
    <t>104448</t>
  </si>
  <si>
    <t>2678</t>
  </si>
  <si>
    <t>42244</t>
  </si>
  <si>
    <t>39806</t>
  </si>
  <si>
    <t>104785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</si>
</sst>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style="thin">
        <color indexed="64"/>
      </left>
      <right style="thin">
        <color indexed="64"/>
      </right>
      <top style="thin">
        <color indexed="64"/>
      </top>
      <bottom style="thin">
        <color auto="1"/>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hair">
        <color indexed="8"/>
      </left>
      <right/>
      <top style="hair">
        <color indexed="8"/>
      </top>
      <bottom/>
      <diagonal/>
    </border>
    <border>
      <left style="hair">
        <color indexed="8"/>
      </left>
      <right/>
      <top style="hair">
        <color indexed="8"/>
      </top>
      <bottom style="thin">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3"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70" fillId="0" borderId="0"/>
  </cellStyleXfs>
  <cellXfs count="849">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6"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6"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0"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1" fontId="0" fillId="0" borderId="40" xfId="48" applyFont="1" applyFill="1" applyBorder="1" applyAlignment="1" applyProtection="1">
      <alignment vertical="center" shrinkToFit="1"/>
    </xf>
    <xf numFmtId="171"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1"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1"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1" fontId="24" fillId="17" borderId="46" xfId="48" applyFont="1" applyFill="1" applyBorder="1" applyAlignment="1" applyProtection="1">
      <alignment horizontal="center" vertical="center" shrinkToFit="1"/>
    </xf>
    <xf numFmtId="171"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71"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7" fontId="0" fillId="0" borderId="30" xfId="0" applyNumberFormat="1" applyBorder="1"/>
    <xf numFmtId="0" fontId="0" fillId="0" borderId="30" xfId="0" applyBorder="1"/>
    <xf numFmtId="0" fontId="0" fillId="0" borderId="0" xfId="33" applyFont="1" applyAlignment="1">
      <alignment vertical="center"/>
    </xf>
    <xf numFmtId="0" fontId="46" fillId="0" borderId="32" xfId="0" applyFont="1" applyBorder="1" applyAlignment="1">
      <alignment horizontal="center" vertical="center"/>
    </xf>
    <xf numFmtId="171" fontId="56" fillId="0"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2"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3" fontId="56" fillId="0" borderId="61" xfId="48" applyNumberFormat="1" applyFill="1" applyBorder="1" applyAlignment="1" applyProtection="1">
      <alignment horizontal="right" shrinkToFit="1"/>
    </xf>
    <xf numFmtId="173" fontId="0" fillId="0" borderId="34" xfId="48" applyNumberFormat="1" applyFont="1" applyFill="1" applyBorder="1" applyAlignment="1" applyProtection="1">
      <alignment horizontal="center" vertical="center"/>
    </xf>
    <xf numFmtId="0" fontId="46" fillId="0" borderId="31" xfId="34" applyFont="1" applyBorder="1" applyAlignment="1">
      <alignment horizontal="center"/>
    </xf>
    <xf numFmtId="0" fontId="46" fillId="0" borderId="62" xfId="34" applyFont="1" applyBorder="1"/>
    <xf numFmtId="0" fontId="32" fillId="0" borderId="62" xfId="34" applyFont="1" applyBorder="1"/>
    <xf numFmtId="0" fontId="46" fillId="0" borderId="62" xfId="34" applyFont="1" applyBorder="1" applyAlignment="1">
      <alignment horizontal="center"/>
    </xf>
    <xf numFmtId="165" fontId="0" fillId="0" borderId="62" xfId="49" applyFont="1" applyFill="1" applyBorder="1" applyAlignment="1" applyProtection="1">
      <alignment horizontal="right" shrinkToFit="1"/>
    </xf>
    <xf numFmtId="173" fontId="0" fillId="0" borderId="31" xfId="48" applyNumberFormat="1" applyFont="1" applyFill="1" applyBorder="1" applyAlignment="1" applyProtection="1">
      <alignment horizontal="center" vertical="center"/>
    </xf>
    <xf numFmtId="165" fontId="48" fillId="0" borderId="63" xfId="49" applyFont="1" applyFill="1" applyBorder="1" applyAlignment="1" applyProtection="1">
      <alignment horizontal="center"/>
    </xf>
    <xf numFmtId="0" fontId="46" fillId="0" borderId="14" xfId="34" applyFont="1" applyBorder="1" applyAlignment="1">
      <alignment horizontal="center"/>
    </xf>
    <xf numFmtId="165" fontId="48" fillId="0" borderId="0" xfId="49" applyFont="1" applyFill="1" applyBorder="1" applyAlignment="1" applyProtection="1">
      <alignment horizontal="center"/>
    </xf>
    <xf numFmtId="165" fontId="0" fillId="0" borderId="14"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5" fontId="24" fillId="0" borderId="33"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6" fillId="0" borderId="0" xfId="34" applyFont="1" applyAlignment="1">
      <alignment horizontal="center" wrapText="1"/>
    </xf>
    <xf numFmtId="174"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4" fontId="49" fillId="0" borderId="56" xfId="34" applyNumberFormat="1" applyFont="1" applyBorder="1" applyAlignment="1" applyProtection="1">
      <alignment horizontal="center"/>
      <protection locked="0"/>
    </xf>
    <xf numFmtId="0" fontId="46" fillId="8" borderId="34" xfId="34" applyFont="1" applyFill="1" applyBorder="1"/>
    <xf numFmtId="165" fontId="24" fillId="0" borderId="0" xfId="49" applyFont="1" applyFill="1" applyBorder="1" applyAlignment="1" applyProtection="1">
      <alignment horizontal="center" shrinkToFit="1"/>
    </xf>
    <xf numFmtId="165" fontId="0" fillId="8" borderId="64"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0" xfId="48" applyFill="1" applyBorder="1" applyAlignment="1" applyProtection="1">
      <alignment shrinkToFit="1"/>
    </xf>
    <xf numFmtId="0" fontId="46" fillId="8" borderId="31" xfId="34" applyFont="1" applyFill="1" applyBorder="1"/>
    <xf numFmtId="165" fontId="0" fillId="0" borderId="38" xfId="49" applyFont="1" applyFill="1" applyBorder="1" applyAlignment="1" applyProtection="1">
      <alignment horizontal="center"/>
    </xf>
    <xf numFmtId="165" fontId="0" fillId="0" borderId="67" xfId="49" applyFont="1" applyFill="1" applyBorder="1" applyAlignment="1" applyProtection="1">
      <alignment horizontal="right"/>
    </xf>
    <xf numFmtId="0" fontId="49" fillId="0" borderId="0" xfId="34" applyFont="1" applyAlignment="1">
      <alignment horizontal="left"/>
    </xf>
    <xf numFmtId="0" fontId="46" fillId="8" borderId="31" xfId="34" applyFont="1" applyFill="1" applyBorder="1" applyAlignment="1">
      <alignment horizontal="center"/>
    </xf>
    <xf numFmtId="165" fontId="0" fillId="8" borderId="38" xfId="49" applyFont="1" applyFill="1" applyBorder="1" applyAlignment="1" applyProtection="1">
      <alignment horizontal="center"/>
    </xf>
    <xf numFmtId="165" fontId="0" fillId="8" borderId="67" xfId="49" applyFont="1" applyFill="1" applyBorder="1" applyAlignment="1" applyProtection="1">
      <alignment horizontal="right"/>
    </xf>
    <xf numFmtId="171" fontId="56" fillId="0" borderId="43" xfId="48" applyFill="1" applyBorder="1" applyAlignment="1" applyProtection="1">
      <alignment shrinkToFit="1"/>
    </xf>
    <xf numFmtId="165" fontId="0" fillId="0" borderId="59" xfId="49" applyFont="1" applyFill="1" applyBorder="1" applyAlignment="1" applyProtection="1">
      <alignment horizontal="center"/>
    </xf>
    <xf numFmtId="165" fontId="0" fillId="0" borderId="61" xfId="49" applyFont="1" applyFill="1" applyBorder="1" applyAlignment="1" applyProtection="1">
      <alignment horizontal="right"/>
    </xf>
    <xf numFmtId="0" fontId="46" fillId="8" borderId="14" xfId="34" applyFont="1" applyFill="1" applyBorder="1"/>
    <xf numFmtId="165" fontId="24" fillId="8" borderId="70" xfId="49" applyFont="1" applyFill="1" applyBorder="1" applyAlignment="1" applyProtection="1">
      <alignment horizontal="center"/>
    </xf>
    <xf numFmtId="165" fontId="24" fillId="8" borderId="71" xfId="49" applyFont="1" applyFill="1" applyBorder="1" applyAlignment="1" applyProtection="1">
      <alignment horizontal="right"/>
    </xf>
    <xf numFmtId="0" fontId="46" fillId="0" borderId="30" xfId="34" applyFont="1" applyBorder="1" applyAlignment="1">
      <alignment horizontal="center"/>
    </xf>
    <xf numFmtId="165" fontId="0" fillId="0" borderId="30" xfId="49" applyFont="1" applyFill="1" applyBorder="1" applyAlignment="1" applyProtection="1">
      <alignment horizontal="center"/>
    </xf>
    <xf numFmtId="0" fontId="0" fillId="0" borderId="40" xfId="0" applyBorder="1" applyAlignment="1">
      <alignment horizontal="center"/>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4" xfId="0" applyFont="1" applyFill="1" applyBorder="1"/>
    <xf numFmtId="0" fontId="24" fillId="8" borderId="75" xfId="0" applyFont="1" applyFill="1" applyBorder="1"/>
    <xf numFmtId="0" fontId="24" fillId="8" borderId="76" xfId="0" applyFont="1" applyFill="1" applyBorder="1"/>
    <xf numFmtId="0" fontId="0" fillId="18" borderId="40" xfId="0" applyFill="1" applyBorder="1" applyAlignment="1">
      <alignment horizontal="center"/>
    </xf>
    <xf numFmtId="0" fontId="0" fillId="18" borderId="40" xfId="0" applyFill="1" applyBorder="1"/>
    <xf numFmtId="0" fontId="0" fillId="8" borderId="77" xfId="0" applyFill="1" applyBorder="1"/>
    <xf numFmtId="0" fontId="0" fillId="8" borderId="78" xfId="0" applyFill="1" applyBorder="1"/>
    <xf numFmtId="0" fontId="0" fillId="8" borderId="79"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8" fontId="0" fillId="0" borderId="47" xfId="0" applyNumberFormat="1" applyBorder="1" applyAlignment="1">
      <alignment horizontal="center" vertical="center"/>
    </xf>
    <xf numFmtId="178" fontId="0" fillId="0" borderId="14" xfId="0" applyNumberFormat="1" applyBorder="1" applyAlignment="1">
      <alignment horizontal="center" vertical="center"/>
    </xf>
    <xf numFmtId="179" fontId="24" fillId="0" borderId="39" xfId="0" applyNumberFormat="1" applyFont="1" applyBorder="1" applyAlignment="1">
      <alignment horizontal="center" vertical="center"/>
    </xf>
    <xf numFmtId="0" fontId="0" fillId="0" borderId="40" xfId="0" applyBorder="1" applyAlignment="1">
      <alignment horizontal="center" vertical="center"/>
    </xf>
    <xf numFmtId="178" fontId="0" fillId="0" borderId="38" xfId="0" applyNumberFormat="1" applyBorder="1" applyAlignment="1">
      <alignment horizontal="center" vertical="center"/>
    </xf>
    <xf numFmtId="178" fontId="0" fillId="0" borderId="77" xfId="0" applyNumberFormat="1" applyBorder="1" applyAlignment="1">
      <alignment horizontal="center" vertical="center"/>
    </xf>
    <xf numFmtId="178" fontId="0" fillId="0" borderId="67" xfId="0" applyNumberFormat="1" applyBorder="1" applyAlignment="1">
      <alignment horizontal="center" vertical="center"/>
    </xf>
    <xf numFmtId="178" fontId="0" fillId="0" borderId="42" xfId="0" applyNumberFormat="1" applyBorder="1" applyAlignment="1">
      <alignment horizontal="center" vertical="center"/>
    </xf>
    <xf numFmtId="178" fontId="0" fillId="6" borderId="68" xfId="0" applyNumberFormat="1" applyFill="1" applyBorder="1" applyAlignment="1" applyProtection="1">
      <alignment horizontal="center" vertical="center"/>
      <protection locked="0"/>
    </xf>
    <xf numFmtId="178"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0" xfId="0" applyFill="1" applyBorder="1"/>
    <xf numFmtId="0" fontId="0" fillId="8" borderId="10" xfId="0" applyFill="1" applyBorder="1"/>
    <xf numFmtId="178" fontId="17" fillId="8" borderId="80"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0"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1" fontId="8" fillId="8" borderId="47" xfId="0" applyNumberFormat="1" applyFont="1" applyFill="1" applyBorder="1" applyAlignment="1">
      <alignment horizontal="center"/>
    </xf>
    <xf numFmtId="181" fontId="8" fillId="8" borderId="30"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0"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2"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3" fontId="24" fillId="8" borderId="34" xfId="0" applyNumberFormat="1" applyFont="1" applyFill="1" applyBorder="1" applyAlignment="1">
      <alignment horizontal="center" vertical="center" wrapText="1"/>
    </xf>
    <xf numFmtId="171" fontId="0" fillId="0" borderId="38" xfId="48" applyFont="1" applyFill="1" applyBorder="1" applyAlignment="1" applyProtection="1">
      <alignment vertical="center" shrinkToFit="1"/>
    </xf>
    <xf numFmtId="171" fontId="0" fillId="0" borderId="67" xfId="48" applyFont="1" applyFill="1" applyBorder="1" applyAlignment="1" applyProtection="1">
      <alignment vertical="center" shrinkToFit="1"/>
    </xf>
    <xf numFmtId="171" fontId="0" fillId="0" borderId="39" xfId="48" applyFont="1" applyFill="1" applyBorder="1" applyAlignment="1" applyProtection="1">
      <alignment horizontal="center" vertical="center" shrinkToFit="1"/>
    </xf>
    <xf numFmtId="171" fontId="0" fillId="0" borderId="40" xfId="48" applyFont="1" applyFill="1" applyBorder="1" applyAlignment="1" applyProtection="1">
      <alignment horizontal="center" vertical="center" shrinkToFit="1"/>
    </xf>
    <xf numFmtId="171" fontId="0" fillId="6" borderId="39" xfId="48" applyFont="1" applyFill="1" applyBorder="1" applyAlignment="1" applyProtection="1">
      <protection locked="0"/>
    </xf>
    <xf numFmtId="171" fontId="0" fillId="6" borderId="41" xfId="48" applyFont="1" applyFill="1" applyBorder="1" applyAlignment="1" applyProtection="1">
      <protection locked="0"/>
    </xf>
    <xf numFmtId="165" fontId="0" fillId="0" borderId="40" xfId="0" applyNumberFormat="1" applyBorder="1"/>
    <xf numFmtId="171" fontId="24" fillId="17" borderId="14" xfId="48" applyFont="1" applyFill="1" applyBorder="1" applyAlignment="1" applyProtection="1">
      <alignment horizontal="center" vertical="center"/>
    </xf>
    <xf numFmtId="171"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2" xfId="0" applyFill="1" applyBorder="1"/>
    <xf numFmtId="0" fontId="0" fillId="17" borderId="81"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4"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8"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7" xfId="0" applyBorder="1" applyAlignment="1">
      <alignment horizontal="center" vertical="center"/>
    </xf>
    <xf numFmtId="178" fontId="0" fillId="0" borderId="0" xfId="0" applyNumberFormat="1" applyAlignment="1">
      <alignment horizontal="center" vertical="center"/>
    </xf>
    <xf numFmtId="10" fontId="0" fillId="0" borderId="67" xfId="0" applyNumberFormat="1" applyBorder="1" applyAlignment="1">
      <alignment horizontal="center" vertical="center"/>
    </xf>
    <xf numFmtId="0" fontId="0" fillId="0" borderId="33" xfId="0" applyBorder="1" applyAlignment="1">
      <alignment horizontal="center" vertical="center" wrapText="1"/>
    </xf>
    <xf numFmtId="181" fontId="8" fillId="8" borderId="82" xfId="0" applyNumberFormat="1" applyFont="1" applyFill="1" applyBorder="1" applyAlignment="1">
      <alignment horizontal="center"/>
    </xf>
    <xf numFmtId="181" fontId="8" fillId="8" borderId="83" xfId="0" applyNumberFormat="1" applyFont="1" applyFill="1" applyBorder="1" applyAlignment="1">
      <alignment horizontal="center"/>
    </xf>
    <xf numFmtId="181" fontId="8" fillId="8" borderId="64" xfId="0" applyNumberFormat="1" applyFont="1" applyFill="1" applyBorder="1" applyAlignment="1">
      <alignment horizontal="center"/>
    </xf>
    <xf numFmtId="181" fontId="8" fillId="8" borderId="65"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2" xfId="0" applyNumberFormat="1" applyFill="1" applyBorder="1" applyAlignment="1">
      <alignment horizontal="center" vertical="center"/>
    </xf>
    <xf numFmtId="178" fontId="0" fillId="8" borderId="38" xfId="0" applyNumberFormat="1" applyFill="1" applyBorder="1" applyAlignment="1">
      <alignment horizontal="center" vertical="center"/>
    </xf>
    <xf numFmtId="178" fontId="0" fillId="8" borderId="77" xfId="0" applyNumberFormat="1" applyFill="1" applyBorder="1" applyAlignment="1">
      <alignment horizontal="center" vertical="center"/>
    </xf>
    <xf numFmtId="178" fontId="0" fillId="8" borderId="67" xfId="0" applyNumberFormat="1" applyFill="1" applyBorder="1" applyAlignment="1">
      <alignment horizontal="center" vertical="center"/>
    </xf>
    <xf numFmtId="0" fontId="0" fillId="18" borderId="82" xfId="0" applyFill="1" applyBorder="1" applyAlignment="1">
      <alignment horizontal="right"/>
    </xf>
    <xf numFmtId="178" fontId="55" fillId="0" borderId="40" xfId="0" applyNumberFormat="1" applyFont="1" applyBorder="1"/>
    <xf numFmtId="178" fontId="0" fillId="0" borderId="84" xfId="0" applyNumberFormat="1" applyBorder="1" applyAlignment="1">
      <alignment horizontal="center" vertical="center"/>
    </xf>
    <xf numFmtId="178" fontId="0" fillId="0" borderId="59" xfId="0" applyNumberFormat="1" applyBorder="1" applyAlignment="1">
      <alignment horizontal="center" vertical="center"/>
    </xf>
    <xf numFmtId="178" fontId="0" fillId="0" borderId="60" xfId="0" applyNumberFormat="1" applyBorder="1" applyAlignment="1">
      <alignment horizontal="center" vertical="center"/>
    </xf>
    <xf numFmtId="178" fontId="0" fillId="0" borderId="61" xfId="0" applyNumberFormat="1" applyBorder="1" applyAlignment="1">
      <alignment horizontal="center" vertical="center"/>
    </xf>
    <xf numFmtId="0" fontId="0" fillId="18" borderId="85" xfId="0" applyFill="1" applyBorder="1" applyAlignment="1">
      <alignment horizontal="right"/>
    </xf>
    <xf numFmtId="178" fontId="17" fillId="8" borderId="32" xfId="0" applyNumberFormat="1" applyFont="1" applyFill="1" applyBorder="1" applyAlignment="1">
      <alignment horizontal="center" vertical="center"/>
    </xf>
    <xf numFmtId="178" fontId="17" fillId="8" borderId="13" xfId="0" applyNumberFormat="1" applyFont="1" applyFill="1" applyBorder="1" applyAlignment="1">
      <alignment horizontal="center" vertical="center"/>
    </xf>
    <xf numFmtId="178" fontId="17" fillId="8" borderId="45" xfId="0" applyNumberFormat="1" applyFont="1" applyFill="1" applyBorder="1" applyAlignment="1">
      <alignment horizontal="center" vertical="center"/>
    </xf>
    <xf numFmtId="178" fontId="17" fillId="8" borderId="46"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40" xfId="48" applyNumberFormat="1" applyFont="1" applyFill="1" applyBorder="1" applyAlignment="1" applyProtection="1">
      <alignment vertical="top" shrinkToFit="1"/>
    </xf>
    <xf numFmtId="180" fontId="24" fillId="0" borderId="69" xfId="48" applyNumberFormat="1" applyFont="1" applyFill="1" applyBorder="1" applyAlignment="1" applyProtection="1">
      <alignment horizontal="right" vertical="top" shrinkToFit="1"/>
    </xf>
    <xf numFmtId="10" fontId="24" fillId="0" borderId="69"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7" xfId="0" applyBorder="1"/>
    <xf numFmtId="0" fontId="0" fillId="0" borderId="88" xfId="0" applyBorder="1"/>
    <xf numFmtId="0" fontId="0" fillId="0" borderId="89" xfId="0" applyBorder="1"/>
    <xf numFmtId="0" fontId="0" fillId="0" borderId="90" xfId="0" applyBorder="1"/>
    <xf numFmtId="0" fontId="24" fillId="0" borderId="0" xfId="0" applyFont="1" applyAlignment="1">
      <alignment vertical="center"/>
    </xf>
    <xf numFmtId="0" fontId="0" fillId="0" borderId="91" xfId="0" applyBorder="1"/>
    <xf numFmtId="0" fontId="0" fillId="0" borderId="91" xfId="0" applyBorder="1" applyAlignment="1">
      <alignment vertical="center"/>
    </xf>
    <xf numFmtId="0" fontId="0" fillId="0" borderId="92" xfId="0" applyBorder="1"/>
    <xf numFmtId="0" fontId="0" fillId="0" borderId="93" xfId="0" applyBorder="1"/>
    <xf numFmtId="0" fontId="0" fillId="0" borderId="94"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1"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1"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1" fontId="0" fillId="6" borderId="42" xfId="48" applyFont="1" applyFill="1" applyBorder="1" applyAlignment="1" applyProtection="1">
      <alignment vertical="center" wrapText="1"/>
      <protection locked="0"/>
    </xf>
    <xf numFmtId="0" fontId="46" fillId="23" borderId="45" xfId="34" applyFont="1" applyFill="1" applyBorder="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5" fontId="0" fillId="22" borderId="45" xfId="49" applyFont="1" applyFill="1" applyBorder="1" applyAlignment="1" applyProtection="1">
      <alignment horizontal="center"/>
    </xf>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1"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9" xfId="48" applyFont="1" applyFill="1" applyBorder="1" applyAlignment="1" applyProtection="1">
      <alignment vertical="center" wrapText="1"/>
      <protection locked="0"/>
    </xf>
    <xf numFmtId="10" fontId="24" fillId="17" borderId="72" xfId="48" applyNumberFormat="1" applyFont="1" applyFill="1" applyBorder="1" applyAlignment="1" applyProtection="1">
      <alignment horizontal="center" vertical="center"/>
    </xf>
    <xf numFmtId="171" fontId="24" fillId="17" borderId="72" xfId="48" applyFont="1" applyFill="1" applyBorder="1" applyAlignment="1" applyProtection="1">
      <alignment horizontal="center" vertical="center"/>
    </xf>
    <xf numFmtId="10" fontId="24" fillId="17" borderId="73"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6" xfId="0" applyNumberFormat="1" applyFill="1" applyBorder="1" applyProtection="1">
      <protection locked="0"/>
    </xf>
    <xf numFmtId="4" fontId="0" fillId="6" borderId="72" xfId="0" applyNumberFormat="1" applyFill="1" applyBorder="1" applyProtection="1">
      <protection locked="0"/>
    </xf>
    <xf numFmtId="4" fontId="0" fillId="6" borderId="73" xfId="0" applyNumberFormat="1" applyFill="1" applyBorder="1" applyProtection="1">
      <protection locked="0"/>
    </xf>
    <xf numFmtId="0" fontId="0" fillId="0" borderId="95" xfId="0" applyBorder="1" applyAlignment="1">
      <alignment horizontal="center"/>
    </xf>
    <xf numFmtId="0" fontId="0" fillId="0" borderId="96" xfId="0" applyBorder="1" applyAlignment="1">
      <alignment horizontal="center"/>
    </xf>
    <xf numFmtId="0" fontId="0" fillId="0" borderId="97" xfId="0" applyBorder="1" applyAlignment="1">
      <alignment horizontal="center"/>
    </xf>
    <xf numFmtId="0" fontId="24" fillId="0" borderId="62" xfId="0" applyFont="1" applyBorder="1"/>
    <xf numFmtId="0" fontId="0" fillId="6" borderId="37" xfId="0" applyFill="1" applyBorder="1" applyAlignment="1" applyProtection="1">
      <alignment horizontal="center" textRotation="90" wrapText="1"/>
      <protection locked="0"/>
    </xf>
    <xf numFmtId="171" fontId="0" fillId="0" borderId="37" xfId="48" applyFont="1" applyFill="1" applyBorder="1" applyAlignment="1" applyProtection="1">
      <alignment vertical="center" shrinkToFit="1"/>
    </xf>
    <xf numFmtId="185"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1" fontId="24" fillId="17" borderId="30" xfId="48" applyFont="1" applyFill="1" applyBorder="1" applyAlignment="1" applyProtection="1">
      <alignment horizontal="center" vertical="center"/>
    </xf>
    <xf numFmtId="171"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6" fontId="0" fillId="0" borderId="30" xfId="0" applyNumberFormat="1" applyBorder="1" applyAlignment="1">
      <alignment horizontal="left"/>
    </xf>
    <xf numFmtId="0" fontId="17" fillId="0" borderId="93" xfId="33" applyFont="1" applyBorder="1" applyAlignment="1">
      <alignment vertical="center"/>
    </xf>
    <xf numFmtId="0" fontId="0" fillId="0" borderId="93" xfId="0" applyBorder="1" applyAlignment="1">
      <alignment horizontal="center"/>
    </xf>
    <xf numFmtId="0" fontId="46" fillId="0" borderId="93" xfId="34" applyFont="1" applyBorder="1" applyAlignment="1">
      <alignment horizontal="center"/>
    </xf>
    <xf numFmtId="0" fontId="0" fillId="0" borderId="41" xfId="0" applyBorder="1" applyAlignment="1">
      <alignment horizontal="center" vertical="center" wrapText="1"/>
    </xf>
    <xf numFmtId="165" fontId="0" fillId="6" borderId="40" xfId="0" applyNumberFormat="1" applyFill="1" applyBorder="1" applyAlignment="1" applyProtection="1">
      <alignment horizontal="center" vertical="center"/>
      <protection locked="0"/>
    </xf>
    <xf numFmtId="0" fontId="0" fillId="6" borderId="84" xfId="0" applyFill="1" applyBorder="1" applyAlignment="1" applyProtection="1">
      <alignment horizontal="left" vertical="center" wrapText="1"/>
      <protection locked="0"/>
    </xf>
    <xf numFmtId="49" fontId="0" fillId="6" borderId="68" xfId="0" applyNumberFormat="1" applyFill="1" applyBorder="1" applyAlignment="1" applyProtection="1">
      <alignment horizontal="center" vertical="center" wrapText="1"/>
      <protection locked="0"/>
    </xf>
    <xf numFmtId="49" fontId="0" fillId="16" borderId="98"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99" xfId="0" applyFont="1" applyBorder="1"/>
    <xf numFmtId="0" fontId="27" fillId="0" borderId="88" xfId="0" applyFont="1" applyBorder="1" applyAlignment="1">
      <alignment horizontal="left" indent="1"/>
    </xf>
    <xf numFmtId="171" fontId="0" fillId="0" borderId="41" xfId="48" applyFont="1" applyFill="1" applyBorder="1" applyAlignment="1" applyProtection="1">
      <alignment vertical="center" shrinkToFit="1"/>
    </xf>
    <xf numFmtId="171" fontId="24" fillId="17" borderId="69" xfId="48" applyFont="1" applyFill="1" applyBorder="1" applyAlignment="1" applyProtection="1">
      <alignment horizontal="center" vertical="center" shrinkToFit="1"/>
    </xf>
    <xf numFmtId="171" fontId="24" fillId="17" borderId="73" xfId="48" applyFont="1" applyFill="1" applyBorder="1" applyAlignment="1" applyProtection="1">
      <alignment horizontal="center" vertical="center"/>
    </xf>
    <xf numFmtId="0" fontId="0" fillId="16" borderId="41" xfId="0" applyFill="1" applyBorder="1" applyAlignment="1" applyProtection="1">
      <alignment shrinkToFit="1"/>
      <protection locked="0"/>
    </xf>
    <xf numFmtId="0" fontId="0" fillId="0" borderId="100" xfId="0" applyBorder="1" applyAlignment="1">
      <alignment vertical="center"/>
    </xf>
    <xf numFmtId="0" fontId="0" fillId="16" borderId="101" xfId="0" applyFill="1" applyBorder="1" applyAlignment="1" applyProtection="1">
      <alignment vertical="center"/>
      <protection locked="0"/>
    </xf>
    <xf numFmtId="43" fontId="0" fillId="0" borderId="0" xfId="0" applyNumberFormat="1"/>
    <xf numFmtId="0" fontId="12" fillId="0" borderId="93" xfId="0" applyFont="1" applyBorder="1" applyAlignment="1">
      <alignment horizontal="left" indent="1"/>
    </xf>
    <xf numFmtId="0" fontId="28" fillId="0" borderId="89" xfId="0" applyFont="1" applyBorder="1"/>
    <xf numFmtId="0" fontId="57" fillId="25" borderId="86" xfId="30" applyFont="1" applyFill="1" applyBorder="1" applyAlignment="1">
      <alignment horizontal="center" vertical="center"/>
    </xf>
    <xf numFmtId="0" fontId="17" fillId="25" borderId="86" xfId="30" applyFont="1" applyFill="1" applyBorder="1" applyAlignment="1">
      <alignment horizontal="center" vertical="center"/>
    </xf>
    <xf numFmtId="0" fontId="23" fillId="25" borderId="86" xfId="30" applyFont="1" applyFill="1" applyBorder="1" applyAlignment="1">
      <alignment horizontal="center" vertical="center"/>
    </xf>
    <xf numFmtId="0" fontId="0" fillId="26" borderId="0" xfId="0" applyFill="1"/>
    <xf numFmtId="0" fontId="24" fillId="25" borderId="86"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1" xfId="0" applyFont="1" applyBorder="1" applyAlignment="1">
      <alignment horizontal="center" wrapText="1"/>
    </xf>
    <xf numFmtId="0" fontId="12" fillId="20" borderId="106" xfId="0" applyFont="1" applyFill="1" applyBorder="1" applyAlignment="1">
      <alignment horizontal="center" vertical="center"/>
    </xf>
    <xf numFmtId="0" fontId="49" fillId="0" borderId="108"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5" fillId="0" borderId="0" xfId="0" applyFont="1"/>
    <xf numFmtId="0" fontId="0" fillId="0" borderId="97" xfId="0" applyBorder="1" applyAlignment="1">
      <alignment horizontal="center" wrapText="1"/>
    </xf>
    <xf numFmtId="167" fontId="0" fillId="0" borderId="93" xfId="0" applyNumberFormat="1" applyBorder="1"/>
    <xf numFmtId="186" fontId="0" fillId="0" borderId="93" xfId="0" applyNumberFormat="1" applyBorder="1" applyAlignment="1">
      <alignment horizontal="left"/>
    </xf>
    <xf numFmtId="0" fontId="0" fillId="18" borderId="105" xfId="0" applyFill="1" applyBorder="1" applyAlignment="1">
      <alignment horizontal="center"/>
    </xf>
    <xf numFmtId="0" fontId="12" fillId="0" borderId="97" xfId="0" applyFont="1" applyBorder="1" applyAlignment="1">
      <alignment horizontal="center"/>
    </xf>
    <xf numFmtId="0" fontId="46" fillId="6" borderId="32"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88"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3" xfId="0" applyFont="1" applyBorder="1" applyAlignment="1">
      <alignment horizontal="left" wrapText="1"/>
    </xf>
    <xf numFmtId="0" fontId="0" fillId="0" borderId="105" xfId="0" applyBorder="1" applyAlignment="1">
      <alignment horizontal="center" wrapText="1"/>
    </xf>
    <xf numFmtId="0" fontId="0" fillId="0" borderId="30" xfId="33" applyFont="1" applyBorder="1" applyAlignment="1">
      <alignment horizontal="left" vertical="top" wrapText="1"/>
    </xf>
    <xf numFmtId="171" fontId="56" fillId="18" borderId="105" xfId="48" applyFill="1" applyBorder="1" applyAlignment="1" applyProtection="1">
      <alignment horizontal="left" vertical="center" shrinkToFit="1"/>
    </xf>
    <xf numFmtId="171" fontId="56" fillId="0" borderId="105" xfId="48" applyBorder="1" applyAlignment="1" applyProtection="1">
      <alignment shrinkToFit="1"/>
    </xf>
    <xf numFmtId="0" fontId="68"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6" xfId="30" applyFont="1" applyFill="1" applyBorder="1" applyAlignment="1">
      <alignment horizontal="center" vertical="center"/>
    </xf>
    <xf numFmtId="0" fontId="65"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8" xfId="0" applyNumberFormat="1" applyFill="1" applyBorder="1" applyAlignment="1" applyProtection="1">
      <alignment horizontal="center" vertical="center"/>
      <protection locked="0"/>
    </xf>
    <xf numFmtId="0" fontId="0" fillId="0" borderId="40" xfId="0" applyBorder="1" applyAlignment="1">
      <alignment horizontal="left"/>
    </xf>
    <xf numFmtId="0" fontId="69" fillId="27" borderId="0" xfId="50" applyFont="1" applyFill="1" applyAlignment="1">
      <alignment horizontal="center"/>
    </xf>
    <xf numFmtId="0" fontId="70" fillId="0" borderId="0" xfId="50"/>
    <xf numFmtId="49" fontId="69" fillId="27" borderId="0" xfId="50" applyNumberFormat="1" applyFont="1" applyFill="1" applyAlignment="1">
      <alignment horizontal="center"/>
    </xf>
    <xf numFmtId="49" fontId="70" fillId="0" borderId="0" xfId="50" applyNumberFormat="1"/>
    <xf numFmtId="0" fontId="24" fillId="0" borderId="108" xfId="0" applyFont="1" applyBorder="1"/>
    <xf numFmtId="0" fontId="24" fillId="0" borderId="110" xfId="0" applyFont="1" applyBorder="1"/>
    <xf numFmtId="0" fontId="24" fillId="0" borderId="0" xfId="0" applyFont="1" applyAlignment="1">
      <alignment horizontal="left"/>
    </xf>
    <xf numFmtId="4" fontId="0" fillId="6" borderId="48" xfId="0" applyNumberFormat="1" applyFill="1" applyBorder="1" applyAlignment="1" applyProtection="1">
      <alignment horizontal="center" textRotation="90" wrapText="1"/>
      <protection locked="0"/>
    </xf>
    <xf numFmtId="0" fontId="0" fillId="0" borderId="105" xfId="0" applyBorder="1" applyAlignment="1">
      <alignment horizontal="center"/>
    </xf>
    <xf numFmtId="0" fontId="71"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6" xfId="49" applyFont="1" applyFill="1" applyBorder="1" applyAlignment="1" applyProtection="1">
      <alignment horizontal="center"/>
    </xf>
    <xf numFmtId="165" fontId="24" fillId="8" borderId="77" xfId="49" applyFont="1" applyFill="1" applyBorder="1" applyAlignment="1" applyProtection="1">
      <alignment horizontal="right"/>
    </xf>
    <xf numFmtId="165" fontId="56" fillId="0" borderId="117" xfId="49" applyFill="1" applyBorder="1" applyAlignment="1" applyProtection="1">
      <alignment horizontal="right"/>
    </xf>
    <xf numFmtId="10" fontId="0" fillId="29" borderId="54" xfId="38" applyNumberFormat="1" applyFont="1" applyFill="1" applyBorder="1" applyAlignment="1" applyProtection="1"/>
    <xf numFmtId="171" fontId="56" fillId="29" borderId="40" xfId="48" applyFill="1" applyBorder="1" applyAlignment="1" applyProtection="1">
      <alignment shrinkToFit="1"/>
    </xf>
    <xf numFmtId="165" fontId="24" fillId="29" borderId="69" xfId="49" applyFont="1" applyFill="1" applyBorder="1" applyAlignment="1" applyProtection="1">
      <alignment shrinkToFit="1"/>
    </xf>
    <xf numFmtId="171" fontId="24" fillId="29" borderId="98" xfId="48" applyFont="1" applyFill="1" applyBorder="1" applyAlignment="1" applyProtection="1">
      <alignment shrinkToFit="1"/>
    </xf>
    <xf numFmtId="10" fontId="56" fillId="0" borderId="118" xfId="37" applyNumberFormat="1" applyFill="1" applyBorder="1" applyAlignment="1" applyProtection="1">
      <alignment shrinkToFit="1"/>
    </xf>
    <xf numFmtId="0" fontId="46" fillId="0" borderId="119" xfId="34" applyFont="1" applyBorder="1" applyAlignment="1">
      <alignment horizontal="center"/>
    </xf>
    <xf numFmtId="0" fontId="46" fillId="0" borderId="90" xfId="34" applyFont="1" applyBorder="1"/>
    <xf numFmtId="0" fontId="72" fillId="0" borderId="0" xfId="34" applyFont="1"/>
    <xf numFmtId="11" fontId="46" fillId="0" borderId="0" xfId="34" applyNumberFormat="1" applyFont="1" applyAlignment="1">
      <alignment horizontal="center"/>
    </xf>
    <xf numFmtId="0" fontId="49" fillId="0" borderId="121" xfId="34" applyFont="1" applyBorder="1" applyAlignment="1">
      <alignment horizontal="center"/>
    </xf>
    <xf numFmtId="174" fontId="49" fillId="0" borderId="122" xfId="34" applyNumberFormat="1" applyFont="1" applyBorder="1" applyAlignment="1">
      <alignment horizontal="center"/>
    </xf>
    <xf numFmtId="10" fontId="0" fillId="29" borderId="123" xfId="38" applyNumberFormat="1" applyFont="1" applyFill="1" applyBorder="1" applyAlignment="1" applyProtection="1"/>
    <xf numFmtId="171" fontId="56" fillId="0" borderId="78" xfId="48" applyFill="1" applyBorder="1" applyAlignment="1" applyProtection="1">
      <alignment shrinkToFit="1"/>
    </xf>
    <xf numFmtId="171" fontId="56" fillId="29" borderId="78" xfId="48" applyFill="1" applyBorder="1" applyAlignment="1" applyProtection="1">
      <alignment shrinkToFit="1"/>
    </xf>
    <xf numFmtId="171" fontId="56" fillId="0" borderId="124" xfId="48" applyFill="1" applyBorder="1" applyAlignment="1" applyProtection="1">
      <alignment shrinkToFit="1"/>
    </xf>
    <xf numFmtId="165" fontId="24" fillId="29" borderId="125" xfId="49" applyFont="1" applyFill="1" applyBorder="1" applyAlignment="1" applyProtection="1">
      <alignment shrinkToFit="1"/>
    </xf>
    <xf numFmtId="171" fontId="24" fillId="29" borderId="60" xfId="48" applyFont="1" applyFill="1" applyBorder="1" applyAlignment="1" applyProtection="1">
      <alignment shrinkToFit="1"/>
    </xf>
    <xf numFmtId="10" fontId="56" fillId="0" borderId="126"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14" xfId="0" applyNumberFormat="1" applyFont="1" applyFill="1" applyBorder="1"/>
    <xf numFmtId="171" fontId="24" fillId="30" borderId="110" xfId="0" applyNumberFormat="1" applyFont="1" applyFill="1" applyBorder="1"/>
    <xf numFmtId="0" fontId="0" fillId="18" borderId="114" xfId="0" applyFill="1" applyBorder="1" applyAlignment="1">
      <alignment horizontal="center"/>
    </xf>
    <xf numFmtId="10" fontId="56" fillId="0" borderId="0" xfId="37" applyNumberFormat="1"/>
    <xf numFmtId="0" fontId="12" fillId="0" borderId="13" xfId="0" applyFont="1" applyBorder="1"/>
    <xf numFmtId="0" fontId="12" fillId="0" borderId="11" xfId="0" applyFont="1" applyBorder="1" applyAlignment="1">
      <alignment horizontal="center"/>
    </xf>
    <xf numFmtId="0" fontId="12" fillId="0" borderId="114" xfId="0" applyFont="1" applyBorder="1" applyAlignment="1">
      <alignment horizontal="center"/>
    </xf>
    <xf numFmtId="0" fontId="46" fillId="31" borderId="32" xfId="0" applyFont="1" applyFill="1" applyBorder="1" applyAlignment="1">
      <alignment horizontal="center" vertical="center"/>
    </xf>
    <xf numFmtId="0" fontId="46" fillId="31" borderId="13" xfId="0" applyFont="1" applyFill="1" applyBorder="1" applyAlignment="1">
      <alignment horizontal="left" vertical="center"/>
    </xf>
    <xf numFmtId="171" fontId="56" fillId="31" borderId="114" xfId="48" applyFill="1" applyBorder="1" applyAlignment="1" applyProtection="1">
      <alignment horizontal="left" vertical="center" shrinkToFit="1"/>
    </xf>
    <xf numFmtId="171" fontId="56" fillId="31" borderId="29" xfId="48" applyFill="1" applyBorder="1" applyAlignment="1" applyProtection="1"/>
    <xf numFmtId="0" fontId="73" fillId="0" borderId="0" xfId="0" applyFont="1" applyAlignment="1">
      <alignment horizontal="left"/>
    </xf>
    <xf numFmtId="0" fontId="0" fillId="0" borderId="128" xfId="0" applyBorder="1"/>
    <xf numFmtId="0" fontId="0" fillId="0" borderId="129" xfId="0" applyBorder="1"/>
    <xf numFmtId="0" fontId="49" fillId="32" borderId="108" xfId="0" applyFont="1" applyFill="1" applyBorder="1" applyAlignment="1">
      <alignment horizontal="center"/>
    </xf>
    <xf numFmtId="0" fontId="12" fillId="32" borderId="130" xfId="0" applyFont="1" applyFill="1" applyBorder="1" applyAlignment="1">
      <alignment horizontal="right" vertical="center"/>
    </xf>
    <xf numFmtId="1" fontId="0" fillId="6" borderId="40" xfId="0" applyNumberFormat="1" applyFill="1" applyBorder="1" applyAlignment="1" applyProtection="1">
      <alignment horizontal="center" vertical="center"/>
      <protection locked="0"/>
    </xf>
    <xf numFmtId="0" fontId="74" fillId="0" borderId="0" xfId="0" applyFont="1"/>
    <xf numFmtId="0" fontId="75"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3" xfId="0" applyBorder="1" applyProtection="1">
      <protection locked="0"/>
    </xf>
    <xf numFmtId="1" fontId="0" fillId="0" borderId="92" xfId="0" applyNumberFormat="1" applyBorder="1" applyAlignment="1">
      <alignment vertical="top"/>
    </xf>
    <xf numFmtId="10" fontId="65" fillId="0" borderId="0" xfId="37" applyNumberFormat="1" applyFont="1" applyAlignment="1">
      <alignment horizontal="left"/>
    </xf>
    <xf numFmtId="0" fontId="76" fillId="0" borderId="0" xfId="0" applyFont="1"/>
    <xf numFmtId="0" fontId="78" fillId="0" borderId="0" xfId="0" applyFont="1"/>
    <xf numFmtId="0" fontId="76" fillId="0" borderId="0" xfId="0" applyFont="1" applyAlignment="1">
      <alignment vertical="center"/>
    </xf>
    <xf numFmtId="0" fontId="22" fillId="0" borderId="0" xfId="0" applyFont="1" applyAlignment="1">
      <alignment vertical="center"/>
    </xf>
    <xf numFmtId="0" fontId="78" fillId="0" borderId="0" xfId="0" applyFont="1" applyAlignment="1">
      <alignment horizontal="center"/>
    </xf>
    <xf numFmtId="0" fontId="71" fillId="0" borderId="0" xfId="0" applyFont="1" applyAlignment="1">
      <alignment horizontal="center" vertical="center"/>
    </xf>
    <xf numFmtId="0" fontId="79" fillId="17" borderId="32" xfId="0" applyFont="1" applyFill="1" applyBorder="1" applyAlignment="1">
      <alignment horizontal="center" vertical="center"/>
    </xf>
    <xf numFmtId="0" fontId="0" fillId="21" borderId="14" xfId="0" applyFill="1" applyBorder="1" applyAlignment="1">
      <alignment horizontal="left"/>
    </xf>
    <xf numFmtId="0" fontId="0" fillId="16" borderId="114" xfId="48" applyNumberFormat="1" applyFont="1" applyFill="1" applyBorder="1" applyAlignment="1" applyProtection="1">
      <alignment horizontal="left" vertical="center"/>
      <protection locked="0"/>
    </xf>
    <xf numFmtId="0" fontId="24" fillId="17" borderId="114" xfId="0" applyFont="1" applyFill="1" applyBorder="1" applyAlignment="1">
      <alignment horizontal="left" vertical="center"/>
    </xf>
    <xf numFmtId="0" fontId="24" fillId="0" borderId="30" xfId="0" applyFont="1" applyBorder="1" applyAlignment="1">
      <alignment horizontal="center" vertical="center" wrapText="1"/>
    </xf>
    <xf numFmtId="171" fontId="77" fillId="0" borderId="105" xfId="48" applyFont="1" applyBorder="1" applyAlignment="1" applyProtection="1">
      <alignment shrinkToFit="1"/>
    </xf>
    <xf numFmtId="0" fontId="76" fillId="0" borderId="0" xfId="0" applyFont="1" applyAlignment="1">
      <alignment horizontal="center"/>
    </xf>
    <xf numFmtId="0" fontId="77" fillId="0" borderId="0" xfId="0" applyFont="1"/>
    <xf numFmtId="0" fontId="78" fillId="0" borderId="0" xfId="0" applyFont="1" applyAlignment="1">
      <alignment vertical="center"/>
    </xf>
    <xf numFmtId="0" fontId="76" fillId="0" borderId="0" xfId="0" applyFont="1" applyAlignment="1">
      <alignment horizontal="right" vertical="center"/>
    </xf>
    <xf numFmtId="0" fontId="24" fillId="0" borderId="30" xfId="0" applyFont="1" applyBorder="1" applyAlignment="1">
      <alignment horizontal="right" vertical="center" wrapText="1"/>
    </xf>
    <xf numFmtId="0" fontId="80" fillId="0" borderId="0" xfId="0" applyFont="1" applyAlignment="1">
      <alignment vertical="top"/>
    </xf>
    <xf numFmtId="0" fontId="20" fillId="0" borderId="30" xfId="0" applyFont="1" applyBorder="1" applyAlignment="1">
      <alignment horizontal="center" vertical="center" wrapText="1"/>
    </xf>
    <xf numFmtId="0" fontId="77" fillId="8" borderId="74" xfId="0" applyFont="1" applyFill="1" applyBorder="1"/>
    <xf numFmtId="184" fontId="77" fillId="0" borderId="0" xfId="0" applyNumberFormat="1" applyFont="1"/>
    <xf numFmtId="0" fontId="80" fillId="0" borderId="0" xfId="0" applyFont="1"/>
    <xf numFmtId="178" fontId="0" fillId="6" borderId="68"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178" fontId="0" fillId="6" borderId="44" xfId="0" applyNumberFormat="1" applyFill="1" applyBorder="1" applyAlignment="1" applyProtection="1">
      <alignment horizontal="right" vertical="center"/>
      <protection locked="0"/>
    </xf>
    <xf numFmtId="0" fontId="77" fillId="0" borderId="0" xfId="0" applyFont="1" applyAlignment="1">
      <alignment horizontal="left"/>
    </xf>
    <xf numFmtId="165" fontId="77" fillId="0" borderId="0" xfId="49" applyFont="1" applyFill="1" applyBorder="1" applyAlignment="1" applyProtection="1">
      <alignment horizontal="right"/>
    </xf>
    <xf numFmtId="0" fontId="77" fillId="0" borderId="0" xfId="0" applyFont="1" applyAlignment="1">
      <alignment horizontal="right"/>
    </xf>
    <xf numFmtId="0" fontId="76" fillId="0" borderId="30" xfId="33" applyFont="1" applyBorder="1"/>
    <xf numFmtId="0" fontId="0" fillId="0" borderId="0" xfId="0" quotePrefix="1" applyAlignment="1">
      <alignment horizontal="left" vertical="top"/>
    </xf>
    <xf numFmtId="10" fontId="65" fillId="0" borderId="120" xfId="38" applyNumberFormat="1" applyFont="1" applyFill="1" applyBorder="1" applyAlignment="1" applyProtection="1">
      <alignment horizontal="center"/>
      <protection locked="0"/>
    </xf>
    <xf numFmtId="49" fontId="56" fillId="0" borderId="131" xfId="50" applyNumberFormat="1" applyFont="1" applyBorder="1" applyAlignment="1">
      <alignment horizontal="center" vertical="center" wrapText="1"/>
    </xf>
    <xf numFmtId="49" fontId="56" fillId="0" borderId="131" xfId="50" quotePrefix="1" applyNumberFormat="1" applyFont="1" applyBorder="1" applyAlignment="1">
      <alignment horizontal="center" vertical="center" wrapText="1"/>
    </xf>
    <xf numFmtId="4" fontId="56" fillId="28" borderId="131" xfId="50" applyNumberFormat="1" applyFont="1" applyFill="1" applyBorder="1" applyAlignment="1">
      <alignment horizontal="center" vertical="center"/>
    </xf>
    <xf numFmtId="189" fontId="56" fillId="0" borderId="131" xfId="50" applyNumberFormat="1" applyFont="1" applyBorder="1" applyAlignment="1">
      <alignment horizontal="center" vertical="center"/>
    </xf>
    <xf numFmtId="10" fontId="56" fillId="0" borderId="131" xfId="37" applyNumberFormat="1" applyBorder="1" applyAlignment="1">
      <alignment horizontal="center" vertical="center"/>
    </xf>
    <xf numFmtId="189" fontId="56" fillId="28" borderId="131" xfId="50" applyNumberFormat="1" applyFont="1" applyFill="1" applyBorder="1" applyAlignment="1">
      <alignment horizontal="center" vertical="center"/>
    </xf>
    <xf numFmtId="1" fontId="56" fillId="0" borderId="131" xfId="50" applyNumberFormat="1" applyFont="1" applyBorder="1" applyAlignment="1">
      <alignment horizontal="center" vertical="center" wrapText="1"/>
    </xf>
    <xf numFmtId="4" fontId="56" fillId="0" borderId="131" xfId="50" applyNumberFormat="1" applyFont="1" applyBorder="1" applyAlignment="1">
      <alignment horizontal="center" vertical="center"/>
    </xf>
    <xf numFmtId="0" fontId="56" fillId="0" borderId="133" xfId="50" applyFont="1" applyBorder="1" applyAlignment="1">
      <alignment horizontal="center" vertical="center" wrapText="1"/>
    </xf>
    <xf numFmtId="2" fontId="56" fillId="0" borderId="133" xfId="50" applyNumberFormat="1" applyFont="1" applyBorder="1" applyAlignment="1">
      <alignment horizontal="center" vertical="center"/>
    </xf>
    <xf numFmtId="0" fontId="56" fillId="0" borderId="132" xfId="50" applyFont="1" applyBorder="1" applyAlignment="1">
      <alignment horizontal="center" vertical="center" wrapText="1"/>
    </xf>
    <xf numFmtId="2" fontId="56" fillId="0" borderId="131" xfId="50" applyNumberFormat="1" applyFont="1" applyBorder="1" applyAlignment="1">
      <alignment horizontal="center" vertical="center"/>
    </xf>
    <xf numFmtId="189" fontId="56" fillId="28" borderId="131" xfId="50" applyNumberFormat="1" applyFont="1" applyFill="1" applyBorder="1" applyAlignment="1">
      <alignment horizontal="center" vertical="center" wrapText="1"/>
    </xf>
    <xf numFmtId="49" fontId="0" fillId="6" borderId="20" xfId="0" quotePrefix="1" applyNumberFormat="1" applyFill="1" applyBorder="1" applyAlignment="1" applyProtection="1">
      <alignment vertical="center"/>
      <protection locked="0"/>
    </xf>
    <xf numFmtId="0" fontId="0" fillId="0" borderId="32" xfId="0" applyBorder="1" applyAlignment="1">
      <alignment horizontal="center"/>
    </xf>
    <xf numFmtId="0" fontId="24" fillId="0" borderId="31" xfId="35" applyFont="1" applyBorder="1" applyAlignment="1">
      <alignment horizontal="left" vertical="top"/>
    </xf>
    <xf numFmtId="0" fontId="24" fillId="0" borderId="33" xfId="35" applyFont="1" applyBorder="1" applyAlignment="1">
      <alignment horizontal="left" vertical="top"/>
    </xf>
    <xf numFmtId="0" fontId="62" fillId="0" borderId="0" xfId="0" applyFont="1" applyAlignment="1">
      <alignment horizontal="center" textRotation="90" wrapText="1"/>
    </xf>
    <xf numFmtId="0" fontId="39" fillId="0" borderId="0" xfId="0" applyFont="1" applyAlignment="1">
      <alignment horizontal="center" textRotation="90"/>
    </xf>
    <xf numFmtId="0" fontId="24" fillId="0" borderId="12" xfId="0" applyFont="1" applyBorder="1" applyAlignment="1">
      <alignment horizontal="center"/>
    </xf>
    <xf numFmtId="0" fontId="39" fillId="0" borderId="0" xfId="0" applyFont="1" applyAlignment="1">
      <alignment horizontal="center" textRotation="90" wrapText="1"/>
    </xf>
    <xf numFmtId="0" fontId="0" fillId="0" borderId="14" xfId="33" applyFont="1" applyBorder="1" applyAlignment="1">
      <alignment horizontal="left" vertical="top" wrapText="1"/>
    </xf>
    <xf numFmtId="0" fontId="0" fillId="14" borderId="0" xfId="0" applyFill="1" applyAlignment="1">
      <alignment horizontal="left"/>
    </xf>
    <xf numFmtId="0" fontId="0" fillId="0" borderId="47" xfId="33" applyFont="1" applyBorder="1" applyAlignment="1">
      <alignment horizontal="left" vertical="top" wrapText="1"/>
    </xf>
    <xf numFmtId="186" fontId="0" fillId="0" borderId="0" xfId="0" applyNumberFormat="1" applyAlignment="1">
      <alignment horizontal="left"/>
    </xf>
    <xf numFmtId="0" fontId="24" fillId="17" borderId="13"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167" fontId="0" fillId="0" borderId="30" xfId="0" applyNumberFormat="1" applyBorder="1" applyAlignment="1">
      <alignment horizontal="left"/>
    </xf>
    <xf numFmtId="0" fontId="0" fillId="0" borderId="32" xfId="0" applyBorder="1" applyAlignment="1">
      <alignment horizontal="left" wrapText="1"/>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2" xfId="0" applyFont="1" applyBorder="1" applyAlignment="1">
      <alignment horizontal="center" vertical="center"/>
    </xf>
    <xf numFmtId="0" fontId="24" fillId="0" borderId="46" xfId="0" applyFont="1" applyBorder="1" applyAlignment="1">
      <alignment horizontal="center"/>
    </xf>
    <xf numFmtId="0" fontId="0" fillId="0" borderId="10" xfId="33" applyFont="1" applyBorder="1" applyAlignment="1">
      <alignment horizontal="left" vertical="center"/>
    </xf>
    <xf numFmtId="0" fontId="8"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7" fontId="0" fillId="0" borderId="30" xfId="33" applyNumberFormat="1" applyFont="1" applyBorder="1" applyAlignment="1">
      <alignment horizontal="left"/>
    </xf>
    <xf numFmtId="186"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2" xfId="33" applyFont="1" applyBorder="1" applyAlignment="1">
      <alignment horizontal="center" vertical="center" wrapText="1"/>
    </xf>
    <xf numFmtId="4" fontId="30" fillId="0" borderId="13" xfId="33" applyNumberFormat="1" applyFont="1" applyBorder="1" applyAlignment="1">
      <alignment horizontal="center" vertical="center"/>
    </xf>
    <xf numFmtId="4" fontId="30" fillId="0" borderId="45" xfId="33" applyNumberFormat="1" applyFont="1" applyBorder="1" applyAlignment="1">
      <alignment horizontal="center" vertical="center"/>
    </xf>
    <xf numFmtId="4" fontId="30" fillId="0" borderId="46" xfId="33" applyNumberFormat="1" applyFont="1" applyBorder="1" applyAlignment="1">
      <alignment horizontal="center" vertical="center"/>
    </xf>
    <xf numFmtId="4" fontId="17" fillId="0" borderId="32" xfId="33" applyNumberFormat="1" applyFont="1" applyBorder="1" applyAlignment="1">
      <alignment horizontal="center"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2" xfId="33" applyFont="1" applyBorder="1" applyAlignment="1">
      <alignment horizontal="center" vertical="center"/>
    </xf>
    <xf numFmtId="0" fontId="17" fillId="0" borderId="32" xfId="33" applyFont="1" applyBorder="1" applyAlignment="1">
      <alignment horizontal="center" vertical="center"/>
    </xf>
    <xf numFmtId="164" fontId="8" fillId="16" borderId="14" xfId="32" applyFont="1" applyFill="1" applyBorder="1" applyAlignment="1" applyProtection="1">
      <alignment horizontal="left"/>
      <protection locked="0"/>
    </xf>
    <xf numFmtId="0" fontId="23" fillId="0" borderId="32" xfId="33" applyFont="1" applyBorder="1" applyAlignment="1">
      <alignment horizontal="center"/>
    </xf>
    <xf numFmtId="4" fontId="30" fillId="0" borderId="32" xfId="33" applyNumberFormat="1" applyFont="1" applyBorder="1" applyAlignment="1">
      <alignment horizontal="center" vertical="center"/>
    </xf>
    <xf numFmtId="0" fontId="0" fillId="0" borderId="31" xfId="0" applyBorder="1" applyAlignment="1">
      <alignment horizontal="center"/>
    </xf>
    <xf numFmtId="0" fontId="24" fillId="0" borderId="14" xfId="0" applyFont="1" applyBorder="1" applyAlignment="1">
      <alignment horizontal="center"/>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46" fillId="0" borderId="104" xfId="34" applyFont="1" applyBorder="1" applyAlignment="1">
      <alignment horizontal="left"/>
    </xf>
    <xf numFmtId="0" fontId="46" fillId="0" borderId="93" xfId="34" applyFont="1" applyBorder="1" applyAlignment="1">
      <alignment horizontal="left"/>
    </xf>
    <xf numFmtId="0" fontId="46" fillId="0" borderId="113" xfId="34" applyFont="1" applyBorder="1" applyAlignment="1">
      <alignment horizontal="left"/>
    </xf>
    <xf numFmtId="0" fontId="1" fillId="0" borderId="114"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90" xfId="0" applyFont="1" applyBorder="1" applyAlignment="1">
      <alignment horizontal="center" vertical="center" wrapText="1"/>
    </xf>
    <xf numFmtId="0" fontId="1" fillId="0" borderId="92" xfId="0" applyFont="1" applyBorder="1" applyAlignment="1">
      <alignment horizontal="center" vertical="center" wrapText="1"/>
    </xf>
    <xf numFmtId="0" fontId="0" fillId="16" borderId="111" xfId="0" applyFill="1" applyBorder="1" applyAlignment="1" applyProtection="1">
      <alignment horizontal="left" vertical="center"/>
      <protection locked="0"/>
    </xf>
    <xf numFmtId="0" fontId="0" fillId="16" borderId="112"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2"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0" fontId="12" fillId="0" borderId="107" xfId="0" applyFont="1" applyBorder="1" applyAlignment="1">
      <alignment horizontal="right" vertical="center"/>
    </xf>
    <xf numFmtId="0" fontId="12" fillId="0" borderId="127" xfId="0" applyFont="1" applyBorder="1" applyAlignment="1">
      <alignment horizontal="right" vertical="center"/>
    </xf>
    <xf numFmtId="10" fontId="46" fillId="32" borderId="105" xfId="37" applyNumberFormat="1" applyFont="1" applyFill="1" applyBorder="1" applyAlignment="1" applyProtection="1">
      <alignment horizontal="center"/>
    </xf>
    <xf numFmtId="10" fontId="56" fillId="32" borderId="108" xfId="37" applyNumberFormat="1" applyFill="1" applyBorder="1" applyAlignment="1" applyProtection="1">
      <alignment horizontal="center" shrinkToFit="1"/>
    </xf>
    <xf numFmtId="10" fontId="56" fillId="32" borderId="110" xfId="37" applyNumberFormat="1" applyFill="1" applyBorder="1" applyAlignment="1" applyProtection="1">
      <alignment horizontal="center" shrinkToFit="1"/>
    </xf>
    <xf numFmtId="10" fontId="46" fillId="32" borderId="108" xfId="37" applyNumberFormat="1" applyFont="1" applyFill="1" applyBorder="1" applyAlignment="1" applyProtection="1">
      <alignment horizontal="center"/>
    </xf>
    <xf numFmtId="10" fontId="46" fillId="32" borderId="110" xfId="37" applyNumberFormat="1" applyFont="1" applyFill="1" applyBorder="1" applyAlignment="1" applyProtection="1">
      <alignment horizontal="center"/>
    </xf>
    <xf numFmtId="171" fontId="56" fillId="0" borderId="108" xfId="48" applyBorder="1" applyAlignment="1" applyProtection="1">
      <alignment horizontal="center" shrinkToFit="1"/>
    </xf>
    <xf numFmtId="171" fontId="56" fillId="0" borderId="110" xfId="48" applyBorder="1" applyAlignment="1" applyProtection="1">
      <alignment horizontal="center" shrinkToFit="1"/>
    </xf>
    <xf numFmtId="186" fontId="66" fillId="0" borderId="30" xfId="0" applyNumberFormat="1" applyFont="1" applyBorder="1" applyAlignment="1">
      <alignment horizontal="left"/>
    </xf>
    <xf numFmtId="171" fontId="56" fillId="0" borderId="105" xfId="48" applyBorder="1" applyAlignment="1" applyProtection="1">
      <alignment horizontal="center" shrinkToFit="1"/>
    </xf>
    <xf numFmtId="0" fontId="0" fillId="0" borderId="92" xfId="0" applyBorder="1" applyAlignment="1">
      <alignment horizontal="center" wrapText="1"/>
    </xf>
    <xf numFmtId="0" fontId="0" fillId="0" borderId="93" xfId="0" applyBorder="1" applyAlignment="1">
      <alignment horizontal="center" wrapText="1"/>
    </xf>
    <xf numFmtId="0" fontId="0" fillId="0" borderId="94" xfId="0" applyBorder="1" applyAlignment="1">
      <alignment horizontal="center" wrapText="1"/>
    </xf>
    <xf numFmtId="0" fontId="46" fillId="0" borderId="94" xfId="34" applyFont="1" applyBorder="1" applyAlignment="1">
      <alignment horizontal="left"/>
    </xf>
    <xf numFmtId="187" fontId="49" fillId="20" borderId="105"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9" xfId="0" applyFont="1" applyBorder="1" applyAlignment="1">
      <alignment horizontal="right" vertical="center"/>
    </xf>
    <xf numFmtId="188" fontId="46" fillId="0" borderId="105" xfId="48" applyNumberFormat="1" applyFont="1" applyBorder="1" applyAlignment="1" applyProtection="1">
      <alignment horizontal="center" shrinkToFit="1"/>
    </xf>
    <xf numFmtId="188" fontId="46" fillId="0" borderId="108" xfId="48" applyNumberFormat="1" applyFont="1" applyBorder="1" applyAlignment="1" applyProtection="1">
      <alignment horizontal="center" shrinkToFit="1"/>
    </xf>
    <xf numFmtId="188" fontId="46" fillId="0" borderId="110" xfId="48" applyNumberFormat="1" applyFont="1" applyBorder="1" applyAlignment="1" applyProtection="1">
      <alignment horizontal="center" shrinkToFit="1"/>
    </xf>
    <xf numFmtId="173" fontId="24" fillId="0" borderId="32" xfId="48" applyNumberFormat="1" applyFont="1" applyFill="1" applyBorder="1" applyAlignment="1" applyProtection="1">
      <alignment horizontal="center" vertical="center"/>
    </xf>
    <xf numFmtId="165" fontId="0" fillId="0" borderId="14" xfId="49" applyFont="1" applyFill="1" applyBorder="1" applyAlignment="1" applyProtection="1">
      <alignment horizontal="left"/>
    </xf>
    <xf numFmtId="0" fontId="46" fillId="0" borderId="14" xfId="34" applyFont="1" applyBorder="1" applyAlignment="1">
      <alignment horizontal="left"/>
    </xf>
    <xf numFmtId="0" fontId="22" fillId="0" borderId="30" xfId="34" applyFont="1" applyBorder="1" applyAlignment="1">
      <alignment horizontal="center" vertic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186" fontId="0" fillId="0" borderId="30" xfId="0" applyNumberFormat="1" applyBorder="1" applyAlignment="1">
      <alignment horizontal="left"/>
    </xf>
    <xf numFmtId="0" fontId="0" fillId="16" borderId="115" xfId="0" applyFill="1" applyBorder="1" applyAlignment="1" applyProtection="1">
      <alignment horizontal="left" vertical="center"/>
      <protection locked="0"/>
    </xf>
    <xf numFmtId="165" fontId="24" fillId="0" borderId="46"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7"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177" fontId="56" fillId="0" borderId="14" xfId="48" applyNumberFormat="1" applyFill="1" applyBorder="1" applyAlignment="1" applyProtection="1">
      <alignment horizontal="center" shrinkToFit="1"/>
    </xf>
    <xf numFmtId="0" fontId="0" fillId="0" borderId="40" xfId="0" applyBorder="1" applyAlignment="1">
      <alignment horizontal="left"/>
    </xf>
    <xf numFmtId="177" fontId="56" fillId="0" borderId="30" xfId="48" applyNumberFormat="1" applyFill="1" applyBorder="1" applyAlignment="1" applyProtection="1">
      <alignment horizontal="center" shrinkToFit="1"/>
    </xf>
    <xf numFmtId="10" fontId="56" fillId="0" borderId="31"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0" fontId="56" fillId="0" borderId="34"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14" fontId="0" fillId="6" borderId="48" xfId="0" applyNumberFormat="1" applyFill="1" applyBorder="1" applyAlignment="1" applyProtection="1">
      <alignment horizontal="center"/>
      <protection locked="0"/>
    </xf>
    <xf numFmtId="176" fontId="24" fillId="8" borderId="32" xfId="0" applyNumberFormat="1" applyFont="1" applyFill="1" applyBorder="1" applyAlignment="1">
      <alignment horizontal="center" shrinkToFit="1"/>
    </xf>
    <xf numFmtId="0" fontId="24" fillId="0" borderId="32" xfId="0" applyFont="1" applyBorder="1" applyAlignment="1">
      <alignment horizontal="right" vertical="center"/>
    </xf>
    <xf numFmtId="177" fontId="56" fillId="0" borderId="47"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0" fillId="0" borderId="0" xfId="0" applyAlignment="1">
      <alignment horizontal="center"/>
    </xf>
    <xf numFmtId="0" fontId="60" fillId="0" borderId="103" xfId="0" applyFont="1" applyBorder="1" applyAlignment="1">
      <alignment horizontal="center" vertical="top" wrapText="1"/>
    </xf>
    <xf numFmtId="0" fontId="49" fillId="0" borderId="31" xfId="34" applyFont="1" applyBorder="1" applyAlignment="1">
      <alignment horizontal="center"/>
    </xf>
    <xf numFmtId="0" fontId="46" fillId="0" borderId="14" xfId="34" applyFont="1" applyBorder="1" applyAlignment="1">
      <alignment horizontal="center"/>
    </xf>
    <xf numFmtId="10" fontId="23" fillId="0" borderId="14" xfId="37" applyNumberFormat="1" applyFont="1" applyFill="1" applyBorder="1" applyAlignment="1" applyProtection="1">
      <alignment horizontal="center"/>
    </xf>
    <xf numFmtId="0" fontId="23" fillId="6" borderId="14" xfId="0" applyFont="1" applyFill="1" applyBorder="1" applyAlignment="1" applyProtection="1">
      <alignment horizontal="center"/>
      <protection locked="0"/>
    </xf>
    <xf numFmtId="0" fontId="23" fillId="0" borderId="14" xfId="0" applyFont="1" applyBorder="1" applyAlignment="1">
      <alignment horizontal="center"/>
    </xf>
    <xf numFmtId="0" fontId="0" fillId="18" borderId="40" xfId="0" applyFill="1" applyBorder="1"/>
    <xf numFmtId="10" fontId="56" fillId="0" borderId="80" xfId="37" applyNumberFormat="1" applyFill="1" applyBorder="1" applyAlignment="1" applyProtection="1">
      <alignment horizontal="center"/>
    </xf>
    <xf numFmtId="0" fontId="24" fillId="8" borderId="32" xfId="0" applyFont="1" applyFill="1" applyBorder="1" applyAlignment="1">
      <alignment horizontal="center"/>
    </xf>
    <xf numFmtId="14" fontId="0" fillId="6" borderId="37" xfId="0" applyNumberFormat="1" applyFill="1" applyBorder="1" applyAlignment="1" applyProtection="1">
      <alignment horizontal="center"/>
      <protection locked="0"/>
    </xf>
    <xf numFmtId="14" fontId="0" fillId="6" borderId="49"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0" fontId="0" fillId="0" borderId="0" xfId="0" applyAlignment="1">
      <alignment horizontal="left" wrapText="1"/>
    </xf>
    <xf numFmtId="171"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23" fillId="6" borderId="33" xfId="0" applyFont="1" applyFill="1" applyBorder="1" applyAlignment="1">
      <alignment horizontal="left"/>
    </xf>
    <xf numFmtId="0" fontId="31" fillId="0" borderId="0" xfId="0" applyFont="1" applyAlignment="1">
      <alignment horizontal="center" vertical="center" wrapText="1"/>
    </xf>
    <xf numFmtId="0" fontId="0" fillId="0" borderId="14" xfId="0" applyBorder="1" applyAlignment="1">
      <alignment horizontal="center"/>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2" xfId="0" applyFill="1" applyBorder="1" applyAlignment="1">
      <alignment horizontal="center" vertical="center"/>
    </xf>
    <xf numFmtId="0" fontId="0" fillId="8" borderId="65"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7" xfId="0" applyBorder="1" applyAlignment="1">
      <alignment horizontal="center" vertical="center"/>
    </xf>
    <xf numFmtId="0" fontId="0" fillId="8" borderId="42" xfId="0" applyFill="1" applyBorder="1" applyAlignment="1">
      <alignment horizontal="center" vertical="center"/>
    </xf>
    <xf numFmtId="0" fontId="0" fillId="8" borderId="67" xfId="0" applyFill="1" applyBorder="1" applyAlignment="1">
      <alignment horizontal="center" vertical="center"/>
    </xf>
    <xf numFmtId="0" fontId="0" fillId="0" borderId="85" xfId="0" applyBorder="1" applyAlignment="1">
      <alignment horizontal="center" vertical="center"/>
    </xf>
    <xf numFmtId="0" fontId="0" fillId="0" borderId="71"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2" xfId="0" applyFont="1" applyBorder="1" applyAlignment="1">
      <alignment horizontal="center"/>
    </xf>
    <xf numFmtId="0" fontId="24" fillId="0" borderId="62" xfId="0" applyFont="1" applyBorder="1" applyAlignment="1">
      <alignment horizontal="center"/>
    </xf>
    <xf numFmtId="0" fontId="24" fillId="0" borderId="32" xfId="0" applyFont="1" applyBorder="1" applyAlignment="1">
      <alignment horizontal="center" vertical="center"/>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4" fontId="24"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0" fontId="24" fillId="0" borderId="41" xfId="48" applyNumberFormat="1" applyFont="1" applyFill="1" applyBorder="1" applyAlignment="1" applyProtection="1">
      <alignment vertical="top" shrinkToFit="1"/>
    </xf>
    <xf numFmtId="0" fontId="0" fillId="0" borderId="72" xfId="33" applyFont="1" applyBorder="1" applyAlignment="1">
      <alignment horizontal="right"/>
    </xf>
    <xf numFmtId="10" fontId="24" fillId="0" borderId="73"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6"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94">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687"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87"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904875</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295275</xdr:colOff>
          <xdr:row>9</xdr:row>
          <xdr:rowOff>123825</xdr:rowOff>
        </xdr:from>
        <xdr:to>
          <xdr:col>21</xdr:col>
          <xdr:colOff>714375</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371475</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26660</xdr:rowOff>
    </xdr:from>
    <xdr:to>
      <xdr:col>15</xdr:col>
      <xdr:colOff>397034</xdr:colOff>
      <xdr:row>10</xdr:row>
      <xdr:rowOff>161285</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2559" y="1322060"/>
          <a:ext cx="126000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22850</xdr:rowOff>
    </xdr:from>
    <xdr:to>
      <xdr:col>17</xdr:col>
      <xdr:colOff>1025684</xdr:colOff>
      <xdr:row>11</xdr:row>
      <xdr:rowOff>1265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208144" y="1318250"/>
          <a:ext cx="1265715" cy="48324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19040</xdr:rowOff>
    </xdr:from>
    <xdr:to>
      <xdr:col>16</xdr:col>
      <xdr:colOff>717074</xdr:colOff>
      <xdr:row>11</xdr:row>
      <xdr:rowOff>1265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823209" y="1314440"/>
          <a:ext cx="1265715" cy="4870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19040</xdr:rowOff>
    </xdr:from>
    <xdr:to>
      <xdr:col>17</xdr:col>
      <xdr:colOff>3765071</xdr:colOff>
      <xdr:row>11</xdr:row>
      <xdr:rowOff>1265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983726" y="1314440"/>
          <a:ext cx="1229520" cy="4870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20945</xdr:rowOff>
    </xdr:from>
    <xdr:to>
      <xdr:col>18</xdr:col>
      <xdr:colOff>640662</xdr:colOff>
      <xdr:row>10</xdr:row>
      <xdr:rowOff>151760</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337972" y="1316345"/>
          <a:ext cx="125619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22850</xdr:rowOff>
    </xdr:from>
    <xdr:to>
      <xdr:col>17</xdr:col>
      <xdr:colOff>2391357</xdr:colOff>
      <xdr:row>11</xdr:row>
      <xdr:rowOff>1265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610012" y="1318250"/>
          <a:ext cx="1229520" cy="48324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17"/>
  <sheetViews>
    <sheetView showGridLines="0" zoomScaleNormal="100" workbookViewId="0">
      <pane ySplit="3" topLeftCell="A102"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2" t="s">
        <v>133</v>
      </c>
    </row>
    <row r="5" spans="1:4" ht="18.75" x14ac:dyDescent="0.3">
      <c r="A5" s="43"/>
      <c r="B5" s="44"/>
      <c r="C5" s="44"/>
      <c r="D5" s="45"/>
    </row>
    <row r="6" spans="1:4" ht="18.75" x14ac:dyDescent="0.3">
      <c r="A6" s="46" t="s">
        <v>470</v>
      </c>
      <c r="B6" s="47"/>
      <c r="C6" s="47"/>
      <c r="D6" s="3"/>
    </row>
    <row r="7" spans="1:4" ht="15" x14ac:dyDescent="0.25">
      <c r="A7" s="4"/>
      <c r="B7" s="48" t="s">
        <v>134</v>
      </c>
      <c r="C7" s="48"/>
      <c r="D7" s="3"/>
    </row>
    <row r="8" spans="1:4" ht="15" x14ac:dyDescent="0.25">
      <c r="A8" s="4"/>
      <c r="B8" s="48"/>
      <c r="C8" s="49" t="str">
        <f>IF(D8&lt;&gt;"","▪","")</f>
        <v>▪</v>
      </c>
      <c r="D8" s="535" t="s">
        <v>135</v>
      </c>
    </row>
    <row r="9" spans="1:4" ht="15" x14ac:dyDescent="0.25">
      <c r="A9" s="4"/>
      <c r="B9" s="48"/>
      <c r="C9" s="49" t="str">
        <f>IF(D9&lt;&gt;"","▪","")</f>
        <v/>
      </c>
      <c r="D9" s="535"/>
    </row>
    <row r="10" spans="1:4" ht="18.75" x14ac:dyDescent="0.3">
      <c r="A10" s="502" t="s">
        <v>469</v>
      </c>
      <c r="B10" s="503"/>
      <c r="C10" s="503"/>
      <c r="D10" s="536"/>
    </row>
    <row r="11" spans="1:4" ht="15" x14ac:dyDescent="0.25">
      <c r="A11" s="4"/>
      <c r="B11" s="48" t="s">
        <v>134</v>
      </c>
      <c r="C11" s="48"/>
      <c r="D11" s="535"/>
    </row>
    <row r="12" spans="1:4" ht="15" x14ac:dyDescent="0.25">
      <c r="A12" s="4"/>
      <c r="B12" s="48"/>
      <c r="C12" s="49" t="str">
        <f>IF(D12&lt;&gt;"","▪","")</f>
        <v>▪</v>
      </c>
      <c r="D12" s="535" t="s">
        <v>401</v>
      </c>
    </row>
    <row r="13" spans="1:4" ht="15" x14ac:dyDescent="0.25">
      <c r="A13" s="4"/>
      <c r="B13" s="48" t="s">
        <v>399</v>
      </c>
      <c r="C13" s="48"/>
      <c r="D13" s="535"/>
    </row>
    <row r="14" spans="1:4" ht="15" x14ac:dyDescent="0.25">
      <c r="A14" s="432"/>
      <c r="B14" s="48"/>
      <c r="C14" s="49" t="str">
        <f>IF(D14&lt;&gt;"","▪","")</f>
        <v>▪</v>
      </c>
      <c r="D14" s="535" t="s">
        <v>402</v>
      </c>
    </row>
    <row r="15" spans="1:4" ht="15" x14ac:dyDescent="0.2">
      <c r="A15" s="432"/>
      <c r="C15" s="49" t="str">
        <f>IF(D15&lt;&gt;"","▪","")</f>
        <v>▪</v>
      </c>
      <c r="D15" s="535" t="s">
        <v>403</v>
      </c>
    </row>
    <row r="16" spans="1:4" x14ac:dyDescent="0.2">
      <c r="A16" s="436"/>
      <c r="D16" s="87"/>
    </row>
    <row r="17" spans="1:4" ht="18.75" x14ac:dyDescent="0.3">
      <c r="A17" s="502" t="s">
        <v>468</v>
      </c>
      <c r="B17" s="503"/>
      <c r="C17" s="503"/>
      <c r="D17" s="536"/>
    </row>
    <row r="18" spans="1:4" ht="15" x14ac:dyDescent="0.25">
      <c r="A18" s="4"/>
      <c r="B18" s="48" t="s">
        <v>134</v>
      </c>
      <c r="C18" s="48"/>
      <c r="D18" s="535"/>
    </row>
    <row r="19" spans="1:4" ht="15" x14ac:dyDescent="0.25">
      <c r="A19" s="4"/>
      <c r="B19" s="48"/>
      <c r="C19" s="49" t="str">
        <f>IF(D19&lt;&gt;"","▪","")</f>
        <v>▪</v>
      </c>
      <c r="D19" s="535" t="s">
        <v>401</v>
      </c>
    </row>
    <row r="20" spans="1:4" ht="15" x14ac:dyDescent="0.25">
      <c r="A20" s="4"/>
      <c r="B20" s="48"/>
      <c r="C20" s="49" t="str">
        <f>IF(D20&lt;&gt;"","▪","")</f>
        <v>▪</v>
      </c>
      <c r="D20" s="535" t="s">
        <v>413</v>
      </c>
    </row>
    <row r="21" spans="1:4" ht="15" x14ac:dyDescent="0.25">
      <c r="A21" s="432"/>
      <c r="B21" s="48" t="s">
        <v>411</v>
      </c>
      <c r="C21" s="48"/>
      <c r="D21" s="535"/>
    </row>
    <row r="22" spans="1:4" ht="15" x14ac:dyDescent="0.25">
      <c r="A22" s="432"/>
      <c r="B22" s="48"/>
      <c r="C22" s="49" t="str">
        <f>IF(D22&lt;&gt;"","▪","")</f>
        <v>▪</v>
      </c>
      <c r="D22" s="535" t="s">
        <v>412</v>
      </c>
    </row>
    <row r="23" spans="1:4" ht="15" x14ac:dyDescent="0.25">
      <c r="A23" s="432"/>
      <c r="B23" s="48" t="s">
        <v>405</v>
      </c>
      <c r="C23" s="48"/>
      <c r="D23" s="535"/>
    </row>
    <row r="24" spans="1:4" ht="15" x14ac:dyDescent="0.25">
      <c r="A24" s="432"/>
      <c r="B24" s="48"/>
      <c r="C24" s="49" t="str">
        <f>IF(D24&lt;&gt;"","▪","")</f>
        <v>▪</v>
      </c>
      <c r="D24" s="535" t="s">
        <v>409</v>
      </c>
    </row>
    <row r="25" spans="1:4" ht="15" x14ac:dyDescent="0.25">
      <c r="A25" s="432"/>
      <c r="B25" s="48" t="s">
        <v>406</v>
      </c>
      <c r="C25" s="48"/>
      <c r="D25" s="535"/>
    </row>
    <row r="26" spans="1:4" ht="15" x14ac:dyDescent="0.25">
      <c r="A26" s="432"/>
      <c r="B26" s="48"/>
      <c r="C26" s="49" t="str">
        <f>IF(D26&lt;&gt;"","▪","")</f>
        <v>▪</v>
      </c>
      <c r="D26" s="535" t="s">
        <v>408</v>
      </c>
    </row>
    <row r="27" spans="1:4" ht="15" x14ac:dyDescent="0.25">
      <c r="A27" s="432"/>
      <c r="B27" s="48" t="s">
        <v>410</v>
      </c>
      <c r="C27" s="48"/>
      <c r="D27" s="535"/>
    </row>
    <row r="28" spans="1:4" ht="15" x14ac:dyDescent="0.25">
      <c r="A28" s="432"/>
      <c r="B28" s="48"/>
      <c r="C28" s="49" t="str">
        <f>IF(D28&lt;&gt;"","▪","")</f>
        <v>▪</v>
      </c>
      <c r="D28" s="535" t="s">
        <v>407</v>
      </c>
    </row>
    <row r="29" spans="1:4" x14ac:dyDescent="0.2">
      <c r="A29" s="436"/>
      <c r="D29" s="87"/>
    </row>
    <row r="30" spans="1:4" ht="18.75" x14ac:dyDescent="0.3">
      <c r="A30" s="502" t="s">
        <v>467</v>
      </c>
      <c r="B30" s="503"/>
      <c r="C30" s="503"/>
      <c r="D30" s="536"/>
    </row>
    <row r="31" spans="1:4" ht="15" x14ac:dyDescent="0.25">
      <c r="A31" s="4"/>
      <c r="B31" s="48" t="s">
        <v>134</v>
      </c>
      <c r="C31" s="48"/>
      <c r="D31" s="535"/>
    </row>
    <row r="32" spans="1:4" ht="15" x14ac:dyDescent="0.25">
      <c r="A32" s="4"/>
      <c r="B32" s="48"/>
      <c r="C32" s="49" t="str">
        <f>IF(D32&lt;&gt;"","▪","")</f>
        <v>▪</v>
      </c>
      <c r="D32" s="535" t="s">
        <v>413</v>
      </c>
    </row>
    <row r="33" spans="1:5" ht="15" x14ac:dyDescent="0.25">
      <c r="A33" s="4"/>
      <c r="B33" s="48" t="s">
        <v>414</v>
      </c>
      <c r="C33" s="49"/>
      <c r="D33" s="535"/>
    </row>
    <row r="34" spans="1:5" ht="15" x14ac:dyDescent="0.25">
      <c r="A34" s="4"/>
      <c r="B34" s="48"/>
      <c r="C34" s="49" t="str">
        <f>IF(D34&lt;&gt;"","▪","")</f>
        <v>▪</v>
      </c>
      <c r="D34" s="535" t="s">
        <v>415</v>
      </c>
    </row>
    <row r="35" spans="1:5" ht="15" x14ac:dyDescent="0.25">
      <c r="A35" s="4"/>
      <c r="B35" s="48"/>
      <c r="C35" s="48"/>
      <c r="D35" s="537"/>
      <c r="E35" s="48"/>
    </row>
    <row r="36" spans="1:5" x14ac:dyDescent="0.2">
      <c r="A36" s="436"/>
      <c r="D36" s="87"/>
    </row>
    <row r="37" spans="1:5" ht="18.75" x14ac:dyDescent="0.3">
      <c r="A37" s="502" t="s">
        <v>466</v>
      </c>
      <c r="B37" s="503"/>
      <c r="C37" s="503"/>
      <c r="D37" s="536"/>
    </row>
    <row r="38" spans="1:5" ht="15" x14ac:dyDescent="0.25">
      <c r="A38" s="4"/>
      <c r="B38" s="48" t="s">
        <v>210</v>
      </c>
      <c r="C38" s="48"/>
      <c r="D38" s="535"/>
    </row>
    <row r="39" spans="1:5" ht="15" x14ac:dyDescent="0.25">
      <c r="A39" s="4"/>
      <c r="B39" s="48"/>
      <c r="C39" s="49" t="str">
        <f>IF(D39&lt;&gt;"","▪","")</f>
        <v>▪</v>
      </c>
      <c r="D39" s="535" t="s">
        <v>416</v>
      </c>
    </row>
    <row r="40" spans="1:5" ht="15" x14ac:dyDescent="0.25">
      <c r="A40" s="4"/>
      <c r="B40" s="48" t="s">
        <v>405</v>
      </c>
      <c r="C40" s="48"/>
      <c r="D40" s="535"/>
    </row>
    <row r="41" spans="1:5" ht="15" x14ac:dyDescent="0.25">
      <c r="A41" s="4"/>
      <c r="B41" s="48"/>
      <c r="C41" s="49" t="str">
        <f>IF(D41&lt;&gt;"","▪","")</f>
        <v>▪</v>
      </c>
      <c r="D41" s="535" t="s">
        <v>417</v>
      </c>
    </row>
    <row r="42" spans="1:5" ht="15" x14ac:dyDescent="0.25">
      <c r="A42" s="4"/>
      <c r="B42" s="48" t="s">
        <v>406</v>
      </c>
      <c r="C42" s="48"/>
      <c r="D42" s="535"/>
      <c r="E42" s="48"/>
    </row>
    <row r="43" spans="1:5" ht="15" x14ac:dyDescent="0.25">
      <c r="A43" s="4"/>
      <c r="B43" s="48"/>
      <c r="C43" s="49" t="str">
        <f>IF(D43&lt;&gt;"","▪","")</f>
        <v>▪</v>
      </c>
      <c r="D43" s="535" t="s">
        <v>418</v>
      </c>
    </row>
    <row r="44" spans="1:5" ht="15" x14ac:dyDescent="0.25">
      <c r="A44" s="4"/>
      <c r="B44" s="48"/>
      <c r="C44" s="48"/>
      <c r="D44" s="537"/>
    </row>
    <row r="45" spans="1:5" ht="18.75" x14ac:dyDescent="0.3">
      <c r="A45" s="502" t="s">
        <v>465</v>
      </c>
      <c r="B45" s="503"/>
      <c r="C45" s="503"/>
      <c r="D45" s="536"/>
    </row>
    <row r="46" spans="1:5" ht="15" x14ac:dyDescent="0.25">
      <c r="A46" s="4"/>
      <c r="B46" s="48" t="s">
        <v>134</v>
      </c>
      <c r="C46" s="48"/>
      <c r="D46" s="535"/>
    </row>
    <row r="47" spans="1:5" ht="15" x14ac:dyDescent="0.25">
      <c r="A47" s="4"/>
      <c r="B47" s="48"/>
      <c r="C47" s="49" t="str">
        <f>IF(D47&lt;&gt;"","▪","")</f>
        <v>▪</v>
      </c>
      <c r="D47" s="535" t="s">
        <v>419</v>
      </c>
    </row>
    <row r="48" spans="1:5" ht="15" x14ac:dyDescent="0.25">
      <c r="A48" s="4"/>
      <c r="B48" s="48"/>
      <c r="C48" s="48"/>
      <c r="D48" s="537"/>
    </row>
    <row r="49" spans="1:4" ht="18.75" x14ac:dyDescent="0.3">
      <c r="A49" s="502" t="s">
        <v>464</v>
      </c>
      <c r="B49" s="503"/>
      <c r="C49" s="503"/>
      <c r="D49" s="536"/>
    </row>
    <row r="50" spans="1:4" ht="15" x14ac:dyDescent="0.25">
      <c r="A50" s="4"/>
      <c r="B50" s="48" t="s">
        <v>134</v>
      </c>
      <c r="C50" s="48"/>
      <c r="D50" s="535"/>
    </row>
    <row r="51" spans="1:4" ht="15" x14ac:dyDescent="0.25">
      <c r="A51" s="4"/>
      <c r="B51" s="48"/>
      <c r="C51" s="49" t="str">
        <f>IF(D51&lt;&gt;"","▪","")</f>
        <v>▪</v>
      </c>
      <c r="D51" s="535" t="s">
        <v>423</v>
      </c>
    </row>
    <row r="52" spans="1:4" ht="15" x14ac:dyDescent="0.25">
      <c r="A52" s="4"/>
      <c r="B52" s="48"/>
      <c r="C52" s="49" t="str">
        <f>IF(D52&lt;&gt;"","▪","")</f>
        <v>▪</v>
      </c>
      <c r="D52" s="535" t="s">
        <v>424</v>
      </c>
    </row>
    <row r="53" spans="1:4" ht="15" x14ac:dyDescent="0.25">
      <c r="A53" s="4"/>
      <c r="B53" s="48"/>
      <c r="C53" s="48"/>
      <c r="D53" s="537"/>
    </row>
    <row r="54" spans="1:4" ht="18.75" x14ac:dyDescent="0.3">
      <c r="A54" s="512" t="s">
        <v>463</v>
      </c>
      <c r="B54" s="503"/>
      <c r="C54" s="503"/>
      <c r="D54" s="536"/>
    </row>
    <row r="55" spans="1:4" ht="15" x14ac:dyDescent="0.25">
      <c r="A55" s="432"/>
      <c r="B55" s="48" t="s">
        <v>134</v>
      </c>
      <c r="C55" s="48"/>
      <c r="D55" s="535"/>
    </row>
    <row r="56" spans="1:4" ht="15" x14ac:dyDescent="0.25">
      <c r="A56" s="432"/>
      <c r="B56" s="48"/>
      <c r="C56" s="49" t="str">
        <f t="shared" ref="C56" si="0">IF(D56&lt;&gt;"","▪","")</f>
        <v>▪</v>
      </c>
      <c r="D56" s="535" t="s">
        <v>458</v>
      </c>
    </row>
    <row r="57" spans="1:4" ht="30" customHeight="1" x14ac:dyDescent="0.25">
      <c r="A57" s="432"/>
      <c r="B57" s="48"/>
      <c r="C57" s="49" t="str">
        <f t="shared" ref="C57:C62" si="1">IF(D57&lt;&gt;"","▪","")</f>
        <v>▪</v>
      </c>
      <c r="D57" s="535" t="s">
        <v>446</v>
      </c>
    </row>
    <row r="58" spans="1:4" ht="30" customHeight="1" x14ac:dyDescent="0.25">
      <c r="A58" s="432"/>
      <c r="B58" s="48"/>
      <c r="C58" s="49" t="str">
        <f t="shared" si="1"/>
        <v>▪</v>
      </c>
      <c r="D58" s="535" t="s">
        <v>428</v>
      </c>
    </row>
    <row r="59" spans="1:4" ht="30" customHeight="1" x14ac:dyDescent="0.25">
      <c r="A59" s="432"/>
      <c r="B59" s="48"/>
      <c r="C59" s="49" t="str">
        <f t="shared" si="1"/>
        <v>▪</v>
      </c>
      <c r="D59" s="535" t="s">
        <v>429</v>
      </c>
    </row>
    <row r="60" spans="1:4" ht="25.5" x14ac:dyDescent="0.25">
      <c r="A60" s="432"/>
      <c r="B60" s="48"/>
      <c r="C60" s="49" t="str">
        <f t="shared" si="1"/>
        <v>▪</v>
      </c>
      <c r="D60" s="535" t="s">
        <v>457</v>
      </c>
    </row>
    <row r="61" spans="1:4" ht="15" x14ac:dyDescent="0.25">
      <c r="A61" s="432"/>
      <c r="B61" s="48"/>
      <c r="C61" s="49" t="str">
        <f t="shared" si="1"/>
        <v>▪</v>
      </c>
      <c r="D61" s="535" t="s">
        <v>439</v>
      </c>
    </row>
    <row r="62" spans="1:4" ht="30" customHeight="1" x14ac:dyDescent="0.25">
      <c r="A62" s="432"/>
      <c r="B62" s="48"/>
      <c r="C62" s="49" t="str">
        <f t="shared" si="1"/>
        <v>▪</v>
      </c>
      <c r="D62" s="535" t="s">
        <v>430</v>
      </c>
    </row>
    <row r="63" spans="1:4" ht="15" x14ac:dyDescent="0.25">
      <c r="A63" s="432"/>
      <c r="B63" s="48" t="s">
        <v>431</v>
      </c>
      <c r="C63" s="48"/>
      <c r="D63" s="535"/>
    </row>
    <row r="64" spans="1:4" ht="15" x14ac:dyDescent="0.25">
      <c r="A64" s="432"/>
      <c r="B64" s="48"/>
      <c r="C64" s="49" t="str">
        <f>IF(D64&lt;&gt;"","▪","")</f>
        <v>▪</v>
      </c>
      <c r="D64" s="535" t="s">
        <v>454</v>
      </c>
    </row>
    <row r="65" spans="1:4" ht="15" x14ac:dyDescent="0.25">
      <c r="A65" s="432"/>
      <c r="B65" s="48"/>
      <c r="C65" s="49" t="str">
        <f>IF(D65&lt;&gt;"","▪","")</f>
        <v>▪</v>
      </c>
      <c r="D65" s="535" t="s">
        <v>453</v>
      </c>
    </row>
    <row r="66" spans="1:4" ht="15" x14ac:dyDescent="0.25">
      <c r="A66" s="432"/>
      <c r="B66" s="48"/>
      <c r="C66" s="49"/>
      <c r="D66" s="538" t="s">
        <v>432</v>
      </c>
    </row>
    <row r="67" spans="1:4" ht="15" x14ac:dyDescent="0.25">
      <c r="A67" s="432"/>
      <c r="B67" s="48"/>
      <c r="C67" s="49" t="str">
        <f>IF(D67&lt;&gt;"","▪","")</f>
        <v>▪</v>
      </c>
      <c r="D67" s="535" t="s">
        <v>433</v>
      </c>
    </row>
    <row r="68" spans="1:4" ht="15" x14ac:dyDescent="0.25">
      <c r="A68" s="432"/>
      <c r="B68" s="48"/>
      <c r="C68" s="49"/>
      <c r="D68" s="538" t="s">
        <v>434</v>
      </c>
    </row>
    <row r="69" spans="1:4" ht="15" x14ac:dyDescent="0.25">
      <c r="A69" s="432"/>
      <c r="B69" s="48"/>
      <c r="C69" s="49" t="str">
        <f>IF(D69&lt;&gt;"","▪","")</f>
        <v>▪</v>
      </c>
      <c r="D69" s="535" t="s">
        <v>460</v>
      </c>
    </row>
    <row r="70" spans="1:4" ht="15" x14ac:dyDescent="0.25">
      <c r="A70" s="432"/>
      <c r="B70" s="48"/>
      <c r="C70" s="49" t="str">
        <f>IF(D70&lt;&gt;"","▪","")</f>
        <v>▪</v>
      </c>
      <c r="D70" s="535" t="s">
        <v>461</v>
      </c>
    </row>
    <row r="71" spans="1:4" ht="15" x14ac:dyDescent="0.25">
      <c r="A71" s="432"/>
      <c r="B71" s="48" t="s">
        <v>210</v>
      </c>
      <c r="C71" s="48"/>
      <c r="D71" s="535"/>
    </row>
    <row r="72" spans="1:4" ht="15" x14ac:dyDescent="0.25">
      <c r="A72" s="432"/>
      <c r="B72" s="48"/>
      <c r="C72" s="49" t="str">
        <f>IF(D72&lt;&gt;"","▪","")</f>
        <v>▪</v>
      </c>
      <c r="D72" s="535" t="s">
        <v>438</v>
      </c>
    </row>
    <row r="73" spans="1:4" ht="15" x14ac:dyDescent="0.25">
      <c r="A73" s="432"/>
      <c r="B73" s="48" t="s">
        <v>435</v>
      </c>
      <c r="C73" s="48"/>
      <c r="D73" s="535"/>
    </row>
    <row r="74" spans="1:4" ht="15" x14ac:dyDescent="0.25">
      <c r="A74" s="432"/>
      <c r="B74" s="48"/>
      <c r="C74" s="49" t="str">
        <f>IF(D74&lt;&gt;"","▪","")</f>
        <v>▪</v>
      </c>
      <c r="D74" s="535" t="s">
        <v>451</v>
      </c>
    </row>
    <row r="75" spans="1:4" ht="15" x14ac:dyDescent="0.25">
      <c r="A75" s="432"/>
      <c r="B75" s="48"/>
      <c r="C75" s="49" t="str">
        <f>IF(D75&lt;&gt;"","▪","")</f>
        <v>▪</v>
      </c>
      <c r="D75" s="535" t="s">
        <v>452</v>
      </c>
    </row>
    <row r="76" spans="1:4" ht="15" x14ac:dyDescent="0.25">
      <c r="A76" s="432"/>
      <c r="B76" s="48"/>
      <c r="C76" s="49" t="str">
        <f>IF(D76&lt;&gt;"","▪","")</f>
        <v>▪</v>
      </c>
      <c r="D76" s="535" t="s">
        <v>449</v>
      </c>
    </row>
    <row r="77" spans="1:4" ht="15" x14ac:dyDescent="0.25">
      <c r="A77" s="432"/>
      <c r="B77" s="48"/>
      <c r="C77" s="49" t="str">
        <f>IF(D77&lt;&gt;"","▪","")</f>
        <v>▪</v>
      </c>
      <c r="D77" s="535" t="s">
        <v>448</v>
      </c>
    </row>
    <row r="78" spans="1:4" ht="15" x14ac:dyDescent="0.25">
      <c r="A78" s="432"/>
      <c r="B78" s="48" t="s">
        <v>436</v>
      </c>
      <c r="C78" s="48"/>
      <c r="D78" s="535"/>
    </row>
    <row r="79" spans="1:4" ht="15" x14ac:dyDescent="0.25">
      <c r="A79" s="432"/>
      <c r="B79" s="48"/>
      <c r="C79" s="49" t="str">
        <f>IF(D79&lt;&gt;"","▪","")</f>
        <v>▪</v>
      </c>
      <c r="D79" s="535" t="s">
        <v>451</v>
      </c>
    </row>
    <row r="80" spans="1:4" ht="15" x14ac:dyDescent="0.25">
      <c r="A80" s="432"/>
      <c r="B80" s="48"/>
      <c r="C80" s="49" t="str">
        <f>IF(D80&lt;&gt;"","▪","")</f>
        <v>▪</v>
      </c>
      <c r="D80" s="535" t="s">
        <v>450</v>
      </c>
    </row>
    <row r="81" spans="1:4" ht="15" x14ac:dyDescent="0.25">
      <c r="A81" s="432"/>
      <c r="B81" s="48"/>
      <c r="C81" s="49" t="str">
        <f>IF(D81&lt;&gt;"","▪","")</f>
        <v>▪</v>
      </c>
      <c r="D81" s="535" t="s">
        <v>449</v>
      </c>
    </row>
    <row r="82" spans="1:4" ht="15" x14ac:dyDescent="0.25">
      <c r="A82" s="432"/>
      <c r="B82" s="48"/>
      <c r="C82" s="49" t="str">
        <f>IF(D82&lt;&gt;"","▪","")</f>
        <v>▪</v>
      </c>
      <c r="D82" s="535" t="s">
        <v>448</v>
      </c>
    </row>
    <row r="83" spans="1:4" ht="15" x14ac:dyDescent="0.25">
      <c r="A83" s="432"/>
      <c r="B83" s="48" t="s">
        <v>410</v>
      </c>
      <c r="C83" s="48"/>
      <c r="D83" s="535"/>
    </row>
    <row r="84" spans="1:4" ht="20.100000000000001" customHeight="1" x14ac:dyDescent="0.25">
      <c r="A84" s="432"/>
      <c r="B84" s="48"/>
      <c r="C84" s="49" t="str">
        <f>IF(D84&lt;&gt;"","▪","")</f>
        <v>▪</v>
      </c>
      <c r="D84" s="535" t="s">
        <v>459</v>
      </c>
    </row>
    <row r="85" spans="1:4" ht="15" x14ac:dyDescent="0.25">
      <c r="A85" s="432"/>
      <c r="B85" s="48" t="s">
        <v>437</v>
      </c>
      <c r="C85" s="48"/>
      <c r="D85" s="535"/>
    </row>
    <row r="86" spans="1:4" ht="20.100000000000001" customHeight="1" x14ac:dyDescent="0.25">
      <c r="A86" s="432"/>
      <c r="B86" s="48"/>
      <c r="C86" s="49" t="str">
        <f>IF(D86&lt;&gt;"","▪","")</f>
        <v>▪</v>
      </c>
      <c r="D86" s="535" t="s">
        <v>447</v>
      </c>
    </row>
    <row r="87" spans="1:4" ht="15" x14ac:dyDescent="0.25">
      <c r="A87" s="436"/>
      <c r="B87" s="511"/>
      <c r="C87" s="511"/>
      <c r="D87" s="539"/>
    </row>
    <row r="88" spans="1:4" ht="18.75" x14ac:dyDescent="0.3">
      <c r="A88" s="502" t="s">
        <v>462</v>
      </c>
      <c r="B88" s="503"/>
      <c r="C88" s="503"/>
      <c r="D88" s="536"/>
    </row>
    <row r="89" spans="1:4" ht="15" x14ac:dyDescent="0.25">
      <c r="A89" s="4"/>
      <c r="B89" s="48" t="s">
        <v>134</v>
      </c>
      <c r="C89" s="48"/>
      <c r="D89" s="535"/>
    </row>
    <row r="90" spans="1:4" ht="15" x14ac:dyDescent="0.25">
      <c r="A90" s="4"/>
      <c r="B90" s="48"/>
      <c r="C90" s="49" t="str">
        <f>IF(D90&lt;&gt;"","▪","")</f>
        <v>▪</v>
      </c>
      <c r="D90" s="535" t="s">
        <v>915</v>
      </c>
    </row>
    <row r="91" spans="1:4" ht="15" x14ac:dyDescent="0.25">
      <c r="A91" s="4"/>
      <c r="B91" s="48" t="s">
        <v>431</v>
      </c>
      <c r="C91" s="48"/>
      <c r="D91" s="535"/>
    </row>
    <row r="92" spans="1:4" ht="38.25" x14ac:dyDescent="0.25">
      <c r="A92" s="4"/>
      <c r="B92" s="48"/>
      <c r="C92" s="49" t="str">
        <f>IF(D92&lt;&gt;"","▪","")</f>
        <v>▪</v>
      </c>
      <c r="D92" s="535" t="s">
        <v>928</v>
      </c>
    </row>
    <row r="93" spans="1:4" ht="25.5" x14ac:dyDescent="0.25">
      <c r="A93" s="4"/>
      <c r="B93" s="48"/>
      <c r="C93" s="49" t="str">
        <f>IF(D93&lt;&gt;"","▪","")</f>
        <v>▪</v>
      </c>
      <c r="D93" s="535" t="s">
        <v>930</v>
      </c>
    </row>
    <row r="94" spans="1:4" ht="15" x14ac:dyDescent="0.25">
      <c r="A94" s="4"/>
      <c r="B94" s="48"/>
      <c r="C94" s="49" t="str">
        <f>IF(D94&lt;&gt;"","▪","")</f>
        <v>▪</v>
      </c>
      <c r="D94" s="535" t="s">
        <v>926</v>
      </c>
    </row>
    <row r="95" spans="1:4" ht="15" x14ac:dyDescent="0.25">
      <c r="A95" s="4"/>
      <c r="B95" s="48" t="s">
        <v>210</v>
      </c>
      <c r="C95" s="48"/>
      <c r="D95" s="535"/>
    </row>
    <row r="96" spans="1:4" ht="15" x14ac:dyDescent="0.25">
      <c r="A96" s="4"/>
      <c r="B96" s="48"/>
      <c r="C96" s="49" t="str">
        <f>IF(D96&lt;&gt;"","▪","")</f>
        <v>▪</v>
      </c>
      <c r="D96" s="535" t="s">
        <v>908</v>
      </c>
    </row>
    <row r="97" spans="1:4" ht="15" x14ac:dyDescent="0.25">
      <c r="A97" s="4"/>
      <c r="B97" s="48" t="s">
        <v>411</v>
      </c>
      <c r="C97" s="48"/>
      <c r="D97" s="535"/>
    </row>
    <row r="98" spans="1:4" ht="15" x14ac:dyDescent="0.25">
      <c r="A98" s="4"/>
      <c r="B98" s="48"/>
      <c r="C98" s="49" t="str">
        <f>IF(D98&lt;&gt;"","▪","")</f>
        <v>▪</v>
      </c>
      <c r="D98" s="535" t="s">
        <v>924</v>
      </c>
    </row>
    <row r="99" spans="1:4" ht="15" x14ac:dyDescent="0.25">
      <c r="A99" s="432"/>
      <c r="B99" s="48" t="s">
        <v>435</v>
      </c>
      <c r="C99" s="48"/>
      <c r="D99" s="535"/>
    </row>
    <row r="100" spans="1:4" ht="25.5" x14ac:dyDescent="0.25">
      <c r="A100" s="432"/>
      <c r="B100" s="48"/>
      <c r="C100" s="49" t="str">
        <f>IF(D100&lt;&gt;"","▪","")</f>
        <v>▪</v>
      </c>
      <c r="D100" s="535" t="s">
        <v>925</v>
      </c>
    </row>
    <row r="101" spans="1:4" ht="15" x14ac:dyDescent="0.25">
      <c r="A101" s="432"/>
      <c r="B101" s="48"/>
      <c r="C101" s="49" t="str">
        <f>IF(D101&lt;&gt;"","▪","")</f>
        <v>▪</v>
      </c>
      <c r="D101" s="535" t="s">
        <v>916</v>
      </c>
    </row>
    <row r="102" spans="1:4" ht="15" x14ac:dyDescent="0.25">
      <c r="A102" s="432"/>
      <c r="B102" s="48" t="s">
        <v>414</v>
      </c>
      <c r="C102" s="48"/>
      <c r="D102" s="535"/>
    </row>
    <row r="103" spans="1:4" ht="15" x14ac:dyDescent="0.25">
      <c r="A103" s="432"/>
      <c r="B103" s="48"/>
      <c r="C103" s="49" t="str">
        <f>IF(D103&lt;&gt;"","▪","")</f>
        <v>▪</v>
      </c>
      <c r="D103" s="535" t="s">
        <v>917</v>
      </c>
    </row>
    <row r="104" spans="1:4" ht="15" x14ac:dyDescent="0.25">
      <c r="A104" s="4"/>
      <c r="B104" s="48" t="s">
        <v>436</v>
      </c>
      <c r="C104" s="48"/>
      <c r="D104" s="535"/>
    </row>
    <row r="105" spans="1:4" ht="15" x14ac:dyDescent="0.25">
      <c r="A105" s="4"/>
      <c r="B105" s="48"/>
      <c r="C105" s="49" t="str">
        <f>IF(D105&lt;&gt;"","▪","")</f>
        <v>▪</v>
      </c>
      <c r="D105" s="535" t="s">
        <v>920</v>
      </c>
    </row>
    <row r="106" spans="1:4" ht="15" x14ac:dyDescent="0.25">
      <c r="A106" s="4"/>
      <c r="B106" s="48"/>
      <c r="C106" s="49" t="str">
        <f>IF(D106&lt;&gt;"","▪","")</f>
        <v>▪</v>
      </c>
      <c r="D106" s="535" t="s">
        <v>918</v>
      </c>
    </row>
    <row r="107" spans="1:4" ht="15" x14ac:dyDescent="0.25">
      <c r="A107" s="4"/>
      <c r="B107" s="48" t="s">
        <v>471</v>
      </c>
      <c r="C107" s="48"/>
      <c r="D107" s="535"/>
    </row>
    <row r="108" spans="1:4" ht="15" x14ac:dyDescent="0.25">
      <c r="A108" s="4"/>
      <c r="B108" s="48"/>
      <c r="C108" s="49" t="str">
        <f>IF(D108&lt;&gt;"","▪","")</f>
        <v>▪</v>
      </c>
      <c r="D108" s="535" t="s">
        <v>472</v>
      </c>
    </row>
    <row r="109" spans="1:4" ht="15" x14ac:dyDescent="0.25">
      <c r="A109" s="4"/>
      <c r="B109" s="48"/>
      <c r="C109" s="49" t="str">
        <f>IF(D109&lt;&gt;"","▪","")</f>
        <v>▪</v>
      </c>
      <c r="D109" s="535" t="s">
        <v>919</v>
      </c>
    </row>
    <row r="110" spans="1:4" ht="15" x14ac:dyDescent="0.25">
      <c r="A110" s="4"/>
      <c r="B110" s="48"/>
      <c r="C110" s="49" t="str">
        <f>IF(D110&lt;&gt;"","▪","")</f>
        <v>▪</v>
      </c>
      <c r="D110" s="535" t="s">
        <v>921</v>
      </c>
    </row>
    <row r="111" spans="1:4" ht="15" x14ac:dyDescent="0.25">
      <c r="A111" s="4"/>
      <c r="B111" s="48" t="s">
        <v>410</v>
      </c>
      <c r="C111" s="48"/>
      <c r="D111" s="535"/>
    </row>
    <row r="112" spans="1:4" ht="15" x14ac:dyDescent="0.25">
      <c r="A112" s="4"/>
      <c r="B112" s="48"/>
      <c r="C112" s="49" t="str">
        <f>IF(D112&lt;&gt;"","▪","")</f>
        <v>▪</v>
      </c>
      <c r="D112" s="535" t="s">
        <v>473</v>
      </c>
    </row>
    <row r="113" spans="1:4" ht="15" x14ac:dyDescent="0.25">
      <c r="A113" s="4"/>
      <c r="B113" s="48" t="s">
        <v>358</v>
      </c>
      <c r="C113" s="48"/>
      <c r="D113" s="535"/>
    </row>
    <row r="114" spans="1:4" ht="15" x14ac:dyDescent="0.25">
      <c r="A114" s="4"/>
      <c r="B114" s="48"/>
      <c r="C114" s="49" t="str">
        <f>IF(D114&lt;&gt;"","▪","")</f>
        <v>▪</v>
      </c>
      <c r="D114" s="535" t="s">
        <v>922</v>
      </c>
    </row>
    <row r="115" spans="1:4" ht="15" x14ac:dyDescent="0.25">
      <c r="A115" s="4"/>
      <c r="B115" s="48" t="s">
        <v>4</v>
      </c>
      <c r="C115" s="48"/>
      <c r="D115" s="535"/>
    </row>
    <row r="116" spans="1:4" ht="15" x14ac:dyDescent="0.25">
      <c r="A116" s="4"/>
      <c r="B116" s="48"/>
      <c r="C116" s="49" t="str">
        <f>IF(D116&lt;&gt;"","▪","")</f>
        <v>▪</v>
      </c>
      <c r="D116" s="535" t="s">
        <v>923</v>
      </c>
    </row>
    <row r="117" spans="1:4" ht="15" x14ac:dyDescent="0.25">
      <c r="A117" s="436"/>
      <c r="B117" s="511"/>
      <c r="C117" s="511"/>
      <c r="D117" s="539"/>
    </row>
  </sheetData>
  <sheetProtection algorithmName="SHA-512" hashValue="9US5qTCbiMCiyFrGKbQ0zq1AUojBPbGWaQ8Q+F0k0oVKLV0CovGbAHeAFL1mTihvE9gDWxkB7/NiCPqC4bD9Lg==" saltValue="0BlXbKVSRZauYIvsjz5PR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&amp;LPMv3.08&amp;R&amp;P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E6" sqref="E6"/>
    </sheetView>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20"/>
      <c r="B1" s="420"/>
      <c r="C1" s="420"/>
      <c r="D1" s="420"/>
      <c r="E1" s="420"/>
      <c r="F1" s="420"/>
      <c r="G1" s="420"/>
      <c r="H1" s="420"/>
      <c r="I1" s="420"/>
      <c r="J1" s="526" t="s">
        <v>0</v>
      </c>
      <c r="K1" s="550" t="b">
        <v>1</v>
      </c>
    </row>
    <row r="2" spans="1:15" ht="22.5" customHeight="1" x14ac:dyDescent="0.2">
      <c r="A2" s="420"/>
      <c r="B2" s="422"/>
      <c r="C2" s="422"/>
      <c r="D2" s="422"/>
      <c r="E2" s="679" t="str">
        <f>CHOOSE(MATCH(Objeto,{"PM","PO"}),"PLANILHA MÚLTIPLA ","PLANILHA ORÇAMENTÁRIA ")&amp; Versao</f>
        <v>PLANILHA MÚLTIPLA v3.08</v>
      </c>
      <c r="F2" s="679"/>
      <c r="G2" s="679"/>
      <c r="H2" s="424"/>
      <c r="I2" s="422"/>
      <c r="J2" s="526" t="s">
        <v>474</v>
      </c>
      <c r="K2" s="550" t="b">
        <v>1</v>
      </c>
    </row>
    <row r="3" spans="1:15" ht="22.5" customHeight="1" x14ac:dyDescent="0.2">
      <c r="A3" s="420"/>
      <c r="B3" s="422"/>
      <c r="C3" s="422"/>
      <c r="D3" s="422"/>
      <c r="E3" s="679"/>
      <c r="F3" s="679"/>
      <c r="G3" s="679"/>
      <c r="H3" s="424"/>
      <c r="I3" s="422"/>
      <c r="O3" s="425">
        <v>1</v>
      </c>
    </row>
    <row r="4" spans="1:15" ht="17.100000000000001" customHeight="1" x14ac:dyDescent="0.2">
      <c r="A4" s="420"/>
      <c r="B4" s="422"/>
      <c r="C4" s="422"/>
      <c r="D4" s="422"/>
      <c r="E4" s="422"/>
      <c r="F4" s="423"/>
      <c r="G4" s="424"/>
      <c r="H4" s="424"/>
      <c r="I4" s="422"/>
      <c r="O4" s="425">
        <v>1</v>
      </c>
    </row>
    <row r="5" spans="1:15" ht="17.100000000000001" customHeight="1" thickBot="1" x14ac:dyDescent="0.25">
      <c r="A5" s="420"/>
      <c r="B5" s="422"/>
      <c r="C5" s="422"/>
      <c r="D5" s="422"/>
      <c r="E5" s="422"/>
      <c r="F5" s="423"/>
      <c r="G5" s="424"/>
      <c r="H5" s="424"/>
      <c r="I5" s="422"/>
      <c r="J5" s="437" t="s">
        <v>395</v>
      </c>
    </row>
    <row r="6" spans="1:15" ht="21" customHeight="1" thickBot="1" x14ac:dyDescent="0.25">
      <c r="A6" s="420"/>
      <c r="B6" s="420"/>
      <c r="C6" s="420"/>
      <c r="D6" s="420"/>
      <c r="E6" s="549" t="s">
        <v>389</v>
      </c>
      <c r="F6" s="421"/>
      <c r="G6" s="549" t="s">
        <v>390</v>
      </c>
      <c r="H6" s="420"/>
      <c r="I6" s="420"/>
      <c r="J6" s="437" t="s">
        <v>1</v>
      </c>
    </row>
    <row r="7" spans="1:15" x14ac:dyDescent="0.2">
      <c r="A7" s="420"/>
      <c r="B7" s="420"/>
      <c r="C7" s="420"/>
      <c r="D7" s="420"/>
      <c r="E7" s="420"/>
      <c r="F7" s="420"/>
      <c r="G7" s="420"/>
      <c r="H7" s="420"/>
      <c r="I7" s="420"/>
      <c r="J7" s="437" t="s">
        <v>358</v>
      </c>
      <c r="K7" s="427"/>
      <c r="L7" s="428"/>
      <c r="M7" s="428"/>
      <c r="N7" s="429"/>
    </row>
    <row r="8" spans="1:15" ht="21" customHeight="1" x14ac:dyDescent="0.2">
      <c r="A8" s="422"/>
      <c r="B8" s="678" t="str">
        <f>IF($O$3&lt;&gt;2,"DOCUMENTAÇÃO DA PROPOSTA","PROPOSTA: Para visualizar/preencher esta seção, altere o TIPO DE ORÇAMENTO para 'Proposto'")</f>
        <v>DOCUMENTAÇÃO DA PROPOSTA</v>
      </c>
      <c r="C8" s="678"/>
      <c r="D8" s="678"/>
      <c r="E8" s="678"/>
      <c r="F8" s="678"/>
      <c r="G8" s="678"/>
      <c r="H8" s="678"/>
      <c r="I8" s="420"/>
      <c r="J8" s="437" t="s">
        <v>4</v>
      </c>
      <c r="K8" s="430"/>
      <c r="L8" s="431" t="s">
        <v>391</v>
      </c>
      <c r="M8" s="431"/>
      <c r="N8" s="432"/>
    </row>
    <row r="9" spans="1:15" ht="13.5" thickBot="1" x14ac:dyDescent="0.25">
      <c r="A9" s="420"/>
      <c r="B9" s="420"/>
      <c r="C9" s="420"/>
      <c r="D9" s="420"/>
      <c r="E9" s="420"/>
      <c r="F9" s="420"/>
      <c r="G9" s="420"/>
      <c r="H9" s="420"/>
      <c r="I9" s="420"/>
      <c r="K9" s="430"/>
      <c r="L9" t="s">
        <v>393</v>
      </c>
      <c r="N9" s="432"/>
    </row>
    <row r="10" spans="1:15" ht="21" customHeight="1" thickBot="1" x14ac:dyDescent="0.25">
      <c r="A10" s="420"/>
      <c r="B10" s="420"/>
      <c r="C10" s="513" t="str">
        <f>IF(TIPOORCAMENTO&lt;&gt;"Proposto","","                    BDI                    ")</f>
        <v xml:space="preserve">                    BDI                    </v>
      </c>
      <c r="D10" s="421"/>
      <c r="E10" s="513" t="str">
        <f>IF(TIPOORCAMENTO&lt;&gt;"Proposto","","             ORÇAMENTO             ")</f>
        <v xml:space="preserve">             ORÇAMENTO             </v>
      </c>
      <c r="F10" s="421"/>
      <c r="G10" s="515" t="str">
        <f>IF(TIPOORCAMENTO&lt;&gt;"Proposto","","MEMÓRIA DE CÁLCULO / PLQ")</f>
        <v>MEMÓRIA DE CÁLCULO / PLQ</v>
      </c>
      <c r="H10" s="420"/>
      <c r="I10" s="420"/>
      <c r="K10" s="430"/>
      <c r="L10" s="5"/>
      <c r="M10" s="3"/>
      <c r="N10" s="433" t="s">
        <v>2</v>
      </c>
    </row>
    <row r="11" spans="1:15" ht="13.5" thickBot="1" x14ac:dyDescent="0.25">
      <c r="A11" s="420"/>
      <c r="B11" s="420"/>
      <c r="C11" s="421"/>
      <c r="D11" s="421"/>
      <c r="E11" s="421"/>
      <c r="F11" s="421"/>
      <c r="G11" s="421"/>
      <c r="H11" s="420"/>
      <c r="I11" s="420"/>
      <c r="K11" s="430"/>
      <c r="N11" s="432"/>
    </row>
    <row r="12" spans="1:15" ht="21" customHeight="1" thickBot="1" x14ac:dyDescent="0.25">
      <c r="A12" s="420"/>
      <c r="B12" s="420"/>
      <c r="C12" s="513" t="str">
        <f>IF(TIPOORCAMENTO&lt;&gt;"Proposto","","                    QCI                    ")</f>
        <v xml:space="preserve">                    QCI                    </v>
      </c>
      <c r="D12" s="421"/>
      <c r="E12" s="514" t="str">
        <f>IF(TIPOORCAMENTO&lt;&gt;"Proposto","","CRONOGRAMA FÍSICO-FINANCEIRO")</f>
        <v>CRONOGRAMA FÍSICO-FINANCEIRO</v>
      </c>
      <c r="F12" s="421"/>
      <c r="G12" s="421"/>
      <c r="H12" s="420"/>
      <c r="I12" s="420"/>
      <c r="K12" s="430"/>
      <c r="L12" s="6"/>
      <c r="M12" s="3"/>
      <c r="N12" s="433" t="s">
        <v>3</v>
      </c>
    </row>
    <row r="13" spans="1:15" x14ac:dyDescent="0.2">
      <c r="A13" s="420"/>
      <c r="B13" s="420"/>
      <c r="C13" s="420"/>
      <c r="D13" s="420"/>
      <c r="E13" s="420"/>
      <c r="F13" s="420"/>
      <c r="G13" s="420"/>
      <c r="H13" s="420"/>
      <c r="I13" s="420"/>
      <c r="K13" s="430"/>
      <c r="N13" s="432"/>
    </row>
    <row r="14" spans="1:15" x14ac:dyDescent="0.2">
      <c r="A14" s="420"/>
      <c r="B14" s="420"/>
      <c r="C14" s="420"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20"/>
      <c r="E14" s="420"/>
      <c r="F14" s="420"/>
      <c r="G14" s="420"/>
      <c r="H14" s="420"/>
      <c r="I14" s="420"/>
      <c r="K14" s="430"/>
      <c r="N14" s="432"/>
    </row>
    <row r="15" spans="1:15" x14ac:dyDescent="0.2">
      <c r="A15" s="420"/>
      <c r="B15" s="420"/>
      <c r="C15" s="420"/>
      <c r="D15" s="420"/>
      <c r="E15" s="420"/>
      <c r="F15" s="420"/>
      <c r="G15" s="420"/>
      <c r="H15" s="420"/>
      <c r="I15" s="420"/>
      <c r="K15" s="430"/>
      <c r="L15" t="s">
        <v>394</v>
      </c>
      <c r="N15" s="432"/>
    </row>
    <row r="16" spans="1:15" ht="21" customHeight="1" x14ac:dyDescent="0.2">
      <c r="A16" s="420"/>
      <c r="B16" s="678" t="str">
        <f>IF($O$3&lt;&gt;2,"PÓS-LICITADO: Para visualizar/preencher esta seção, altere o TIPO DE ORÇAMENTO para 'Licitado'","RESULTADO DO PROCESSO LICITATÓRIO")</f>
        <v>PÓS-LICITADO: Para visualizar/preencher esta seção, altere o TIPO DE ORÇAMENTO para 'Licitado'</v>
      </c>
      <c r="C16" s="678"/>
      <c r="D16" s="678"/>
      <c r="E16" s="678"/>
      <c r="F16" s="678"/>
      <c r="G16" s="678"/>
      <c r="H16" s="678"/>
      <c r="I16" s="420"/>
      <c r="K16" s="430"/>
      <c r="L16" s="516"/>
      <c r="M16" s="3"/>
      <c r="N16" s="433" t="s">
        <v>440</v>
      </c>
    </row>
    <row r="17" spans="1:14" ht="13.5" thickBot="1" x14ac:dyDescent="0.25">
      <c r="A17" s="420"/>
      <c r="B17" s="420"/>
      <c r="C17" s="420"/>
      <c r="D17" s="420"/>
      <c r="E17" s="420"/>
      <c r="F17" s="420"/>
      <c r="G17" s="420"/>
      <c r="H17" s="420"/>
      <c r="I17" s="420"/>
      <c r="K17" s="430"/>
      <c r="N17" s="432"/>
    </row>
    <row r="18" spans="1:14" ht="21" customHeight="1" thickBot="1" x14ac:dyDescent="0.25">
      <c r="A18" s="420"/>
      <c r="B18" s="420"/>
      <c r="C18" s="513" t="str">
        <f>IF(TIPOORCAMENTO&lt;&gt;"Licitado","","             ORÇAMENTO             ")</f>
        <v/>
      </c>
      <c r="D18" s="421"/>
      <c r="E18" s="513" t="str">
        <f>IF(TIPOORCAMENTO&lt;&gt;"Licitado","","                    QCI                    ")</f>
        <v/>
      </c>
      <c r="F18" s="421"/>
      <c r="G18" s="514" t="str">
        <f>IF(TIPOORCAMENTO&lt;&gt;"Licitado","","CRONOGRAMA FÍSICO-FINANCEIRO")</f>
        <v/>
      </c>
      <c r="H18" s="420"/>
      <c r="I18" s="420"/>
      <c r="K18" s="430"/>
      <c r="L18" s="426"/>
      <c r="M18" s="3"/>
      <c r="N18" s="433" t="s">
        <v>392</v>
      </c>
    </row>
    <row r="19" spans="1:14" x14ac:dyDescent="0.2">
      <c r="A19" s="420"/>
      <c r="B19" s="420"/>
      <c r="C19" s="420"/>
      <c r="D19" s="420"/>
      <c r="E19" s="420"/>
      <c r="F19" s="420"/>
      <c r="G19" s="420"/>
      <c r="H19" s="420"/>
      <c r="I19" s="420"/>
      <c r="K19" s="434"/>
      <c r="L19" s="435"/>
      <c r="M19" s="435"/>
      <c r="N19" s="436"/>
    </row>
    <row r="20" spans="1:14" ht="21" customHeight="1" x14ac:dyDescent="0.2">
      <c r="A20" s="422"/>
      <c r="B20" s="678" t="str">
        <f>IF($O$3&lt;&gt;2,"ACOMPANHAMENTO: Para visualizar/preencher esta seção, altere o TIPO DE ORÇAMENTO para 'Licitado'","ACOMPANHAMENTO DO EMPREENDIMENTO")</f>
        <v>ACOMPANHAMENTO: Para visualizar/preencher esta seção, altere o TIPO DE ORÇAMENTO para 'Licitado'</v>
      </c>
      <c r="C20" s="678"/>
      <c r="D20" s="678"/>
      <c r="E20" s="678"/>
      <c r="F20" s="678"/>
      <c r="G20" s="678"/>
      <c r="H20" s="678"/>
      <c r="I20" s="420"/>
    </row>
    <row r="21" spans="1:14" ht="13.5" thickBot="1" x14ac:dyDescent="0.25">
      <c r="A21" s="420"/>
      <c r="B21" s="420"/>
      <c r="C21" s="420"/>
      <c r="D21" s="420"/>
      <c r="E21" s="420"/>
      <c r="F21" s="420"/>
      <c r="G21" s="420"/>
      <c r="H21" s="420"/>
      <c r="I21" s="420"/>
    </row>
    <row r="22" spans="1:14" ht="21" customHeight="1" thickBot="1" x14ac:dyDescent="0.25">
      <c r="A22" s="420"/>
      <c r="B22" s="420"/>
      <c r="C22" s="517" t="str">
        <f>IF(OR(TIPOORCAMENTO&lt;&gt;"Licitado",ACOMPANHAMENTO&lt;&gt;"PLE"),"","PLAN. DE LEVANT. DE EVENTOS - PLE")</f>
        <v/>
      </c>
      <c r="D22" s="421"/>
      <c r="E22" s="513" t="str">
        <f>IF(TIPOORCAMENTO&lt;&gt;"Licitado","","                    RRE                    ")</f>
        <v/>
      </c>
      <c r="F22" s="421"/>
      <c r="G22" s="515" t="str">
        <f>IF(OR(TIPOORCAMENTO&lt;&gt;"Licitado",ACOMPANHAMENTO&lt;&gt;"BM"),"","  BOLETIM DE MEDIÇÃO - BM  ")</f>
        <v/>
      </c>
      <c r="H22" s="420"/>
      <c r="I22" s="420"/>
    </row>
    <row r="23" spans="1:14" ht="13.5" thickBot="1" x14ac:dyDescent="0.25">
      <c r="A23" s="420"/>
      <c r="B23" s="420"/>
      <c r="C23" s="421"/>
      <c r="D23" s="421"/>
      <c r="E23" s="421"/>
      <c r="F23" s="421"/>
      <c r="G23" s="421"/>
      <c r="H23" s="420"/>
      <c r="I23" s="420"/>
    </row>
    <row r="24" spans="1:14" ht="21" customHeight="1" thickBot="1" x14ac:dyDescent="0.25">
      <c r="A24" s="420"/>
      <c r="B24" s="420"/>
      <c r="C24" s="421"/>
      <c r="D24" s="421"/>
      <c r="E24" s="517" t="str">
        <f>IF(TIPOORCAMENTO&lt;&gt;"Licitado","","OF. DE SOLICITAÇÃO DE DESBLOQUEIO")</f>
        <v/>
      </c>
      <c r="F24" s="421"/>
      <c r="G24" s="421"/>
      <c r="H24" s="420"/>
      <c r="I24" s="420"/>
    </row>
    <row r="25" spans="1:14" x14ac:dyDescent="0.2">
      <c r="A25" s="420"/>
      <c r="B25" s="420"/>
      <c r="C25" s="420"/>
      <c r="D25" s="420"/>
      <c r="E25" s="420"/>
      <c r="F25" s="420"/>
      <c r="G25" s="420"/>
      <c r="H25" s="420"/>
      <c r="I25" s="420"/>
    </row>
  </sheetData>
  <sheetProtection algorithmName="SHA-512" hashValue="tLSjD0de4LpubcxgRTIBIwdJp3SSfxENGLV3EC9HXXXYpxhGI0befXzxNAeut79xGdg9tF2+ld3BNEUQ495Axg==" saltValue="4KdY+V8QybT1sJL3dFvGCw==" spinCount="100000" sheet="1" objects="1" scenarios="1" autoFilter="0"/>
  <mergeCells count="4">
    <mergeCell ref="B20:H20"/>
    <mergeCell ref="B8:H8"/>
    <mergeCell ref="E2:G3"/>
    <mergeCell ref="B16:H16"/>
  </mergeCells>
  <phoneticPr fontId="38" type="noConversion"/>
  <conditionalFormatting sqref="C10:G14">
    <cfRule type="expression" dxfId="321" priority="70" stopIfTrue="1">
      <formula>TIPOORCAMENTO="Licitado"</formula>
    </cfRule>
  </conditionalFormatting>
  <conditionalFormatting sqref="C18:G18 E22:E24">
    <cfRule type="expression" dxfId="320" priority="71" stopIfTrue="1">
      <formula>TIPOORCAMENTO&lt;&gt;"Licitado"</formula>
    </cfRule>
  </conditionalFormatting>
  <conditionalFormatting sqref="C22">
    <cfRule type="expression" dxfId="319" priority="73" stopIfTrue="1">
      <formula>OR(TIPOORCAMENTO&lt;&gt;"Licitado",ACOMPANHAMENTO&lt;&gt;"PLE")</formula>
    </cfRule>
  </conditionalFormatting>
  <conditionalFormatting sqref="G22">
    <cfRule type="expression" dxfId="318" priority="74" stopIfTrue="1">
      <formula>OR(TIPOORCAMENTO&lt;&gt;"Licitado",ACOMPANHAMENTO&lt;&gt;"BM")</formula>
    </cfRule>
  </conditionalFormatting>
  <conditionalFormatting sqref="B16:H16 B20:H20">
    <cfRule type="expression" dxfId="317" priority="599" stopIfTrue="1">
      <formula>$O$3&lt;&gt;2</formula>
    </cfRule>
  </conditionalFormatting>
  <conditionalFormatting sqref="B8:H8">
    <cfRule type="expression" dxfId="316"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&amp;LPMv3.08&amp;R&amp;P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R222"/>
  <sheetViews>
    <sheetView showGridLines="0" zoomScaleNormal="100" workbookViewId="0">
      <pane ySplit="2" topLeftCell="A11" activePane="bottomLeft" state="frozen"/>
      <selection pane="bottomLeft" activeCell="C20" sqref="C20"/>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7" width="14.42578125" hidden="1" customWidth="1"/>
    <col min="8" max="10" width="9.140625" hidden="1" customWidth="1"/>
    <col min="11" max="11" width="9.140625" style="7" hidden="1" customWidth="1"/>
    <col min="12" max="43" width="9.140625" hidden="1" customWidth="1"/>
    <col min="44" max="44" width="15.5703125" hidden="1" customWidth="1"/>
    <col min="45" max="45" width="9.140625" customWidth="1"/>
  </cols>
  <sheetData>
    <row r="1" spans="2:44" ht="15.75" customHeight="1" x14ac:dyDescent="0.25">
      <c r="B1" s="8" t="s">
        <v>5</v>
      </c>
      <c r="C1" s="618"/>
      <c r="D1" s="564"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9"/>
      <c r="I1" s="681" t="s">
        <v>6</v>
      </c>
      <c r="J1" s="681"/>
      <c r="K1" s="681"/>
      <c r="L1" s="681"/>
      <c r="M1" s="681"/>
      <c r="N1" s="681"/>
      <c r="O1" s="681"/>
      <c r="P1" s="681"/>
      <c r="Q1" s="681"/>
      <c r="R1" s="681"/>
      <c r="S1" s="681"/>
      <c r="T1" s="681"/>
      <c r="U1" s="681"/>
      <c r="V1" s="681"/>
      <c r="W1" s="681"/>
      <c r="X1" s="681"/>
      <c r="Y1" s="681"/>
      <c r="Z1" s="681"/>
      <c r="AA1" s="681"/>
      <c r="AB1" s="681"/>
      <c r="AC1" s="681"/>
      <c r="AD1" s="681"/>
      <c r="AE1" s="681"/>
      <c r="AF1" s="681"/>
      <c r="AG1" s="681"/>
      <c r="AH1" s="681"/>
      <c r="AI1" s="681"/>
      <c r="AJ1" s="681"/>
      <c r="AK1" s="681"/>
      <c r="AL1" s="681"/>
      <c r="AM1" s="681"/>
      <c r="AN1" s="681"/>
      <c r="AO1" s="681"/>
      <c r="AQ1" s="559" t="s">
        <v>505</v>
      </c>
      <c r="AR1" s="560"/>
    </row>
    <row r="2" spans="2:44" ht="12.75" customHeight="1" thickBot="1" x14ac:dyDescent="0.25">
      <c r="B2" s="8"/>
      <c r="G2" s="10" t="s">
        <v>7</v>
      </c>
      <c r="H2" s="11" t="s">
        <v>8</v>
      </c>
      <c r="I2" s="12">
        <f>COUNTA(H:H)-1</f>
        <v>3</v>
      </c>
      <c r="J2" s="11" t="s">
        <v>9</v>
      </c>
      <c r="K2" s="12">
        <f>COUNTA(J:J)-1</f>
        <v>6</v>
      </c>
      <c r="L2" s="11" t="s">
        <v>10</v>
      </c>
      <c r="M2" s="12">
        <f>COUNTA(L:L)-1</f>
        <v>6</v>
      </c>
      <c r="N2" s="11" t="s">
        <v>11</v>
      </c>
      <c r="O2" s="12">
        <f>COUNTA(N:N)-1</f>
        <v>6</v>
      </c>
      <c r="P2" s="11" t="s">
        <v>12</v>
      </c>
      <c r="Q2" s="12">
        <f>COUNTA(P:P)-1</f>
        <v>11</v>
      </c>
      <c r="R2" s="11" t="s">
        <v>13</v>
      </c>
      <c r="S2" s="12">
        <f>COUNTA(R:R)-1</f>
        <v>8</v>
      </c>
      <c r="T2" s="11" t="s">
        <v>14</v>
      </c>
      <c r="U2" s="12">
        <f>COUNTA(T:T)-1</f>
        <v>4</v>
      </c>
      <c r="V2" s="11" t="s">
        <v>15</v>
      </c>
      <c r="W2" s="12">
        <f>COUNTA(V:V)-1</f>
        <v>6</v>
      </c>
      <c r="X2" s="11" t="s">
        <v>16</v>
      </c>
      <c r="Y2" s="12">
        <f>COUNTA(X:X)-1</f>
        <v>2</v>
      </c>
      <c r="Z2" s="11" t="s">
        <v>17</v>
      </c>
      <c r="AA2" s="12">
        <f>COUNTA(Z:Z)-1</f>
        <v>2</v>
      </c>
      <c r="AB2" s="11" t="s">
        <v>18</v>
      </c>
      <c r="AC2" s="12">
        <f>COUNTA(AB:AB)-1</f>
        <v>2</v>
      </c>
      <c r="AD2" s="11" t="s">
        <v>19</v>
      </c>
      <c r="AE2" s="12">
        <f>COUNTA(AD:AD)-1</f>
        <v>1</v>
      </c>
      <c r="AF2" s="11" t="s">
        <v>20</v>
      </c>
      <c r="AG2" s="12">
        <f>COUNTA(AF:AF)-1</f>
        <v>1</v>
      </c>
      <c r="AH2" s="11" t="s">
        <v>21</v>
      </c>
      <c r="AI2" s="12">
        <f>COUNTA(AH:AH)-1</f>
        <v>1</v>
      </c>
      <c r="AJ2" s="11" t="s">
        <v>22</v>
      </c>
      <c r="AK2" s="12">
        <f>COUNTA(AJ:AJ)-1</f>
        <v>3</v>
      </c>
      <c r="AL2" s="11" t="s">
        <v>23</v>
      </c>
      <c r="AM2" s="12">
        <f>COUNTA(AL:AL)-1</f>
        <v>1</v>
      </c>
      <c r="AN2" s="11" t="s">
        <v>24</v>
      </c>
      <c r="AO2" s="12">
        <f>COUNTA(AN:AN)-1</f>
        <v>4</v>
      </c>
      <c r="AQ2" s="561" t="s">
        <v>506</v>
      </c>
      <c r="AR2" s="85" t="s">
        <v>232</v>
      </c>
    </row>
    <row r="3" spans="2:44" ht="15.75" thickBot="1" x14ac:dyDescent="0.3">
      <c r="B3" s="680" t="s">
        <v>25</v>
      </c>
      <c r="C3" s="680"/>
      <c r="D3" s="616" t="str">
        <f ca="1">IF(COUNTIF(D4:D13,"◄")=0,"","Falta preencher a linha "&amp;MATCH("◄",D4:D13,0)+ROW(D3))</f>
        <v/>
      </c>
      <c r="G3" s="13" t="s">
        <v>8</v>
      </c>
      <c r="H3" t="s">
        <v>26</v>
      </c>
      <c r="I3" s="7" t="s">
        <v>27</v>
      </c>
      <c r="J3" s="13" t="s">
        <v>28</v>
      </c>
      <c r="K3" s="7" t="s">
        <v>29</v>
      </c>
      <c r="L3" t="s">
        <v>30</v>
      </c>
      <c r="M3" s="7" t="s">
        <v>29</v>
      </c>
      <c r="N3" t="s">
        <v>31</v>
      </c>
      <c r="O3" s="7" t="s">
        <v>32</v>
      </c>
      <c r="P3" t="s">
        <v>33</v>
      </c>
      <c r="Q3" s="7" t="s">
        <v>34</v>
      </c>
      <c r="R3" t="s">
        <v>35</v>
      </c>
      <c r="S3" s="7" t="s">
        <v>27</v>
      </c>
      <c r="T3" t="s">
        <v>36</v>
      </c>
      <c r="U3" s="7" t="s">
        <v>27</v>
      </c>
      <c r="V3" t="s">
        <v>37</v>
      </c>
      <c r="W3" s="7" t="s">
        <v>27</v>
      </c>
      <c r="X3" t="s">
        <v>38</v>
      </c>
      <c r="Y3" s="7" t="s">
        <v>29</v>
      </c>
      <c r="Z3" t="s">
        <v>39</v>
      </c>
      <c r="AA3" s="7" t="s">
        <v>29</v>
      </c>
      <c r="AB3" t="s">
        <v>18</v>
      </c>
      <c r="AC3" s="7" t="s">
        <v>29</v>
      </c>
      <c r="AD3" t="s">
        <v>19</v>
      </c>
      <c r="AE3" s="7" t="s">
        <v>27</v>
      </c>
      <c r="AF3" t="s">
        <v>20</v>
      </c>
      <c r="AG3" s="7" t="s">
        <v>27</v>
      </c>
      <c r="AH3" t="s">
        <v>21</v>
      </c>
      <c r="AI3" s="7" t="s">
        <v>27</v>
      </c>
      <c r="AJ3" t="s">
        <v>40</v>
      </c>
      <c r="AK3" s="7" t="s">
        <v>27</v>
      </c>
      <c r="AL3" t="s">
        <v>23</v>
      </c>
      <c r="AM3" s="7" t="s">
        <v>41</v>
      </c>
      <c r="AN3" t="s">
        <v>42</v>
      </c>
      <c r="AO3" s="7" t="s">
        <v>43</v>
      </c>
      <c r="AQ3" t="s">
        <v>41</v>
      </c>
      <c r="AR3" t="s">
        <v>41</v>
      </c>
    </row>
    <row r="4" spans="2:44" x14ac:dyDescent="0.2">
      <c r="B4" s="14" t="s">
        <v>44</v>
      </c>
      <c r="C4" s="15" t="s">
        <v>931</v>
      </c>
      <c r="D4" s="617" t="str">
        <f ca="1">IF(OR(OFFSET(D4,0,-1)="",OFFSET(D4,0,-1)="(SELECIONAR)"),"◄","")</f>
        <v/>
      </c>
      <c r="G4" s="13" t="s">
        <v>9</v>
      </c>
      <c r="H4" t="s">
        <v>45</v>
      </c>
      <c r="I4" s="7" t="s">
        <v>27</v>
      </c>
      <c r="J4" t="s">
        <v>46</v>
      </c>
      <c r="K4" s="7" t="s">
        <v>29</v>
      </c>
      <c r="L4" t="s">
        <v>47</v>
      </c>
      <c r="M4" s="7" t="s">
        <v>29</v>
      </c>
      <c r="N4" t="s">
        <v>48</v>
      </c>
      <c r="O4" s="7" t="s">
        <v>32</v>
      </c>
      <c r="P4" t="s">
        <v>49</v>
      </c>
      <c r="Q4" s="7" t="s">
        <v>34</v>
      </c>
      <c r="R4" t="s">
        <v>50</v>
      </c>
      <c r="S4" s="7" t="s">
        <v>32</v>
      </c>
      <c r="T4" t="s">
        <v>51</v>
      </c>
      <c r="U4" s="7" t="s">
        <v>27</v>
      </c>
      <c r="V4" t="s">
        <v>52</v>
      </c>
      <c r="W4" s="7" t="s">
        <v>53</v>
      </c>
      <c r="X4" t="s">
        <v>54</v>
      </c>
      <c r="Y4" s="7" t="s">
        <v>29</v>
      </c>
      <c r="Z4" t="s">
        <v>55</v>
      </c>
      <c r="AA4" s="7" t="s">
        <v>29</v>
      </c>
      <c r="AB4" t="s">
        <v>56</v>
      </c>
      <c r="AC4" s="7" t="s">
        <v>29</v>
      </c>
      <c r="AE4" s="7"/>
      <c r="AG4" s="7"/>
      <c r="AI4" s="7"/>
      <c r="AJ4" t="s">
        <v>57</v>
      </c>
      <c r="AK4" s="7" t="s">
        <v>27</v>
      </c>
      <c r="AN4" t="s">
        <v>58</v>
      </c>
      <c r="AO4" s="7" t="s">
        <v>43</v>
      </c>
      <c r="AQ4" t="s">
        <v>692</v>
      </c>
      <c r="AR4" t="s">
        <v>693</v>
      </c>
    </row>
    <row r="5" spans="2:44" x14ac:dyDescent="0.2">
      <c r="B5" s="16" t="s">
        <v>59</v>
      </c>
      <c r="C5" s="17" t="s">
        <v>932</v>
      </c>
      <c r="D5" s="617" t="str">
        <f t="shared" ref="D5:D11" ca="1" si="0">IF(OFFSET(D5,0,-1)="","◄","")</f>
        <v/>
      </c>
      <c r="G5" s="13" t="s">
        <v>10</v>
      </c>
      <c r="H5" t="s">
        <v>60</v>
      </c>
      <c r="I5" s="7" t="s">
        <v>27</v>
      </c>
      <c r="J5" t="s">
        <v>61</v>
      </c>
      <c r="K5" s="7" t="s">
        <v>29</v>
      </c>
      <c r="L5" t="s">
        <v>62</v>
      </c>
      <c r="M5" s="7" t="s">
        <v>32</v>
      </c>
      <c r="N5" t="s">
        <v>63</v>
      </c>
      <c r="O5" s="7" t="s">
        <v>32</v>
      </c>
      <c r="P5" t="s">
        <v>64</v>
      </c>
      <c r="Q5" s="7" t="s">
        <v>34</v>
      </c>
      <c r="R5" t="s">
        <v>65</v>
      </c>
      <c r="S5" s="7" t="s">
        <v>32</v>
      </c>
      <c r="T5" t="s">
        <v>66</v>
      </c>
      <c r="U5" s="7" t="s">
        <v>32</v>
      </c>
      <c r="V5" t="s">
        <v>67</v>
      </c>
      <c r="W5" s="7" t="s">
        <v>53</v>
      </c>
      <c r="Y5" s="7"/>
      <c r="AA5" s="7"/>
      <c r="AC5" s="7"/>
      <c r="AE5" s="7"/>
      <c r="AG5" s="7"/>
      <c r="AI5" s="7"/>
      <c r="AJ5" t="s">
        <v>68</v>
      </c>
      <c r="AK5" s="7" t="s">
        <v>27</v>
      </c>
      <c r="AN5" t="s">
        <v>69</v>
      </c>
      <c r="AO5" s="7" t="s">
        <v>43</v>
      </c>
      <c r="AQ5" t="s">
        <v>829</v>
      </c>
      <c r="AR5" t="s">
        <v>830</v>
      </c>
    </row>
    <row r="6" spans="2:44" x14ac:dyDescent="0.2">
      <c r="B6" s="16" t="s">
        <v>70</v>
      </c>
      <c r="C6" s="17" t="s">
        <v>933</v>
      </c>
      <c r="D6" s="617" t="str">
        <f t="shared" ca="1" si="0"/>
        <v/>
      </c>
      <c r="G6" s="13" t="s">
        <v>11</v>
      </c>
      <c r="J6" t="s">
        <v>71</v>
      </c>
      <c r="K6" s="7" t="s">
        <v>29</v>
      </c>
      <c r="L6" t="s">
        <v>72</v>
      </c>
      <c r="M6" s="7" t="s">
        <v>29</v>
      </c>
      <c r="N6" t="s">
        <v>73</v>
      </c>
      <c r="O6" s="7" t="s">
        <v>29</v>
      </c>
      <c r="P6" t="s">
        <v>74</v>
      </c>
      <c r="Q6" s="7" t="s">
        <v>32</v>
      </c>
      <c r="R6" t="s">
        <v>75</v>
      </c>
      <c r="S6" s="7" t="s">
        <v>32</v>
      </c>
      <c r="T6" t="s">
        <v>76</v>
      </c>
      <c r="U6" s="7" t="s">
        <v>32</v>
      </c>
      <c r="V6" t="s">
        <v>77</v>
      </c>
      <c r="W6" s="7" t="s">
        <v>27</v>
      </c>
      <c r="AN6" t="s">
        <v>78</v>
      </c>
      <c r="AO6" s="7" t="s">
        <v>43</v>
      </c>
      <c r="AQ6" t="s">
        <v>532</v>
      </c>
      <c r="AR6" t="s">
        <v>533</v>
      </c>
    </row>
    <row r="7" spans="2:44" x14ac:dyDescent="0.2">
      <c r="B7" s="18" t="s">
        <v>79</v>
      </c>
      <c r="C7" s="660" t="s">
        <v>1008</v>
      </c>
      <c r="D7" s="617" t="str">
        <f t="shared" ca="1" si="0"/>
        <v/>
      </c>
      <c r="G7" s="13" t="s">
        <v>12</v>
      </c>
      <c r="J7" t="s">
        <v>80</v>
      </c>
      <c r="K7" s="7" t="s">
        <v>29</v>
      </c>
      <c r="L7" t="s">
        <v>81</v>
      </c>
      <c r="M7" s="7" t="s">
        <v>29</v>
      </c>
      <c r="N7" t="s">
        <v>82</v>
      </c>
      <c r="O7" s="7" t="s">
        <v>53</v>
      </c>
      <c r="P7" t="s">
        <v>83</v>
      </c>
      <c r="Q7" s="7" t="s">
        <v>34</v>
      </c>
      <c r="R7" t="s">
        <v>84</v>
      </c>
      <c r="S7" s="7" t="s">
        <v>34</v>
      </c>
      <c r="V7" t="s">
        <v>85</v>
      </c>
      <c r="W7" s="7" t="s">
        <v>27</v>
      </c>
      <c r="AQ7" t="s">
        <v>534</v>
      </c>
      <c r="AR7" t="s">
        <v>535</v>
      </c>
    </row>
    <row r="8" spans="2:44" x14ac:dyDescent="0.2">
      <c r="B8" s="18" t="s">
        <v>421</v>
      </c>
      <c r="C8" s="660" t="s">
        <v>1007</v>
      </c>
      <c r="D8" s="617" t="str">
        <f ca="1">IF(AND(Import.TipoArredondamento="TransfereGOV",OFFSET(D8,0,-1)=""),"◄","")</f>
        <v/>
      </c>
      <c r="G8" s="13" t="s">
        <v>13</v>
      </c>
      <c r="J8" t="s">
        <v>86</v>
      </c>
      <c r="K8" s="7" t="s">
        <v>29</v>
      </c>
      <c r="L8" t="s">
        <v>87</v>
      </c>
      <c r="M8" s="7" t="s">
        <v>29</v>
      </c>
      <c r="N8" t="s">
        <v>88</v>
      </c>
      <c r="O8" s="7" t="s">
        <v>34</v>
      </c>
      <c r="P8" t="s">
        <v>89</v>
      </c>
      <c r="Q8" s="7" t="s">
        <v>34</v>
      </c>
      <c r="R8" t="s">
        <v>90</v>
      </c>
      <c r="S8" s="7" t="s">
        <v>34</v>
      </c>
      <c r="V8" t="s">
        <v>91</v>
      </c>
      <c r="W8" s="7" t="s">
        <v>29</v>
      </c>
      <c r="AQ8" t="s">
        <v>536</v>
      </c>
      <c r="AR8" t="s">
        <v>537</v>
      </c>
    </row>
    <row r="9" spans="2:44" x14ac:dyDescent="0.2">
      <c r="B9" s="18" t="str">
        <f>IF(C4="FGTS","Valor de Financiamento Contratado (R$):","Valor do Repasse Contratado (R$):")</f>
        <v>Valor do Repasse Contratado (R$):</v>
      </c>
      <c r="C9" s="20">
        <v>200000</v>
      </c>
      <c r="D9" s="617" t="str">
        <f t="shared" ca="1" si="0"/>
        <v/>
      </c>
      <c r="G9" s="13" t="s">
        <v>14</v>
      </c>
      <c r="P9" t="s">
        <v>92</v>
      </c>
      <c r="Q9" s="7" t="s">
        <v>32</v>
      </c>
      <c r="R9" t="s">
        <v>93</v>
      </c>
      <c r="S9" s="7" t="s">
        <v>34</v>
      </c>
      <c r="AQ9" t="s">
        <v>538</v>
      </c>
      <c r="AR9" t="s">
        <v>539</v>
      </c>
    </row>
    <row r="10" spans="2:44" x14ac:dyDescent="0.2">
      <c r="B10" s="18" t="s">
        <v>94</v>
      </c>
      <c r="C10" s="20">
        <v>158258.26</v>
      </c>
      <c r="D10" s="617" t="str">
        <f t="shared" ca="1" si="0"/>
        <v/>
      </c>
      <c r="G10" s="13" t="s">
        <v>15</v>
      </c>
      <c r="P10" t="s">
        <v>95</v>
      </c>
      <c r="Q10" s="7" t="s">
        <v>53</v>
      </c>
      <c r="R10" t="s">
        <v>96</v>
      </c>
      <c r="S10" s="7" t="s">
        <v>27</v>
      </c>
      <c r="AQ10" t="s">
        <v>540</v>
      </c>
      <c r="AR10" t="s">
        <v>541</v>
      </c>
    </row>
    <row r="11" spans="2:44" x14ac:dyDescent="0.2">
      <c r="B11" s="18" t="s">
        <v>97</v>
      </c>
      <c r="C11" s="21">
        <v>0.44</v>
      </c>
      <c r="D11" s="617" t="str">
        <f t="shared" ca="1" si="0"/>
        <v/>
      </c>
      <c r="G11" s="13" t="s">
        <v>16</v>
      </c>
      <c r="P11" t="s">
        <v>98</v>
      </c>
      <c r="Q11" s="7" t="s">
        <v>32</v>
      </c>
      <c r="AQ11" t="s">
        <v>542</v>
      </c>
      <c r="AR11" t="s">
        <v>543</v>
      </c>
    </row>
    <row r="12" spans="2:44" x14ac:dyDescent="0.2">
      <c r="B12" s="18" t="s">
        <v>99</v>
      </c>
      <c r="C12" s="20"/>
      <c r="G12" s="13" t="s">
        <v>17</v>
      </c>
      <c r="P12" t="s">
        <v>35</v>
      </c>
      <c r="Q12" s="7" t="s">
        <v>27</v>
      </c>
      <c r="AQ12" t="s">
        <v>544</v>
      </c>
      <c r="AR12" t="s">
        <v>545</v>
      </c>
    </row>
    <row r="13" spans="2:44" ht="13.5" thickBot="1" x14ac:dyDescent="0.25">
      <c r="B13" s="22" t="s">
        <v>100</v>
      </c>
      <c r="C13" s="23"/>
      <c r="G13" s="13" t="s">
        <v>18</v>
      </c>
      <c r="P13" t="s">
        <v>101</v>
      </c>
      <c r="Q13" s="7" t="s">
        <v>32</v>
      </c>
      <c r="AQ13" t="s">
        <v>546</v>
      </c>
      <c r="AR13" t="s">
        <v>547</v>
      </c>
    </row>
    <row r="14" spans="2:44" ht="13.5" thickBot="1" x14ac:dyDescent="0.25">
      <c r="C14" s="24"/>
      <c r="G14" s="13" t="s">
        <v>19</v>
      </c>
      <c r="AQ14" t="s">
        <v>548</v>
      </c>
      <c r="AR14" t="s">
        <v>549</v>
      </c>
    </row>
    <row r="15" spans="2:44" ht="15.75" thickBot="1" x14ac:dyDescent="0.3">
      <c r="B15" s="680" t="s">
        <v>102</v>
      </c>
      <c r="C15" s="680"/>
      <c r="D15" s="616" t="str">
        <f ca="1">IF(COUNTIF(D16:D19,"◄")=0,"","Falta preencher a linha "&amp;MATCH("◄",D16:D19,0)+ROW(D15))</f>
        <v/>
      </c>
      <c r="G15" s="13" t="s">
        <v>20</v>
      </c>
      <c r="AQ15" t="s">
        <v>550</v>
      </c>
      <c r="AR15" t="s">
        <v>551</v>
      </c>
    </row>
    <row r="16" spans="2:44" x14ac:dyDescent="0.2">
      <c r="B16" s="25" t="s">
        <v>103</v>
      </c>
      <c r="C16" s="26" t="s">
        <v>935</v>
      </c>
      <c r="D16" s="617" t="str">
        <f t="shared" ref="D16:D19" ca="1" si="1">IF(OFFSET(D16,0,-1)="","◄","")</f>
        <v/>
      </c>
      <c r="G16" s="13" t="s">
        <v>21</v>
      </c>
      <c r="AQ16" t="s">
        <v>552</v>
      </c>
      <c r="AR16" t="s">
        <v>553</v>
      </c>
    </row>
    <row r="17" spans="2:44" x14ac:dyDescent="0.2">
      <c r="B17" s="18" t="s">
        <v>104</v>
      </c>
      <c r="C17" s="27" t="s">
        <v>935</v>
      </c>
      <c r="D17" s="617" t="str">
        <f t="shared" ca="1" si="1"/>
        <v/>
      </c>
      <c r="G17" s="13" t="s">
        <v>22</v>
      </c>
      <c r="AQ17" t="s">
        <v>554</v>
      </c>
      <c r="AR17" t="s">
        <v>555</v>
      </c>
    </row>
    <row r="18" spans="2:44" x14ac:dyDescent="0.2">
      <c r="B18" s="18" t="s">
        <v>105</v>
      </c>
      <c r="C18" s="28" t="s">
        <v>936</v>
      </c>
      <c r="D18" s="617" t="str">
        <f ca="1">IF(OR(OFFSET(D18,0,-1)="",OFFSET(D18,0,-1)="(SELECIONAR)"),"◄","")</f>
        <v/>
      </c>
      <c r="G18" s="13" t="s">
        <v>23</v>
      </c>
      <c r="AQ18" t="s">
        <v>556</v>
      </c>
      <c r="AR18" t="s">
        <v>557</v>
      </c>
    </row>
    <row r="19" spans="2:44" ht="13.5" thickBot="1" x14ac:dyDescent="0.25">
      <c r="B19" s="29" t="s">
        <v>106</v>
      </c>
      <c r="C19" s="30">
        <v>46113</v>
      </c>
      <c r="D19" s="617" t="str">
        <f t="shared" ca="1" si="1"/>
        <v/>
      </c>
      <c r="G19" s="13" t="s">
        <v>24</v>
      </c>
      <c r="AQ19" t="s">
        <v>560</v>
      </c>
      <c r="AR19" t="s">
        <v>561</v>
      </c>
    </row>
    <row r="20" spans="2:44" ht="13.5" thickBot="1" x14ac:dyDescent="0.25">
      <c r="C20" s="31"/>
      <c r="G20" s="13"/>
      <c r="AQ20" t="s">
        <v>558</v>
      </c>
      <c r="AR20" t="s">
        <v>559</v>
      </c>
    </row>
    <row r="21" spans="2:44" ht="15.75" thickBot="1" x14ac:dyDescent="0.3">
      <c r="B21" s="680" t="s">
        <v>107</v>
      </c>
      <c r="C21" s="680"/>
      <c r="D21" s="616" t="str">
        <f ca="1">IF(COUNTIF(D22:D25,"◄")=0,"","Falta preencher a linha "&amp;MATCH("◄",D22:D25,0)+ROW(D21))</f>
        <v/>
      </c>
      <c r="G21" s="13"/>
      <c r="AQ21" t="s">
        <v>562</v>
      </c>
      <c r="AR21" t="s">
        <v>563</v>
      </c>
    </row>
    <row r="22" spans="2:44" x14ac:dyDescent="0.2">
      <c r="B22" s="16" t="s">
        <v>108</v>
      </c>
      <c r="C22" s="32" t="s">
        <v>1011</v>
      </c>
      <c r="D22" s="617" t="str">
        <f t="shared" ref="D22:D24" ca="1" si="2">IF(OFFSET(D22,0,-1)="","◄","")</f>
        <v/>
      </c>
      <c r="AQ22" t="s">
        <v>564</v>
      </c>
      <c r="AR22" t="s">
        <v>565</v>
      </c>
    </row>
    <row r="23" spans="2:44" x14ac:dyDescent="0.2">
      <c r="B23" s="18" t="s">
        <v>109</v>
      </c>
      <c r="C23" s="19" t="s">
        <v>1012</v>
      </c>
      <c r="D23" s="617" t="str">
        <f t="shared" ca="1" si="2"/>
        <v/>
      </c>
      <c r="AQ23" t="s">
        <v>566</v>
      </c>
      <c r="AR23" t="s">
        <v>567</v>
      </c>
    </row>
    <row r="24" spans="2:44" x14ac:dyDescent="0.2">
      <c r="B24" s="18" t="s">
        <v>110</v>
      </c>
      <c r="C24" s="19" t="s">
        <v>934</v>
      </c>
      <c r="D24" s="617" t="str">
        <f t="shared" ca="1" si="2"/>
        <v/>
      </c>
      <c r="AQ24" t="s">
        <v>568</v>
      </c>
      <c r="AR24" t="s">
        <v>569</v>
      </c>
    </row>
    <row r="25" spans="2:44" ht="13.5" thickBot="1" x14ac:dyDescent="0.25">
      <c r="B25" s="22" t="s">
        <v>111</v>
      </c>
      <c r="C25" s="33">
        <v>46161</v>
      </c>
      <c r="D25" s="617" t="s">
        <v>909</v>
      </c>
      <c r="AQ25" t="s">
        <v>570</v>
      </c>
      <c r="AR25" t="s">
        <v>571</v>
      </c>
    </row>
    <row r="26" spans="2:44" ht="13.5" thickBot="1" x14ac:dyDescent="0.25">
      <c r="AQ26" t="s">
        <v>572</v>
      </c>
      <c r="AR26" t="s">
        <v>573</v>
      </c>
    </row>
    <row r="27" spans="2:44" ht="15.75" thickBot="1" x14ac:dyDescent="0.3">
      <c r="B27" s="680" t="s">
        <v>112</v>
      </c>
      <c r="C27" s="680"/>
      <c r="D27" s="616" t="str">
        <f ca="1">IF(COUNTIF(D28:D29,"◄")=0,"","Falta preencher a linha "&amp;MATCH("◄",D28:D29,0)+ROW(D27))</f>
        <v/>
      </c>
      <c r="AQ27" t="s">
        <v>574</v>
      </c>
      <c r="AR27" t="s">
        <v>575</v>
      </c>
    </row>
    <row r="28" spans="2:44" x14ac:dyDescent="0.2">
      <c r="B28" s="14" t="s">
        <v>108</v>
      </c>
      <c r="C28" s="34" t="s">
        <v>937</v>
      </c>
      <c r="D28" s="617" t="str">
        <f t="shared" ref="D28:D29" ca="1" si="3">IF(OFFSET(D28,0,-1)="","◄","")</f>
        <v/>
      </c>
      <c r="AQ28" t="s">
        <v>576</v>
      </c>
      <c r="AR28" t="s">
        <v>577</v>
      </c>
    </row>
    <row r="29" spans="2:44" ht="13.5" thickBot="1" x14ac:dyDescent="0.25">
      <c r="B29" s="22" t="s">
        <v>113</v>
      </c>
      <c r="C29" s="35" t="s">
        <v>937</v>
      </c>
      <c r="D29" s="617" t="str">
        <f t="shared" ca="1" si="3"/>
        <v/>
      </c>
      <c r="AQ29" t="s">
        <v>578</v>
      </c>
      <c r="AR29" t="s">
        <v>579</v>
      </c>
    </row>
    <row r="30" spans="2:44" ht="16.5" thickBot="1" x14ac:dyDescent="0.25">
      <c r="B30" s="8"/>
      <c r="AQ30" t="s">
        <v>580</v>
      </c>
      <c r="AR30" t="s">
        <v>579</v>
      </c>
    </row>
    <row r="31" spans="2:44" ht="13.5" thickBot="1" x14ac:dyDescent="0.25">
      <c r="B31" s="508" t="s">
        <v>420</v>
      </c>
      <c r="C31" s="509" t="s">
        <v>912</v>
      </c>
      <c r="D31" s="617" t="str">
        <f ca="1">IF(OFFSET(D31,0,-1)="","◄ Falta definir o método de arredondamento.","")</f>
        <v/>
      </c>
      <c r="AQ31" t="s">
        <v>581</v>
      </c>
      <c r="AR31" t="s">
        <v>582</v>
      </c>
    </row>
    <row r="32" spans="2:44" ht="12.75" customHeight="1" x14ac:dyDescent="0.2">
      <c r="B32" s="8"/>
      <c r="AQ32" t="s">
        <v>583</v>
      </c>
      <c r="AR32" t="s">
        <v>584</v>
      </c>
    </row>
    <row r="33" spans="2:44" ht="12.75" customHeight="1" x14ac:dyDescent="0.2">
      <c r="B33" s="8" t="s">
        <v>114</v>
      </c>
      <c r="AQ33" t="s">
        <v>585</v>
      </c>
      <c r="AR33" t="s">
        <v>586</v>
      </c>
    </row>
    <row r="34" spans="2:44" ht="16.5" thickBot="1" x14ac:dyDescent="0.25">
      <c r="B34" s="8"/>
      <c r="AQ34" t="s">
        <v>587</v>
      </c>
      <c r="AR34" t="s">
        <v>585</v>
      </c>
    </row>
    <row r="35" spans="2:44" ht="12.75" customHeight="1" thickBot="1" x14ac:dyDescent="0.3">
      <c r="B35" s="680" t="s">
        <v>115</v>
      </c>
      <c r="C35" s="680"/>
      <c r="D35" s="616" t="str">
        <f ca="1">IF(COUNTIF(D36:D39,"◄")=0,"","Falta preencher a linha "&amp;MATCH("◄",D36:D39,0)+ROW(D35))</f>
        <v/>
      </c>
      <c r="AQ35" t="s">
        <v>588</v>
      </c>
      <c r="AR35" t="s">
        <v>589</v>
      </c>
    </row>
    <row r="36" spans="2:44" x14ac:dyDescent="0.2">
      <c r="B36" s="14" t="s">
        <v>116</v>
      </c>
      <c r="C36" s="36"/>
      <c r="D36" s="617" t="str">
        <f ca="1">IF(AND(TIPOORCAMENTO="Licitado",OFFSET(D36,0,-1)=""),"◄","")</f>
        <v/>
      </c>
      <c r="AQ36" t="s">
        <v>590</v>
      </c>
      <c r="AR36" t="s">
        <v>591</v>
      </c>
    </row>
    <row r="37" spans="2:44" x14ac:dyDescent="0.2">
      <c r="B37" s="16" t="s">
        <v>117</v>
      </c>
      <c r="C37" s="17"/>
      <c r="D37" s="617" t="str">
        <f ca="1">IF(AND(TIPOORCAMENTO="Licitado",OFFSET(D37,0,-1)=""),"◄","")</f>
        <v/>
      </c>
      <c r="AQ37" t="s">
        <v>656</v>
      </c>
      <c r="AR37" t="s">
        <v>657</v>
      </c>
    </row>
    <row r="38" spans="2:44" x14ac:dyDescent="0.2">
      <c r="B38" s="18" t="s">
        <v>118</v>
      </c>
      <c r="C38" s="19"/>
      <c r="D38" s="617" t="str">
        <f ca="1">IF(AND(TIPOORCAMENTO="Licitado",OFFSET(D38,0,-1)=""),"◄","")</f>
        <v/>
      </c>
      <c r="AQ38" t="s">
        <v>604</v>
      </c>
      <c r="AR38" t="s">
        <v>605</v>
      </c>
    </row>
    <row r="39" spans="2:44" x14ac:dyDescent="0.2">
      <c r="B39" s="18" t="s">
        <v>119</v>
      </c>
      <c r="C39" s="19"/>
      <c r="D39" s="617" t="str">
        <f ca="1">IF(AND(TIPOORCAMENTO="Licitado",OFFSET(D39,0,-1)=""),"◄","")</f>
        <v/>
      </c>
      <c r="AQ39" t="s">
        <v>606</v>
      </c>
      <c r="AR39" t="s">
        <v>607</v>
      </c>
    </row>
    <row r="40" spans="2:44" x14ac:dyDescent="0.2">
      <c r="B40" s="18" t="s">
        <v>120</v>
      </c>
      <c r="C40" s="28" t="s">
        <v>938</v>
      </c>
      <c r="D40" s="617" t="str">
        <f ca="1">IF(AND(TIPOORCAMENTO="Licitado",OR(OFFSET(D40,0,-1)="",OFFSET(D40,0,-1)="(SELECIONAR)")),"◄","")</f>
        <v/>
      </c>
      <c r="AQ40" t="s">
        <v>592</v>
      </c>
      <c r="AR40" t="s">
        <v>593</v>
      </c>
    </row>
    <row r="41" spans="2:44" ht="13.5" thickBot="1" x14ac:dyDescent="0.25">
      <c r="B41" s="29" t="s">
        <v>121</v>
      </c>
      <c r="C41" s="37"/>
      <c r="D41" s="617" t="str">
        <f ca="1">IF(AND(TIPOORCAMENTO="Licitado",OFFSET(D41,0,-1)=""),"◄","")</f>
        <v/>
      </c>
      <c r="AQ41" t="s">
        <v>594</v>
      </c>
      <c r="AR41" t="s">
        <v>595</v>
      </c>
    </row>
    <row r="42" spans="2:44" ht="15.75" x14ac:dyDescent="0.2">
      <c r="B42" s="8"/>
      <c r="AQ42" t="s">
        <v>596</v>
      </c>
      <c r="AR42" t="s">
        <v>597</v>
      </c>
    </row>
    <row r="43" spans="2:44" ht="12.75" customHeight="1" x14ac:dyDescent="0.2">
      <c r="B43" s="8"/>
      <c r="AQ43" t="s">
        <v>598</v>
      </c>
      <c r="AR43" t="s">
        <v>599</v>
      </c>
    </row>
    <row r="44" spans="2:44" ht="12.75" customHeight="1" x14ac:dyDescent="0.2">
      <c r="B44" s="8" t="s">
        <v>122</v>
      </c>
      <c r="AQ44" t="s">
        <v>600</v>
      </c>
      <c r="AR44" t="s">
        <v>601</v>
      </c>
    </row>
    <row r="45" spans="2:44" ht="16.5" thickBot="1" x14ac:dyDescent="0.25">
      <c r="B45" s="8"/>
      <c r="AQ45" t="s">
        <v>602</v>
      </c>
      <c r="AR45" t="s">
        <v>603</v>
      </c>
    </row>
    <row r="46" spans="2:44" ht="12.75" customHeight="1" thickBot="1" x14ac:dyDescent="0.3">
      <c r="B46" s="680" t="s">
        <v>123</v>
      </c>
      <c r="C46" s="680"/>
      <c r="D46" s="616" t="str">
        <f ca="1">IF(COUNTIF(D47:D48,"◄")=0,"","Falta preencher a linha "&amp;MATCH("◄",D47:D48,0)+ROW(D46))</f>
        <v/>
      </c>
      <c r="AQ46" t="s">
        <v>608</v>
      </c>
      <c r="AR46" t="s">
        <v>609</v>
      </c>
    </row>
    <row r="47" spans="2:44" x14ac:dyDescent="0.2">
      <c r="B47" s="14" t="s">
        <v>124</v>
      </c>
      <c r="C47" s="36"/>
      <c r="D47" s="617" t="str">
        <f ca="1">IF(AND(TIPOORCAMENTO="Licitado",OFFSET(D47,0,-1)="",IFERROR(RRE!$O$28,0)&gt;0),"◄","")</f>
        <v/>
      </c>
      <c r="AQ47" t="s">
        <v>610</v>
      </c>
      <c r="AR47" t="s">
        <v>611</v>
      </c>
    </row>
    <row r="48" spans="2:44" ht="13.5" thickBot="1" x14ac:dyDescent="0.25">
      <c r="B48" s="29" t="s">
        <v>125</v>
      </c>
      <c r="C48" s="38"/>
      <c r="D48" s="617" t="str">
        <f ca="1">IF(AND(TIPOORCAMENTO="Licitado",OFFSET(D48,0,-1)="",IFERROR(RRE!$O$28,0)&gt;0),"◄","")</f>
        <v/>
      </c>
      <c r="AQ48" t="s">
        <v>612</v>
      </c>
      <c r="AR48" t="s">
        <v>613</v>
      </c>
    </row>
    <row r="49" spans="2:44" ht="16.5" thickBot="1" x14ac:dyDescent="0.25">
      <c r="B49" s="8"/>
      <c r="AQ49" t="s">
        <v>614</v>
      </c>
      <c r="AR49" t="s">
        <v>615</v>
      </c>
    </row>
    <row r="50" spans="2:44" ht="12.75" customHeight="1" thickBot="1" x14ac:dyDescent="0.3">
      <c r="B50" s="680" t="s">
        <v>126</v>
      </c>
      <c r="C50" s="680"/>
      <c r="D50" s="616" t="str">
        <f ca="1">IF(COUNTIF(D51:D54,"◄")=0,"","Falta preencher a linha "&amp;MATCH("◄",D51:D54,0)+ROW(D50))</f>
        <v/>
      </c>
      <c r="AQ50" t="s">
        <v>616</v>
      </c>
      <c r="AR50" t="s">
        <v>617</v>
      </c>
    </row>
    <row r="51" spans="2:44" x14ac:dyDescent="0.2">
      <c r="B51" s="14" t="s">
        <v>108</v>
      </c>
      <c r="C51" s="39"/>
      <c r="D51" s="617" t="str">
        <f ca="1">IF(AND(TIPOORCAMENTO="Licitado",OFFSET(D51,0,-1)="",IFERROR(RRE!$O$28,0)&gt;0),"◄","")</f>
        <v/>
      </c>
      <c r="AQ51" t="s">
        <v>618</v>
      </c>
      <c r="AR51" t="s">
        <v>619</v>
      </c>
    </row>
    <row r="52" spans="2:44" x14ac:dyDescent="0.2">
      <c r="B52" s="18" t="s">
        <v>127</v>
      </c>
      <c r="C52" s="19"/>
      <c r="D52" s="617" t="str">
        <f ca="1">IF(AND(TIPOORCAMENTO="Licitado",OFFSET(D52,0,-1)="",IFERROR(RRE!$O$28,0)&gt;0),"◄","")</f>
        <v/>
      </c>
      <c r="AQ52" t="s">
        <v>624</v>
      </c>
      <c r="AR52" t="s">
        <v>625</v>
      </c>
    </row>
    <row r="53" spans="2:44" x14ac:dyDescent="0.2">
      <c r="B53" s="18" t="s">
        <v>128</v>
      </c>
      <c r="C53" s="19"/>
      <c r="D53" s="617" t="str">
        <f ca="1">IF(AND(TIPOORCAMENTO="Licitado",OFFSET(D53,0,-1)="",IFERROR(RRE!$O$28,0)&gt;0),"◄","")</f>
        <v/>
      </c>
      <c r="AQ53" t="s">
        <v>620</v>
      </c>
      <c r="AR53" t="s">
        <v>621</v>
      </c>
    </row>
    <row r="54" spans="2:44" ht="13.5" thickBot="1" x14ac:dyDescent="0.25">
      <c r="B54" s="22" t="s">
        <v>129</v>
      </c>
      <c r="C54" s="40"/>
      <c r="D54" s="617" t="str">
        <f ca="1">IF(AND(TIPOORCAMENTO="Licitado",OFFSET(D54,0,-1)="",IFERROR(RRE!$O$28,0)&gt;0),"◄","")</f>
        <v/>
      </c>
      <c r="AQ54" t="s">
        <v>622</v>
      </c>
      <c r="AR54" t="s">
        <v>623</v>
      </c>
    </row>
    <row r="55" spans="2:44" x14ac:dyDescent="0.2">
      <c r="C55" s="31"/>
      <c r="AQ55" t="s">
        <v>626</v>
      </c>
      <c r="AR55" t="s">
        <v>627</v>
      </c>
    </row>
    <row r="56" spans="2:44" x14ac:dyDescent="0.2">
      <c r="AQ56" t="s">
        <v>628</v>
      </c>
      <c r="AR56" t="s">
        <v>629</v>
      </c>
    </row>
    <row r="57" spans="2:44" ht="15.75" x14ac:dyDescent="0.2">
      <c r="B57" s="8" t="s">
        <v>130</v>
      </c>
      <c r="AQ57" t="s">
        <v>630</v>
      </c>
      <c r="AR57" t="s">
        <v>631</v>
      </c>
    </row>
    <row r="58" spans="2:44" ht="16.5" thickBot="1" x14ac:dyDescent="0.25">
      <c r="B58" s="8"/>
      <c r="AQ58" t="s">
        <v>632</v>
      </c>
      <c r="AR58" t="s">
        <v>633</v>
      </c>
    </row>
    <row r="59" spans="2:44" ht="15.75" thickBot="1" x14ac:dyDescent="0.25">
      <c r="B59" s="680" t="s">
        <v>131</v>
      </c>
      <c r="C59" s="680"/>
      <c r="AQ59" t="s">
        <v>634</v>
      </c>
      <c r="AR59" t="s">
        <v>635</v>
      </c>
    </row>
    <row r="60" spans="2:44" x14ac:dyDescent="0.2">
      <c r="B60" s="14" t="s">
        <v>108</v>
      </c>
      <c r="C60" s="39"/>
      <c r="AQ60" t="s">
        <v>636</v>
      </c>
      <c r="AR60" t="s">
        <v>637</v>
      </c>
    </row>
    <row r="61" spans="2:44" ht="13.5" thickBot="1" x14ac:dyDescent="0.25">
      <c r="B61" s="29" t="s">
        <v>132</v>
      </c>
      <c r="C61" s="41"/>
      <c r="AQ61" t="s">
        <v>638</v>
      </c>
      <c r="AR61" t="s">
        <v>639</v>
      </c>
    </row>
    <row r="62" spans="2:44" x14ac:dyDescent="0.2">
      <c r="AQ62" t="s">
        <v>640</v>
      </c>
      <c r="AR62" t="s">
        <v>641</v>
      </c>
    </row>
    <row r="63" spans="2:44" x14ac:dyDescent="0.2">
      <c r="AQ63" t="s">
        <v>642</v>
      </c>
      <c r="AR63" t="s">
        <v>643</v>
      </c>
    </row>
    <row r="64" spans="2:44" x14ac:dyDescent="0.2">
      <c r="AQ64" t="s">
        <v>644</v>
      </c>
      <c r="AR64" t="s">
        <v>645</v>
      </c>
    </row>
    <row r="65" spans="43:44" x14ac:dyDescent="0.2">
      <c r="AQ65" t="s">
        <v>646</v>
      </c>
      <c r="AR65" t="s">
        <v>647</v>
      </c>
    </row>
    <row r="66" spans="43:44" x14ac:dyDescent="0.2">
      <c r="AQ66" t="s">
        <v>650</v>
      </c>
      <c r="AR66" t="s">
        <v>651</v>
      </c>
    </row>
    <row r="67" spans="43:44" x14ac:dyDescent="0.2">
      <c r="AQ67" t="s">
        <v>648</v>
      </c>
      <c r="AR67" t="s">
        <v>649</v>
      </c>
    </row>
    <row r="68" spans="43:44" x14ac:dyDescent="0.2">
      <c r="AQ68" t="s">
        <v>652</v>
      </c>
      <c r="AR68" t="s">
        <v>653</v>
      </c>
    </row>
    <row r="69" spans="43:44" x14ac:dyDescent="0.2">
      <c r="AQ69" t="s">
        <v>654</v>
      </c>
      <c r="AR69" t="s">
        <v>655</v>
      </c>
    </row>
    <row r="70" spans="43:44" x14ac:dyDescent="0.2">
      <c r="AQ70" t="s">
        <v>658</v>
      </c>
      <c r="AR70" t="s">
        <v>659</v>
      </c>
    </row>
    <row r="71" spans="43:44" x14ac:dyDescent="0.2">
      <c r="AQ71" t="s">
        <v>660</v>
      </c>
      <c r="AR71" t="s">
        <v>661</v>
      </c>
    </row>
    <row r="72" spans="43:44" x14ac:dyDescent="0.2">
      <c r="AQ72" t="s">
        <v>662</v>
      </c>
      <c r="AR72" t="s">
        <v>663</v>
      </c>
    </row>
    <row r="73" spans="43:44" x14ac:dyDescent="0.2">
      <c r="AQ73" t="s">
        <v>664</v>
      </c>
      <c r="AR73" t="s">
        <v>665</v>
      </c>
    </row>
    <row r="74" spans="43:44" x14ac:dyDescent="0.2">
      <c r="AQ74" t="s">
        <v>666</v>
      </c>
      <c r="AR74" t="s">
        <v>667</v>
      </c>
    </row>
    <row r="75" spans="43:44" x14ac:dyDescent="0.2">
      <c r="AQ75" t="s">
        <v>668</v>
      </c>
      <c r="AR75" t="s">
        <v>669</v>
      </c>
    </row>
    <row r="76" spans="43:44" x14ac:dyDescent="0.2">
      <c r="AQ76" t="s">
        <v>670</v>
      </c>
      <c r="AR76" t="s">
        <v>671</v>
      </c>
    </row>
    <row r="77" spans="43:44" x14ac:dyDescent="0.2">
      <c r="AQ77" t="s">
        <v>672</v>
      </c>
      <c r="AR77" t="s">
        <v>673</v>
      </c>
    </row>
    <row r="78" spans="43:44" x14ac:dyDescent="0.2">
      <c r="AQ78" t="s">
        <v>674</v>
      </c>
      <c r="AR78" t="s">
        <v>675</v>
      </c>
    </row>
    <row r="79" spans="43:44" x14ac:dyDescent="0.2">
      <c r="AQ79" t="s">
        <v>676</v>
      </c>
      <c r="AR79" t="s">
        <v>677</v>
      </c>
    </row>
    <row r="80" spans="43:44" x14ac:dyDescent="0.2">
      <c r="AQ80" t="s">
        <v>678</v>
      </c>
      <c r="AR80" t="s">
        <v>679</v>
      </c>
    </row>
    <row r="81" spans="43:44" x14ac:dyDescent="0.2">
      <c r="AQ81" t="s">
        <v>680</v>
      </c>
      <c r="AR81" t="s">
        <v>681</v>
      </c>
    </row>
    <row r="82" spans="43:44" x14ac:dyDescent="0.2">
      <c r="AQ82" t="s">
        <v>682</v>
      </c>
      <c r="AR82" t="s">
        <v>683</v>
      </c>
    </row>
    <row r="83" spans="43:44" x14ac:dyDescent="0.2">
      <c r="AQ83" t="s">
        <v>684</v>
      </c>
      <c r="AR83" t="s">
        <v>685</v>
      </c>
    </row>
    <row r="84" spans="43:44" x14ac:dyDescent="0.2">
      <c r="AQ84" t="s">
        <v>686</v>
      </c>
      <c r="AR84" t="s">
        <v>687</v>
      </c>
    </row>
    <row r="85" spans="43:44" x14ac:dyDescent="0.2">
      <c r="AQ85" t="s">
        <v>688</v>
      </c>
      <c r="AR85" t="s">
        <v>689</v>
      </c>
    </row>
    <row r="86" spans="43:44" x14ac:dyDescent="0.2">
      <c r="AQ86" t="s">
        <v>690</v>
      </c>
      <c r="AR86" t="s">
        <v>691</v>
      </c>
    </row>
    <row r="87" spans="43:44" x14ac:dyDescent="0.2">
      <c r="AQ87" t="s">
        <v>694</v>
      </c>
      <c r="AR87" t="s">
        <v>695</v>
      </c>
    </row>
    <row r="88" spans="43:44" x14ac:dyDescent="0.2">
      <c r="AQ88" t="s">
        <v>696</v>
      </c>
      <c r="AR88" t="s">
        <v>697</v>
      </c>
    </row>
    <row r="89" spans="43:44" x14ac:dyDescent="0.2">
      <c r="AQ89" t="s">
        <v>698</v>
      </c>
      <c r="AR89" t="s">
        <v>699</v>
      </c>
    </row>
    <row r="90" spans="43:44" x14ac:dyDescent="0.2">
      <c r="AQ90" t="s">
        <v>700</v>
      </c>
      <c r="AR90" t="s">
        <v>701</v>
      </c>
    </row>
    <row r="91" spans="43:44" x14ac:dyDescent="0.2">
      <c r="AQ91" t="s">
        <v>702</v>
      </c>
      <c r="AR91" t="s">
        <v>703</v>
      </c>
    </row>
    <row r="92" spans="43:44" x14ac:dyDescent="0.2">
      <c r="AQ92" t="s">
        <v>704</v>
      </c>
      <c r="AR92" t="s">
        <v>705</v>
      </c>
    </row>
    <row r="93" spans="43:44" x14ac:dyDescent="0.2">
      <c r="AQ93" t="s">
        <v>706</v>
      </c>
      <c r="AR93" t="s">
        <v>707</v>
      </c>
    </row>
    <row r="94" spans="43:44" x14ac:dyDescent="0.2">
      <c r="AQ94" t="s">
        <v>708</v>
      </c>
      <c r="AR94" t="s">
        <v>709</v>
      </c>
    </row>
    <row r="95" spans="43:44" x14ac:dyDescent="0.2">
      <c r="AQ95" t="s">
        <v>710</v>
      </c>
      <c r="AR95" t="s">
        <v>710</v>
      </c>
    </row>
    <row r="96" spans="43:44" x14ac:dyDescent="0.2">
      <c r="AQ96" t="s">
        <v>711</v>
      </c>
      <c r="AR96" t="s">
        <v>712</v>
      </c>
    </row>
    <row r="97" spans="43:44" x14ac:dyDescent="0.2">
      <c r="AQ97" t="s">
        <v>713</v>
      </c>
      <c r="AR97" t="s">
        <v>714</v>
      </c>
    </row>
    <row r="98" spans="43:44" x14ac:dyDescent="0.2">
      <c r="AQ98" t="s">
        <v>715</v>
      </c>
      <c r="AR98" t="s">
        <v>715</v>
      </c>
    </row>
    <row r="99" spans="43:44" x14ac:dyDescent="0.2">
      <c r="AQ99" t="s">
        <v>526</v>
      </c>
      <c r="AR99" t="s">
        <v>526</v>
      </c>
    </row>
    <row r="100" spans="43:44" x14ac:dyDescent="0.2">
      <c r="AQ100" t="s">
        <v>526</v>
      </c>
      <c r="AR100" t="s">
        <v>526</v>
      </c>
    </row>
    <row r="101" spans="43:44" x14ac:dyDescent="0.2">
      <c r="AQ101" t="s">
        <v>716</v>
      </c>
      <c r="AR101" t="s">
        <v>717</v>
      </c>
    </row>
    <row r="102" spans="43:44" x14ac:dyDescent="0.2">
      <c r="AQ102" t="s">
        <v>718</v>
      </c>
      <c r="AR102" t="s">
        <v>719</v>
      </c>
    </row>
    <row r="103" spans="43:44" x14ac:dyDescent="0.2">
      <c r="AQ103" t="s">
        <v>720</v>
      </c>
      <c r="AR103" t="s">
        <v>721</v>
      </c>
    </row>
    <row r="104" spans="43:44" x14ac:dyDescent="0.2">
      <c r="AQ104" t="s">
        <v>520</v>
      </c>
      <c r="AR104" t="s">
        <v>521</v>
      </c>
    </row>
    <row r="105" spans="43:44" x14ac:dyDescent="0.2">
      <c r="AQ105" t="s">
        <v>722</v>
      </c>
      <c r="AR105" t="s">
        <v>723</v>
      </c>
    </row>
    <row r="106" spans="43:44" x14ac:dyDescent="0.2">
      <c r="AQ106" t="s">
        <v>724</v>
      </c>
      <c r="AR106" t="s">
        <v>725</v>
      </c>
    </row>
    <row r="107" spans="43:44" x14ac:dyDescent="0.2">
      <c r="AQ107" t="s">
        <v>738</v>
      </c>
      <c r="AR107" t="s">
        <v>739</v>
      </c>
    </row>
    <row r="108" spans="43:44" x14ac:dyDescent="0.2">
      <c r="AQ108" t="s">
        <v>726</v>
      </c>
      <c r="AR108" t="s">
        <v>727</v>
      </c>
    </row>
    <row r="109" spans="43:44" x14ac:dyDescent="0.2">
      <c r="AQ109" t="s">
        <v>728</v>
      </c>
      <c r="AR109" t="s">
        <v>729</v>
      </c>
    </row>
    <row r="110" spans="43:44" x14ac:dyDescent="0.2">
      <c r="AQ110" t="s">
        <v>730</v>
      </c>
      <c r="AR110" t="s">
        <v>731</v>
      </c>
    </row>
    <row r="111" spans="43:44" x14ac:dyDescent="0.2">
      <c r="AQ111" t="s">
        <v>732</v>
      </c>
      <c r="AR111" t="s">
        <v>733</v>
      </c>
    </row>
    <row r="112" spans="43:44" x14ac:dyDescent="0.2">
      <c r="AQ112" t="s">
        <v>734</v>
      </c>
      <c r="AR112" t="s">
        <v>735</v>
      </c>
    </row>
    <row r="113" spans="43:44" x14ac:dyDescent="0.2">
      <c r="AQ113" t="s">
        <v>736</v>
      </c>
      <c r="AR113" t="s">
        <v>737</v>
      </c>
    </row>
    <row r="114" spans="43:44" x14ac:dyDescent="0.2">
      <c r="AQ114" t="s">
        <v>740</v>
      </c>
      <c r="AR114" t="s">
        <v>741</v>
      </c>
    </row>
    <row r="115" spans="43:44" x14ac:dyDescent="0.2">
      <c r="AQ115" t="s">
        <v>742</v>
      </c>
      <c r="AR115" t="s">
        <v>743</v>
      </c>
    </row>
    <row r="116" spans="43:44" x14ac:dyDescent="0.2">
      <c r="AQ116" t="s">
        <v>744</v>
      </c>
      <c r="AR116" t="s">
        <v>745</v>
      </c>
    </row>
    <row r="117" spans="43:44" x14ac:dyDescent="0.2">
      <c r="AQ117" t="s">
        <v>746</v>
      </c>
      <c r="AR117" t="s">
        <v>747</v>
      </c>
    </row>
    <row r="118" spans="43:44" x14ac:dyDescent="0.2">
      <c r="AQ118" t="s">
        <v>748</v>
      </c>
      <c r="AR118" t="s">
        <v>749</v>
      </c>
    </row>
    <row r="119" spans="43:44" x14ac:dyDescent="0.2">
      <c r="AQ119" t="s">
        <v>750</v>
      </c>
      <c r="AR119" t="s">
        <v>750</v>
      </c>
    </row>
    <row r="120" spans="43:44" x14ac:dyDescent="0.2">
      <c r="AQ120" t="s">
        <v>751</v>
      </c>
      <c r="AR120" t="s">
        <v>751</v>
      </c>
    </row>
    <row r="121" spans="43:44" x14ac:dyDescent="0.2">
      <c r="AQ121" t="s">
        <v>168</v>
      </c>
      <c r="AR121" t="s">
        <v>752</v>
      </c>
    </row>
    <row r="122" spans="43:44" x14ac:dyDescent="0.2">
      <c r="AQ122" t="s">
        <v>753</v>
      </c>
      <c r="AR122" t="s">
        <v>754</v>
      </c>
    </row>
    <row r="123" spans="43:44" x14ac:dyDescent="0.2">
      <c r="AQ123" t="s">
        <v>755</v>
      </c>
      <c r="AR123" t="s">
        <v>756</v>
      </c>
    </row>
    <row r="124" spans="43:44" x14ac:dyDescent="0.2">
      <c r="AQ124" t="s">
        <v>757</v>
      </c>
      <c r="AR124" t="s">
        <v>758</v>
      </c>
    </row>
    <row r="125" spans="43:44" x14ac:dyDescent="0.2">
      <c r="AQ125" t="s">
        <v>759</v>
      </c>
      <c r="AR125" t="s">
        <v>760</v>
      </c>
    </row>
    <row r="126" spans="43:44" x14ac:dyDescent="0.2">
      <c r="AQ126" t="s">
        <v>761</v>
      </c>
      <c r="AR126" t="s">
        <v>762</v>
      </c>
    </row>
    <row r="127" spans="43:44" x14ac:dyDescent="0.2">
      <c r="AQ127" t="s">
        <v>763</v>
      </c>
      <c r="AR127" t="s">
        <v>764</v>
      </c>
    </row>
    <row r="128" spans="43:44" x14ac:dyDescent="0.2">
      <c r="AQ128" t="s">
        <v>765</v>
      </c>
      <c r="AR128" t="s">
        <v>766</v>
      </c>
    </row>
    <row r="129" spans="43:44" x14ac:dyDescent="0.2">
      <c r="AQ129" t="s">
        <v>767</v>
      </c>
      <c r="AR129" t="s">
        <v>768</v>
      </c>
    </row>
    <row r="130" spans="43:44" x14ac:dyDescent="0.2">
      <c r="AQ130" t="s">
        <v>769</v>
      </c>
      <c r="AR130" t="s">
        <v>770</v>
      </c>
    </row>
    <row r="131" spans="43:44" x14ac:dyDescent="0.2">
      <c r="AQ131" t="s">
        <v>771</v>
      </c>
      <c r="AR131" t="s">
        <v>772</v>
      </c>
    </row>
    <row r="132" spans="43:44" x14ac:dyDescent="0.2">
      <c r="AQ132" t="s">
        <v>773</v>
      </c>
      <c r="AR132" t="s">
        <v>774</v>
      </c>
    </row>
    <row r="133" spans="43:44" x14ac:dyDescent="0.2">
      <c r="AQ133" t="s">
        <v>775</v>
      </c>
      <c r="AR133" t="s">
        <v>776</v>
      </c>
    </row>
    <row r="134" spans="43:44" x14ac:dyDescent="0.2">
      <c r="AQ134" t="s">
        <v>777</v>
      </c>
      <c r="AR134" t="s">
        <v>531</v>
      </c>
    </row>
    <row r="135" spans="43:44" x14ac:dyDescent="0.2">
      <c r="AQ135" t="s">
        <v>778</v>
      </c>
      <c r="AR135" t="s">
        <v>779</v>
      </c>
    </row>
    <row r="136" spans="43:44" x14ac:dyDescent="0.2">
      <c r="AQ136" t="s">
        <v>780</v>
      </c>
      <c r="AR136" t="s">
        <v>781</v>
      </c>
    </row>
    <row r="137" spans="43:44" x14ac:dyDescent="0.2">
      <c r="AQ137" t="s">
        <v>782</v>
      </c>
      <c r="AR137" t="s">
        <v>783</v>
      </c>
    </row>
    <row r="138" spans="43:44" x14ac:dyDescent="0.2">
      <c r="AQ138" t="s">
        <v>784</v>
      </c>
      <c r="AR138" t="s">
        <v>785</v>
      </c>
    </row>
    <row r="139" spans="43:44" x14ac:dyDescent="0.2">
      <c r="AQ139" t="s">
        <v>786</v>
      </c>
      <c r="AR139" t="s">
        <v>787</v>
      </c>
    </row>
    <row r="140" spans="43:44" x14ac:dyDescent="0.2">
      <c r="AQ140" t="s">
        <v>788</v>
      </c>
      <c r="AR140" t="s">
        <v>789</v>
      </c>
    </row>
    <row r="141" spans="43:44" x14ac:dyDescent="0.2">
      <c r="AQ141" t="s">
        <v>790</v>
      </c>
      <c r="AR141" t="s">
        <v>791</v>
      </c>
    </row>
    <row r="142" spans="43:44" x14ac:dyDescent="0.2">
      <c r="AQ142" t="s">
        <v>792</v>
      </c>
      <c r="AR142" t="s">
        <v>793</v>
      </c>
    </row>
    <row r="143" spans="43:44" x14ac:dyDescent="0.2">
      <c r="AQ143" t="s">
        <v>531</v>
      </c>
      <c r="AR143" t="s">
        <v>531</v>
      </c>
    </row>
    <row r="144" spans="43:44" x14ac:dyDescent="0.2">
      <c r="AQ144" t="s">
        <v>794</v>
      </c>
      <c r="AR144" t="s">
        <v>794</v>
      </c>
    </row>
    <row r="145" spans="43:44" x14ac:dyDescent="0.2">
      <c r="AQ145" t="s">
        <v>795</v>
      </c>
      <c r="AR145" t="s">
        <v>795</v>
      </c>
    </row>
    <row r="146" spans="43:44" x14ac:dyDescent="0.2">
      <c r="AQ146" t="s">
        <v>796</v>
      </c>
      <c r="AR146" t="s">
        <v>781</v>
      </c>
    </row>
    <row r="147" spans="43:44" x14ac:dyDescent="0.2">
      <c r="AQ147" t="s">
        <v>797</v>
      </c>
      <c r="AR147" t="s">
        <v>798</v>
      </c>
    </row>
    <row r="148" spans="43:44" x14ac:dyDescent="0.2">
      <c r="AQ148" t="s">
        <v>799</v>
      </c>
      <c r="AR148" t="s">
        <v>800</v>
      </c>
    </row>
    <row r="149" spans="43:44" x14ac:dyDescent="0.2">
      <c r="AQ149" t="s">
        <v>529</v>
      </c>
      <c r="AR149" t="s">
        <v>530</v>
      </c>
    </row>
    <row r="150" spans="43:44" x14ac:dyDescent="0.2">
      <c r="AQ150" t="s">
        <v>529</v>
      </c>
      <c r="AR150" t="s">
        <v>530</v>
      </c>
    </row>
    <row r="151" spans="43:44" x14ac:dyDescent="0.2">
      <c r="AQ151" t="s">
        <v>801</v>
      </c>
      <c r="AR151" t="s">
        <v>801</v>
      </c>
    </row>
    <row r="152" spans="43:44" x14ac:dyDescent="0.2">
      <c r="AQ152" t="s">
        <v>802</v>
      </c>
      <c r="AR152" t="s">
        <v>803</v>
      </c>
    </row>
    <row r="153" spans="43:44" x14ac:dyDescent="0.2">
      <c r="AQ153" t="s">
        <v>804</v>
      </c>
      <c r="AR153" t="s">
        <v>805</v>
      </c>
    </row>
    <row r="154" spans="43:44" x14ac:dyDescent="0.2">
      <c r="AQ154" t="s">
        <v>806</v>
      </c>
      <c r="AR154" t="s">
        <v>807</v>
      </c>
    </row>
    <row r="155" spans="43:44" x14ac:dyDescent="0.2">
      <c r="AQ155" t="s">
        <v>808</v>
      </c>
      <c r="AR155" t="s">
        <v>809</v>
      </c>
    </row>
    <row r="156" spans="43:44" x14ac:dyDescent="0.2">
      <c r="AQ156" t="s">
        <v>810</v>
      </c>
      <c r="AR156" t="s">
        <v>811</v>
      </c>
    </row>
    <row r="157" spans="43:44" x14ac:dyDescent="0.2">
      <c r="AQ157" t="s">
        <v>812</v>
      </c>
      <c r="AR157" t="s">
        <v>813</v>
      </c>
    </row>
    <row r="158" spans="43:44" x14ac:dyDescent="0.2">
      <c r="AQ158" t="s">
        <v>814</v>
      </c>
      <c r="AR158" t="s">
        <v>815</v>
      </c>
    </row>
    <row r="159" spans="43:44" x14ac:dyDescent="0.2">
      <c r="AQ159" t="s">
        <v>816</v>
      </c>
      <c r="AR159" t="s">
        <v>817</v>
      </c>
    </row>
    <row r="160" spans="43:44" x14ac:dyDescent="0.2">
      <c r="AQ160" t="s">
        <v>818</v>
      </c>
      <c r="AR160" t="s">
        <v>819</v>
      </c>
    </row>
    <row r="161" spans="43:44" x14ac:dyDescent="0.2">
      <c r="AQ161" t="s">
        <v>820</v>
      </c>
      <c r="AR161" t="s">
        <v>821</v>
      </c>
    </row>
    <row r="162" spans="43:44" x14ac:dyDescent="0.2">
      <c r="AQ162" t="s">
        <v>822</v>
      </c>
      <c r="AR162" t="s">
        <v>823</v>
      </c>
    </row>
    <row r="163" spans="43:44" x14ac:dyDescent="0.2">
      <c r="AQ163" t="s">
        <v>824</v>
      </c>
      <c r="AR163" t="s">
        <v>825</v>
      </c>
    </row>
    <row r="164" spans="43:44" x14ac:dyDescent="0.2">
      <c r="AQ164" t="s">
        <v>826</v>
      </c>
      <c r="AR164" t="s">
        <v>827</v>
      </c>
    </row>
    <row r="165" spans="43:44" x14ac:dyDescent="0.2">
      <c r="AQ165" t="s">
        <v>244</v>
      </c>
      <c r="AR165" t="s">
        <v>828</v>
      </c>
    </row>
    <row r="166" spans="43:44" x14ac:dyDescent="0.2">
      <c r="AQ166" t="s">
        <v>831</v>
      </c>
      <c r="AR166" t="s">
        <v>831</v>
      </c>
    </row>
    <row r="167" spans="43:44" x14ac:dyDescent="0.2">
      <c r="AQ167" t="s">
        <v>832</v>
      </c>
      <c r="AR167" t="s">
        <v>833</v>
      </c>
    </row>
    <row r="168" spans="43:44" x14ac:dyDescent="0.2">
      <c r="AQ168" t="s">
        <v>834</v>
      </c>
      <c r="AR168" t="s">
        <v>835</v>
      </c>
    </row>
    <row r="169" spans="43:44" x14ac:dyDescent="0.2">
      <c r="AQ169" t="s">
        <v>836</v>
      </c>
      <c r="AR169" t="s">
        <v>837</v>
      </c>
    </row>
    <row r="170" spans="43:44" x14ac:dyDescent="0.2">
      <c r="AQ170" t="s">
        <v>838</v>
      </c>
      <c r="AR170" t="s">
        <v>839</v>
      </c>
    </row>
    <row r="171" spans="43:44" x14ac:dyDescent="0.2">
      <c r="AQ171" t="s">
        <v>840</v>
      </c>
      <c r="AR171" t="s">
        <v>841</v>
      </c>
    </row>
    <row r="172" spans="43:44" x14ac:dyDescent="0.2">
      <c r="AQ172" t="s">
        <v>842</v>
      </c>
      <c r="AR172" t="s">
        <v>843</v>
      </c>
    </row>
    <row r="173" spans="43:44" x14ac:dyDescent="0.2">
      <c r="AQ173" t="s">
        <v>844</v>
      </c>
      <c r="AR173" t="s">
        <v>845</v>
      </c>
    </row>
    <row r="174" spans="43:44" x14ac:dyDescent="0.2">
      <c r="AQ174" t="s">
        <v>846</v>
      </c>
      <c r="AR174" t="s">
        <v>847</v>
      </c>
    </row>
    <row r="175" spans="43:44" x14ac:dyDescent="0.2">
      <c r="AQ175" t="s">
        <v>848</v>
      </c>
      <c r="AR175" t="s">
        <v>849</v>
      </c>
    </row>
    <row r="176" spans="43:44" x14ac:dyDescent="0.2">
      <c r="AQ176" t="s">
        <v>850</v>
      </c>
      <c r="AR176" t="s">
        <v>851</v>
      </c>
    </row>
    <row r="177" spans="43:44" x14ac:dyDescent="0.2">
      <c r="AQ177" t="s">
        <v>852</v>
      </c>
      <c r="AR177" t="s">
        <v>853</v>
      </c>
    </row>
    <row r="178" spans="43:44" x14ac:dyDescent="0.2">
      <c r="AQ178" t="s">
        <v>854</v>
      </c>
      <c r="AR178" t="s">
        <v>855</v>
      </c>
    </row>
    <row r="179" spans="43:44" x14ac:dyDescent="0.2">
      <c r="AQ179" t="s">
        <v>856</v>
      </c>
      <c r="AR179" t="s">
        <v>857</v>
      </c>
    </row>
    <row r="180" spans="43:44" x14ac:dyDescent="0.2">
      <c r="AQ180" t="s">
        <v>858</v>
      </c>
      <c r="AR180" t="s">
        <v>859</v>
      </c>
    </row>
    <row r="181" spans="43:44" x14ac:dyDescent="0.2">
      <c r="AQ181" t="s">
        <v>860</v>
      </c>
      <c r="AR181" t="s">
        <v>861</v>
      </c>
    </row>
    <row r="182" spans="43:44" x14ac:dyDescent="0.2">
      <c r="AQ182" t="s">
        <v>862</v>
      </c>
      <c r="AR182" t="s">
        <v>863</v>
      </c>
    </row>
    <row r="183" spans="43:44" x14ac:dyDescent="0.2">
      <c r="AQ183" t="s">
        <v>864</v>
      </c>
      <c r="AR183" t="s">
        <v>865</v>
      </c>
    </row>
    <row r="184" spans="43:44" x14ac:dyDescent="0.2">
      <c r="AQ184" t="s">
        <v>866</v>
      </c>
      <c r="AR184" t="s">
        <v>867</v>
      </c>
    </row>
    <row r="185" spans="43:44" x14ac:dyDescent="0.2">
      <c r="AQ185" t="s">
        <v>868</v>
      </c>
      <c r="AR185" t="s">
        <v>869</v>
      </c>
    </row>
    <row r="186" spans="43:44" x14ac:dyDescent="0.2">
      <c r="AQ186" t="s">
        <v>870</v>
      </c>
      <c r="AR186" t="s">
        <v>871</v>
      </c>
    </row>
    <row r="187" spans="43:44" x14ac:dyDescent="0.2">
      <c r="AQ187" t="s">
        <v>872</v>
      </c>
      <c r="AR187" t="s">
        <v>873</v>
      </c>
    </row>
    <row r="188" spans="43:44" x14ac:dyDescent="0.2">
      <c r="AQ188" t="s">
        <v>874</v>
      </c>
      <c r="AR188" t="s">
        <v>875</v>
      </c>
    </row>
    <row r="189" spans="43:44" x14ac:dyDescent="0.2">
      <c r="AQ189" t="s">
        <v>876</v>
      </c>
      <c r="AR189" t="s">
        <v>877</v>
      </c>
    </row>
    <row r="190" spans="43:44" x14ac:dyDescent="0.2">
      <c r="AQ190" t="s">
        <v>878</v>
      </c>
      <c r="AR190" t="s">
        <v>879</v>
      </c>
    </row>
    <row r="191" spans="43:44" x14ac:dyDescent="0.2">
      <c r="AQ191" t="s">
        <v>880</v>
      </c>
      <c r="AR191" t="s">
        <v>881</v>
      </c>
    </row>
    <row r="192" spans="43:44" x14ac:dyDescent="0.2">
      <c r="AQ192" t="s">
        <v>882</v>
      </c>
      <c r="AR192" t="s">
        <v>883</v>
      </c>
    </row>
    <row r="193" spans="43:44" x14ac:dyDescent="0.2">
      <c r="AQ193" t="s">
        <v>884</v>
      </c>
      <c r="AR193" t="s">
        <v>885</v>
      </c>
    </row>
    <row r="194" spans="43:44" x14ac:dyDescent="0.2">
      <c r="AQ194" t="s">
        <v>886</v>
      </c>
      <c r="AR194" t="s">
        <v>887</v>
      </c>
    </row>
    <row r="195" spans="43:44" x14ac:dyDescent="0.2">
      <c r="AQ195" t="s">
        <v>888</v>
      </c>
      <c r="AR195" t="s">
        <v>889</v>
      </c>
    </row>
    <row r="196" spans="43:44" x14ac:dyDescent="0.2">
      <c r="AQ196" t="s">
        <v>890</v>
      </c>
      <c r="AR196" t="s">
        <v>891</v>
      </c>
    </row>
    <row r="197" spans="43:44" x14ac:dyDescent="0.2">
      <c r="AQ197" t="s">
        <v>892</v>
      </c>
      <c r="AR197" t="s">
        <v>893</v>
      </c>
    </row>
    <row r="198" spans="43:44" x14ac:dyDescent="0.2">
      <c r="AQ198" t="s">
        <v>894</v>
      </c>
      <c r="AR198" t="s">
        <v>895</v>
      </c>
    </row>
    <row r="199" spans="43:44" x14ac:dyDescent="0.2">
      <c r="AQ199" t="s">
        <v>896</v>
      </c>
      <c r="AR199" t="s">
        <v>897</v>
      </c>
    </row>
    <row r="200" spans="43:44" x14ac:dyDescent="0.2">
      <c r="AQ200" t="s">
        <v>898</v>
      </c>
      <c r="AR200" t="s">
        <v>899</v>
      </c>
    </row>
    <row r="201" spans="43:44" x14ac:dyDescent="0.2">
      <c r="AQ201" t="s">
        <v>900</v>
      </c>
      <c r="AR201" t="s">
        <v>901</v>
      </c>
    </row>
    <row r="202" spans="43:44" x14ac:dyDescent="0.2">
      <c r="AQ202" t="s">
        <v>902</v>
      </c>
      <c r="AR202" t="s">
        <v>903</v>
      </c>
    </row>
    <row r="203" spans="43:44" x14ac:dyDescent="0.2">
      <c r="AQ203" t="s">
        <v>904</v>
      </c>
      <c r="AR203" t="s">
        <v>905</v>
      </c>
    </row>
    <row r="204" spans="43:44" x14ac:dyDescent="0.2">
      <c r="AQ204" t="s">
        <v>906</v>
      </c>
      <c r="AR204" t="s">
        <v>907</v>
      </c>
    </row>
    <row r="205" spans="43:44" x14ac:dyDescent="0.2">
      <c r="AQ205" t="s">
        <v>516</v>
      </c>
      <c r="AR205" t="s">
        <v>517</v>
      </c>
    </row>
    <row r="206" spans="43:44" x14ac:dyDescent="0.2">
      <c r="AQ206" t="s">
        <v>510</v>
      </c>
      <c r="AR206" t="s">
        <v>511</v>
      </c>
    </row>
    <row r="207" spans="43:44" x14ac:dyDescent="0.2">
      <c r="AQ207" t="s">
        <v>522</v>
      </c>
      <c r="AR207" t="s">
        <v>523</v>
      </c>
    </row>
    <row r="208" spans="43:44" x14ac:dyDescent="0.2">
      <c r="AQ208" t="s">
        <v>493</v>
      </c>
      <c r="AR208" t="s">
        <v>508</v>
      </c>
    </row>
    <row r="209" spans="43:44" x14ac:dyDescent="0.2">
      <c r="AQ209" t="s">
        <v>501</v>
      </c>
      <c r="AR209" t="s">
        <v>507</v>
      </c>
    </row>
    <row r="210" spans="43:44" x14ac:dyDescent="0.2">
      <c r="AQ210" t="s">
        <v>503</v>
      </c>
      <c r="AR210" t="s">
        <v>509</v>
      </c>
    </row>
    <row r="211" spans="43:44" x14ac:dyDescent="0.2">
      <c r="AQ211" t="s">
        <v>504</v>
      </c>
      <c r="AR211" t="s">
        <v>504</v>
      </c>
    </row>
    <row r="212" spans="43:44" x14ac:dyDescent="0.2">
      <c r="AQ212" t="s">
        <v>515</v>
      </c>
      <c r="AR212" t="s">
        <v>515</v>
      </c>
    </row>
    <row r="213" spans="43:44" x14ac:dyDescent="0.2">
      <c r="AQ213" t="s">
        <v>500</v>
      </c>
      <c r="AR213" t="s">
        <v>519</v>
      </c>
    </row>
    <row r="214" spans="43:44" x14ac:dyDescent="0.2">
      <c r="AQ214" t="s">
        <v>518</v>
      </c>
      <c r="AR214" t="s">
        <v>519</v>
      </c>
    </row>
    <row r="215" spans="43:44" x14ac:dyDescent="0.2">
      <c r="AQ215" t="s">
        <v>528</v>
      </c>
      <c r="AR215" t="s">
        <v>528</v>
      </c>
    </row>
    <row r="216" spans="43:44" x14ac:dyDescent="0.2">
      <c r="AQ216" t="s">
        <v>527</v>
      </c>
      <c r="AR216" t="s">
        <v>527</v>
      </c>
    </row>
    <row r="217" spans="43:44" x14ac:dyDescent="0.2">
      <c r="AQ217" t="s">
        <v>524</v>
      </c>
      <c r="AR217" t="s">
        <v>525</v>
      </c>
    </row>
    <row r="218" spans="43:44" x14ac:dyDescent="0.2">
      <c r="AQ218" t="s">
        <v>513</v>
      </c>
      <c r="AR218" t="s">
        <v>514</v>
      </c>
    </row>
    <row r="219" spans="43:44" x14ac:dyDescent="0.2">
      <c r="AQ219" t="s">
        <v>512</v>
      </c>
      <c r="AR219" t="s">
        <v>512</v>
      </c>
    </row>
    <row r="220" spans="43:44" x14ac:dyDescent="0.2">
      <c r="AQ220" t="s">
        <v>492</v>
      </c>
      <c r="AR220" t="s">
        <v>502</v>
      </c>
    </row>
    <row r="222" spans="43:44" x14ac:dyDescent="0.2">
      <c r="AQ222" s="561"/>
      <c r="AR222" s="85"/>
    </row>
  </sheetData>
  <sheetProtection algorithmName="SHA-512" hashValue="T7mD8uKMVJffjh0Uik7dD7XtYbwN6/0k9Hd38LMWsL5+qDRb7IFl2lnp4dcs9rbyhxNxw/aqSDimuMsWB4gF8g==" saltValue="r1fJGHRa9nGcl7LgHyaRlQ=="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315" priority="2" stopIfTrue="1">
      <formula>CAIXA.Modo=FALSE</formula>
    </cfRule>
  </conditionalFormatting>
  <conditionalFormatting sqref="B59:C61">
    <cfRule type="expression" dxfId="31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44" firstPageNumber="0" fitToHeight="0" orientation="portrait" horizontalDpi="300" verticalDpi="300" r:id="rId1"/>
  <headerFooter alignWithMargins="0">
    <oddHeader>&amp;L_</oddHeader>
    <oddFooter>&amp;LPMv3.08&amp;R&amp;P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5" activePane="bottomLeft" state="frozen"/>
      <selection activeCell="E1" sqref="E1"/>
      <selection pane="bottomLeft" activeCell="J25" sqref="J25:Q25"/>
    </sheetView>
  </sheetViews>
  <sheetFormatPr defaultRowHeight="12.75" x14ac:dyDescent="0.2"/>
  <cols>
    <col min="1" max="4" width="5.5703125" style="50" hidden="1" customWidth="1"/>
    <col min="5" max="6" width="11.42578125" style="50" hidden="1" customWidth="1"/>
    <col min="7" max="7" width="11.85546875" style="50" hidden="1" customWidth="1"/>
    <col min="8" max="8" width="10.5703125" customWidth="1"/>
    <col min="9" max="9" width="3.5703125" customWidth="1"/>
    <col min="10" max="15" width="10.5703125" style="50" customWidth="1"/>
    <col min="16" max="16" width="12.85546875" style="50" customWidth="1"/>
    <col min="17" max="19" width="10.5703125" style="50" customWidth="1"/>
  </cols>
  <sheetData>
    <row r="1" spans="1:21" ht="15.75" x14ac:dyDescent="0.25">
      <c r="E1" s="51" t="s">
        <v>136</v>
      </c>
      <c r="F1" s="51" t="s">
        <v>137</v>
      </c>
      <c r="G1" s="51" t="s">
        <v>138</v>
      </c>
      <c r="O1" s="52" t="str">
        <f>"Quadro de Composição do BDI"</f>
        <v>Quadro de Composição do BDI</v>
      </c>
      <c r="R1" s="706" t="s">
        <v>139</v>
      </c>
      <c r="S1" s="706"/>
    </row>
    <row r="2" spans="1:21" x14ac:dyDescent="0.2">
      <c r="A2" s="50" t="s">
        <v>140</v>
      </c>
      <c r="B2" s="54" t="s">
        <v>141</v>
      </c>
      <c r="C2" s="50" t="str">
        <f t="shared" ref="C2:C49" si="0">CONCATENATE(A2,"-",B2)</f>
        <v>Construção e Reforma de Edifícios-AC</v>
      </c>
      <c r="E2" s="55">
        <v>0.03</v>
      </c>
      <c r="F2" s="55">
        <v>0.04</v>
      </c>
      <c r="G2" s="55">
        <v>5.5E-2</v>
      </c>
      <c r="R2" s="707" t="s">
        <v>142</v>
      </c>
      <c r="S2" s="707"/>
    </row>
    <row r="3" spans="1:21" x14ac:dyDescent="0.2">
      <c r="A3" s="50" t="str">
        <f>A2</f>
        <v>Construção e Reforma de Edifícios</v>
      </c>
      <c r="B3" s="54" t="s">
        <v>143</v>
      </c>
      <c r="C3" s="50" t="str">
        <f t="shared" si="0"/>
        <v>Construção e Reforma de Edifícios-SG</v>
      </c>
      <c r="E3" s="55">
        <v>8.0000000000000002E-3</v>
      </c>
      <c r="F3" s="55">
        <v>8.0000000000000002E-3</v>
      </c>
      <c r="G3" s="55">
        <v>0.01</v>
      </c>
    </row>
    <row r="4" spans="1:21" x14ac:dyDescent="0.2">
      <c r="A4" s="50" t="str">
        <f>A3</f>
        <v>Construção e Reforma de Edifícios</v>
      </c>
      <c r="B4" s="54" t="s">
        <v>144</v>
      </c>
      <c r="C4" s="50" t="str">
        <f t="shared" si="0"/>
        <v>Construção e Reforma de Edifícios-R</v>
      </c>
      <c r="E4" s="55">
        <v>9.7000000000000003E-3</v>
      </c>
      <c r="F4" s="55">
        <v>1.2699999999999999E-2</v>
      </c>
      <c r="G4" s="55">
        <v>1.2699999999999999E-2</v>
      </c>
      <c r="J4" s="662" t="s">
        <v>145</v>
      </c>
      <c r="K4" s="662"/>
      <c r="L4" s="662" t="s">
        <v>425</v>
      </c>
      <c r="M4" s="662"/>
      <c r="N4" s="662" t="s">
        <v>146</v>
      </c>
      <c r="O4" s="662"/>
      <c r="P4" s="662"/>
      <c r="Q4" s="662"/>
      <c r="R4" s="662"/>
      <c r="S4" s="662"/>
    </row>
    <row r="5" spans="1:21" ht="12.75" customHeight="1" x14ac:dyDescent="0.2">
      <c r="A5" s="50" t="str">
        <f>A4</f>
        <v>Construção e Reforma de Edifícios</v>
      </c>
      <c r="B5" s="54" t="s">
        <v>147</v>
      </c>
      <c r="C5" s="50" t="str">
        <f t="shared" si="0"/>
        <v>Construção e Reforma de Edifícios-DF</v>
      </c>
      <c r="E5" s="55">
        <v>5.8999999999999999E-3</v>
      </c>
      <c r="F5" s="55">
        <v>1.23E-2</v>
      </c>
      <c r="G5" s="55">
        <v>1.3899999999999999E-2</v>
      </c>
      <c r="J5" s="668" t="str">
        <f>Import.CR</f>
        <v>000000-00</v>
      </c>
      <c r="K5" s="668"/>
      <c r="L5" s="668" t="str">
        <f>Import.TransfereGOV</f>
        <v>000000</v>
      </c>
      <c r="M5" s="668"/>
      <c r="N5" s="668" t="str">
        <f>Import.Proponente</f>
        <v>PREFEITURA MUNICIPAL DE SARANDI/RS</v>
      </c>
      <c r="O5" s="668"/>
      <c r="P5" s="668"/>
      <c r="Q5" s="668"/>
      <c r="R5" s="668"/>
      <c r="S5" s="668"/>
    </row>
    <row r="6" spans="1:21" x14ac:dyDescent="0.2">
      <c r="A6" s="50" t="str">
        <f>A5</f>
        <v>Construção e Reforma de Edifícios</v>
      </c>
      <c r="B6" s="54" t="s">
        <v>148</v>
      </c>
      <c r="C6" s="50" t="str">
        <f t="shared" si="0"/>
        <v>Construção e Reforma de Edifícios-L</v>
      </c>
      <c r="E6" s="55">
        <v>6.1600000000000002E-2</v>
      </c>
      <c r="F6" s="55">
        <v>7.400000000000001E-2</v>
      </c>
      <c r="G6" s="55">
        <v>8.9600000000000013E-2</v>
      </c>
      <c r="I6" s="665" t="s">
        <v>207</v>
      </c>
      <c r="J6" s="58"/>
      <c r="K6" s="58"/>
      <c r="L6" s="58"/>
      <c r="M6" s="58"/>
      <c r="N6" s="58"/>
      <c r="O6" s="58"/>
      <c r="P6" s="58"/>
      <c r="Q6" s="58"/>
      <c r="R6" s="58"/>
      <c r="S6" s="58"/>
    </row>
    <row r="7" spans="1:21" ht="25.5" x14ac:dyDescent="0.25">
      <c r="A7" s="50" t="str">
        <f>A6</f>
        <v>Construção e Reforma de Edifícios</v>
      </c>
      <c r="B7" s="59" t="s">
        <v>149</v>
      </c>
      <c r="C7" s="50" t="str">
        <f t="shared" si="0"/>
        <v>Construção e Reforma de Edifícios-BDI PAD</v>
      </c>
      <c r="E7" s="55">
        <v>0.2034</v>
      </c>
      <c r="F7" s="55">
        <v>0.22120000000000001</v>
      </c>
      <c r="G7" s="55">
        <v>0.25</v>
      </c>
      <c r="I7" s="665"/>
      <c r="J7" s="662" t="s">
        <v>150</v>
      </c>
      <c r="K7" s="662"/>
      <c r="L7" s="662"/>
      <c r="M7" s="662"/>
      <c r="N7" s="662"/>
      <c r="O7" s="662"/>
      <c r="P7" s="662"/>
      <c r="Q7" s="662"/>
      <c r="R7" s="662"/>
      <c r="S7" s="662"/>
      <c r="U7" s="564" t="str">
        <f ca="1">IF(OR(U10&lt;&gt;"",U11&lt;&gt;""),"Falta preencher os percentuais do ISS",IF(U14&lt;&gt;"","Falta preencher o BDI 1",IF(U54&lt;&gt;"","Falta preencher o BDI 2",IF(U94&lt;&gt;"","Falta preencher o BDI 3",""))))</f>
        <v/>
      </c>
    </row>
    <row r="8" spans="1:21" ht="15.75" x14ac:dyDescent="0.25">
      <c r="A8" s="50" t="s">
        <v>151</v>
      </c>
      <c r="B8" s="54" t="s">
        <v>141</v>
      </c>
      <c r="C8" s="50" t="str">
        <f t="shared" si="0"/>
        <v>Construção de Praças Urbanas, Rodovias, Ferrovias e recapeamento e pavimentação de vias urbanas-AC</v>
      </c>
      <c r="E8" s="55">
        <v>3.7999999999999999E-2</v>
      </c>
      <c r="F8" s="55">
        <v>4.0099999999999997E-2</v>
      </c>
      <c r="G8" s="55">
        <v>4.6699999999999998E-2</v>
      </c>
      <c r="I8" s="665"/>
      <c r="J8" s="710" t="str">
        <f>Import.Apelido&amp;" / "&amp;Import.DescLote</f>
        <v>PAVILHÃO COMUNITÁRIO COMUNIDADE ÁREA 10 / PAVILHÃO COMUNITÁRIO COMUNIDADE ÁREA 10</v>
      </c>
      <c r="K8" s="710"/>
      <c r="L8" s="710"/>
      <c r="M8" s="710"/>
      <c r="N8" s="710"/>
      <c r="O8" s="710"/>
      <c r="P8" s="710"/>
      <c r="Q8" s="710"/>
      <c r="R8" s="710"/>
      <c r="S8" s="710"/>
      <c r="U8" s="564" t="str">
        <f ca="1">IF(U29="FORA DO INTERVALO","BDI 1 fora do intervalo",IF(U69="FORA DO INTERVALO","BDI 2 fora do intervalo",IF(U109="FORA DO INTERVALO","BDI 3 fora do intervalo","")))</f>
        <v/>
      </c>
    </row>
    <row r="9" spans="1:21" x14ac:dyDescent="0.2">
      <c r="A9" s="50" t="s">
        <v>151</v>
      </c>
      <c r="B9" s="54" t="s">
        <v>143</v>
      </c>
      <c r="C9" s="50" t="str">
        <f t="shared" si="0"/>
        <v>Construção de Praças Urbanas, Rodovias, Ferrovias e recapeamento e pavimentação de vias urbanas-SG</v>
      </c>
      <c r="E9" s="55">
        <v>3.2000000000000002E-3</v>
      </c>
      <c r="F9" s="55">
        <v>4.0000000000000001E-3</v>
      </c>
      <c r="G9" s="55">
        <v>7.4000000000000003E-3</v>
      </c>
      <c r="I9" s="665"/>
      <c r="J9" s="58"/>
      <c r="K9" s="58"/>
      <c r="L9" s="58"/>
      <c r="M9" s="58"/>
      <c r="N9" s="58"/>
      <c r="O9" s="58"/>
      <c r="P9" s="58"/>
      <c r="Q9" s="58"/>
      <c r="R9" s="58"/>
      <c r="S9" s="58"/>
    </row>
    <row r="10" spans="1:21" ht="12.75" customHeight="1" x14ac:dyDescent="0.2">
      <c r="A10" s="50" t="s">
        <v>151</v>
      </c>
      <c r="B10" s="54" t="s">
        <v>144</v>
      </c>
      <c r="C10" s="50" t="str">
        <f t="shared" si="0"/>
        <v>Construção de Praças Urbanas, Rodovias, Ferrovias e recapeamento e pavimentação de vias urbanas-R</v>
      </c>
      <c r="E10" s="55">
        <v>5.0000000000000001E-3</v>
      </c>
      <c r="F10" s="55">
        <v>5.6000000000000008E-3</v>
      </c>
      <c r="G10" s="55">
        <v>9.7000000000000003E-3</v>
      </c>
      <c r="I10" s="665"/>
      <c r="J10" s="711" t="s">
        <v>152</v>
      </c>
      <c r="K10" s="711"/>
      <c r="L10" s="711"/>
      <c r="M10" s="711"/>
      <c r="N10" s="711"/>
      <c r="O10" s="711"/>
      <c r="P10" s="711"/>
      <c r="Q10" s="711"/>
      <c r="R10" s="709">
        <v>1</v>
      </c>
      <c r="S10" s="709"/>
      <c r="U10" s="629" t="str">
        <f>IF(R10=0,"Falta definir a base de cálculo para o ISS","")</f>
        <v/>
      </c>
    </row>
    <row r="11" spans="1:21" ht="12.75" customHeight="1" x14ac:dyDescent="0.2">
      <c r="A11" s="50" t="s">
        <v>151</v>
      </c>
      <c r="B11" s="54" t="s">
        <v>147</v>
      </c>
      <c r="C11" s="50" t="str">
        <f t="shared" si="0"/>
        <v>Construção de Praças Urbanas, Rodovias, Ferrovias e recapeamento e pavimentação de vias urbanas-DF</v>
      </c>
      <c r="E11" s="55">
        <v>1.0200000000000001E-2</v>
      </c>
      <c r="F11" s="55">
        <v>1.11E-2</v>
      </c>
      <c r="G11" s="55">
        <v>1.21E-2</v>
      </c>
      <c r="I11" s="108" t="s">
        <v>215</v>
      </c>
      <c r="J11" s="708" t="s">
        <v>153</v>
      </c>
      <c r="K11" s="708"/>
      <c r="L11" s="708"/>
      <c r="M11" s="708"/>
      <c r="N11" s="708"/>
      <c r="O11" s="708"/>
      <c r="P11" s="708"/>
      <c r="Q11" s="708"/>
      <c r="R11" s="709">
        <v>0.03</v>
      </c>
      <c r="S11" s="709"/>
      <c r="U11" s="629" t="str">
        <f>IF(R11=0,"Falta definir a alíquota do ISS","")</f>
        <v/>
      </c>
    </row>
    <row r="12" spans="1:21" x14ac:dyDescent="0.2">
      <c r="A12" s="50" t="s">
        <v>151</v>
      </c>
      <c r="B12" s="54" t="s">
        <v>148</v>
      </c>
      <c r="C12" s="50" t="str">
        <f t="shared" si="0"/>
        <v>Construção de Praças Urbanas, Rodovias, Ferrovias e recapeamento e pavimentação de vias urbanas-L</v>
      </c>
      <c r="E12" s="55">
        <v>6.6400000000000001E-2</v>
      </c>
      <c r="F12" s="55">
        <v>7.2999999999999995E-2</v>
      </c>
      <c r="G12" s="55">
        <v>8.6899999999999991E-2</v>
      </c>
      <c r="I12" s="7" t="s">
        <v>244</v>
      </c>
      <c r="J12" s="60"/>
      <c r="K12" s="60"/>
      <c r="L12" s="60"/>
      <c r="M12" s="60"/>
      <c r="N12" s="60"/>
      <c r="O12" s="60"/>
      <c r="P12" s="60"/>
      <c r="Q12" s="60"/>
      <c r="R12" s="60"/>
      <c r="S12" s="60"/>
    </row>
    <row r="13" spans="1:21" ht="15" customHeight="1" x14ac:dyDescent="0.2">
      <c r="A13" s="50" t="s">
        <v>151</v>
      </c>
      <c r="B13" s="59" t="s">
        <v>149</v>
      </c>
      <c r="C13" s="50" t="str">
        <f t="shared" si="0"/>
        <v>Construção de Praças Urbanas, Rodovias, Ferrovias e recapeamento e pavimentação de vias urbanas-BDI PAD</v>
      </c>
      <c r="E13" s="55">
        <v>0.19600000000000001</v>
      </c>
      <c r="F13" s="55">
        <v>0.2097</v>
      </c>
      <c r="G13" s="55">
        <v>0.24230000000000002</v>
      </c>
      <c r="I13" s="7" t="s">
        <v>244</v>
      </c>
    </row>
    <row r="14" spans="1:21" ht="15.75" x14ac:dyDescent="0.25">
      <c r="A14" s="50" t="s">
        <v>154</v>
      </c>
      <c r="B14" s="54" t="s">
        <v>141</v>
      </c>
      <c r="C14" s="50" t="str">
        <f t="shared" si="0"/>
        <v>Construção de Redes de Abastecimento de Água, Coleta de Esgoto-AC</v>
      </c>
      <c r="E14" s="55">
        <v>3.4300000000000004E-2</v>
      </c>
      <c r="F14" s="55">
        <v>4.9299999999999997E-2</v>
      </c>
      <c r="G14" s="55">
        <v>6.7099999999999993E-2</v>
      </c>
      <c r="I14" s="7" t="s">
        <v>244</v>
      </c>
      <c r="J14" s="704" t="s">
        <v>155</v>
      </c>
      <c r="K14" s="704"/>
      <c r="L14" s="704"/>
      <c r="M14" s="704"/>
      <c r="N14" s="704"/>
      <c r="O14" s="704"/>
      <c r="P14" s="704"/>
      <c r="Q14" s="704"/>
      <c r="R14" s="704"/>
      <c r="S14" s="704"/>
      <c r="U14" s="564" t="str">
        <f ca="1">IF(COUNTIF(ORÇAMENTO!$V$15:$V$89,BDI_1.Título)=0,"",IF(OR(Import.BDI.Tipo1="(SELECIONAR)",Import.BDI.Tipo1="",U17&lt;&gt;"",S21=0,S22=0,S23=0,S24=0,S25=0,S26=0),"Falta preencher o BDI 1",""))</f>
        <v/>
      </c>
    </row>
    <row r="15" spans="1:21" x14ac:dyDescent="0.2">
      <c r="A15" s="50" t="str">
        <f>A14</f>
        <v>Construção de Redes de Abastecimento de Água, Coleta de Esgoto</v>
      </c>
      <c r="B15" s="54" t="s">
        <v>143</v>
      </c>
      <c r="C15" s="50" t="str">
        <f t="shared" si="0"/>
        <v>Construção de Redes de Abastecimento de Água, Coleta de Esgoto-SG</v>
      </c>
      <c r="E15" s="55">
        <v>2.8000000000000004E-3</v>
      </c>
      <c r="F15" s="55">
        <v>4.8999999999999998E-3</v>
      </c>
      <c r="G15" s="55">
        <v>7.4999999999999997E-3</v>
      </c>
      <c r="I15" s="7" t="s">
        <v>244</v>
      </c>
    </row>
    <row r="16" spans="1:21" x14ac:dyDescent="0.2">
      <c r="A16" s="50" t="str">
        <f>A15</f>
        <v>Construção de Redes de Abastecimento de Água, Coleta de Esgoto</v>
      </c>
      <c r="B16" s="54" t="s">
        <v>144</v>
      </c>
      <c r="C16" s="50" t="str">
        <f t="shared" si="0"/>
        <v>Construção de Redes de Abastecimento de Água, Coleta de Esgoto-R</v>
      </c>
      <c r="E16" s="55">
        <v>0.01</v>
      </c>
      <c r="F16" s="55">
        <v>1.3899999999999999E-2</v>
      </c>
      <c r="G16" s="55">
        <v>1.7399999999999999E-2</v>
      </c>
      <c r="I16" s="7" t="s">
        <v>244</v>
      </c>
      <c r="J16" s="662" t="s">
        <v>156</v>
      </c>
      <c r="K16" s="662"/>
      <c r="L16" s="662"/>
      <c r="M16" s="662"/>
      <c r="N16" s="662"/>
      <c r="O16" s="662"/>
      <c r="P16" s="662"/>
      <c r="Q16" s="662"/>
      <c r="R16" s="662"/>
      <c r="S16" s="662"/>
    </row>
    <row r="17" spans="1:26" ht="15" x14ac:dyDescent="0.25">
      <c r="A17" s="50" t="str">
        <f>A16</f>
        <v>Construção de Redes de Abastecimento de Água, Coleta de Esgoto</v>
      </c>
      <c r="B17" s="54" t="s">
        <v>147</v>
      </c>
      <c r="C17" s="50" t="str">
        <f t="shared" si="0"/>
        <v>Construção de Redes de Abastecimento de Água, Coleta de Esgoto-DF</v>
      </c>
      <c r="E17" s="55">
        <v>9.3999999999999986E-3</v>
      </c>
      <c r="F17" s="55">
        <v>9.8999999999999991E-3</v>
      </c>
      <c r="G17" s="55">
        <v>1.1699999999999999E-2</v>
      </c>
      <c r="I17" s="7" t="s">
        <v>244</v>
      </c>
      <c r="J17" s="703" t="s">
        <v>140</v>
      </c>
      <c r="K17" s="703"/>
      <c r="L17" s="703"/>
      <c r="M17" s="703"/>
      <c r="N17" s="703"/>
      <c r="O17" s="703"/>
      <c r="P17" s="703"/>
      <c r="Q17" s="703"/>
      <c r="R17" s="703"/>
      <c r="S17" s="703"/>
      <c r="T17" s="617" t="str">
        <f ca="1">IF(U17="","","◄")</f>
        <v/>
      </c>
      <c r="U17" s="616" t="str">
        <f ca="1">IF(AND(OR(S29&gt;0,COUNTIF(ORÇAMENTO!$V$15:$V$89,BDI_1.Título)&gt;0),OR(Import.BDI.Tipo1="(SELECIONAR)",Import.BDI.Tipo1="")),"Selecione o Tipo de obra","")</f>
        <v/>
      </c>
    </row>
    <row r="18" spans="1:26" x14ac:dyDescent="0.2">
      <c r="A18" s="50" t="str">
        <f>A17</f>
        <v>Construção de Redes de Abastecimento de Água, Coleta de Esgoto</v>
      </c>
      <c r="B18" s="54" t="s">
        <v>148</v>
      </c>
      <c r="C18" s="50" t="str">
        <f t="shared" si="0"/>
        <v>Construção de Redes de Abastecimento de Água, Coleta de Esgoto-L</v>
      </c>
      <c r="E18" s="55">
        <v>6.7400000000000002E-2</v>
      </c>
      <c r="F18" s="55">
        <v>8.0399999999999985E-2</v>
      </c>
      <c r="G18" s="55">
        <v>9.4E-2</v>
      </c>
      <c r="I18" s="7" t="s">
        <v>244</v>
      </c>
    </row>
    <row r="19" spans="1:26" ht="12.75" customHeight="1" x14ac:dyDescent="0.2">
      <c r="A19" s="50" t="str">
        <f>A18</f>
        <v>Construção de Redes de Abastecimento de Água, Coleta de Esgoto</v>
      </c>
      <c r="B19" s="59" t="s">
        <v>149</v>
      </c>
      <c r="C19" s="50" t="str">
        <f t="shared" si="0"/>
        <v>Construção de Redes de Abastecimento de Água, Coleta de Esgoto-BDI PAD</v>
      </c>
      <c r="E19" s="55">
        <v>0.20760000000000001</v>
      </c>
      <c r="F19" s="55">
        <v>0.24179999999999999</v>
      </c>
      <c r="G19" s="55">
        <v>0.26440000000000002</v>
      </c>
      <c r="I19" s="7" t="s">
        <v>244</v>
      </c>
      <c r="J19" s="702" t="s">
        <v>157</v>
      </c>
      <c r="K19" s="702"/>
      <c r="L19" s="702"/>
      <c r="M19" s="702"/>
      <c r="N19" s="702"/>
      <c r="O19" s="702"/>
      <c r="P19" s="702"/>
      <c r="Q19" s="702"/>
      <c r="R19" s="702" t="s">
        <v>158</v>
      </c>
      <c r="S19" s="694" t="s">
        <v>159</v>
      </c>
      <c r="U19" s="694" t="s">
        <v>160</v>
      </c>
      <c r="V19" s="694"/>
      <c r="W19" s="694"/>
      <c r="X19" s="701" t="s">
        <v>161</v>
      </c>
      <c r="Y19" s="701" t="s">
        <v>162</v>
      </c>
      <c r="Z19" s="701" t="s">
        <v>163</v>
      </c>
    </row>
    <row r="20" spans="1:26" ht="12.75" customHeight="1" x14ac:dyDescent="0.2">
      <c r="A20" s="50" t="s">
        <v>164</v>
      </c>
      <c r="B20" s="54" t="s">
        <v>141</v>
      </c>
      <c r="C20" s="50" t="str">
        <f t="shared" si="0"/>
        <v>Construção e Manutenção de Estações e Redes de Distribuição de Energia Elétrica-AC</v>
      </c>
      <c r="E20" s="55">
        <v>5.2900000000000003E-2</v>
      </c>
      <c r="F20" s="55">
        <v>5.9200000000000003E-2</v>
      </c>
      <c r="G20" s="55">
        <v>7.9299999999999995E-2</v>
      </c>
      <c r="I20" s="7" t="s">
        <v>244</v>
      </c>
      <c r="J20" s="702"/>
      <c r="K20" s="702"/>
      <c r="L20" s="702"/>
      <c r="M20" s="702"/>
      <c r="N20" s="702"/>
      <c r="O20" s="702"/>
      <c r="P20" s="702"/>
      <c r="Q20" s="702"/>
      <c r="R20" s="702"/>
      <c r="S20" s="694"/>
      <c r="U20" s="694"/>
      <c r="V20" s="694"/>
      <c r="W20" s="694"/>
      <c r="X20" s="701"/>
      <c r="Y20" s="701"/>
      <c r="Z20" s="701"/>
    </row>
    <row r="21" spans="1:26" ht="15" customHeight="1" x14ac:dyDescent="0.2">
      <c r="A21" s="50" t="str">
        <f>A20</f>
        <v>Construção e Manutenção de Estações e Redes de Distribuição de Energia Elétrica</v>
      </c>
      <c r="B21" s="54" t="s">
        <v>143</v>
      </c>
      <c r="C21" s="50" t="str">
        <f t="shared" si="0"/>
        <v>Construção e Manutenção de Estações e Redes de Distribuição de Energia Elétrica-SG</v>
      </c>
      <c r="E21" s="55">
        <v>2.5000000000000001E-3</v>
      </c>
      <c r="F21" s="55">
        <v>5.1000000000000004E-3</v>
      </c>
      <c r="G21" s="55">
        <v>5.6000000000000008E-3</v>
      </c>
      <c r="I21" s="7" t="s">
        <v>244</v>
      </c>
      <c r="J21" s="690" t="str">
        <f>IF($J$17=$A$146,"Encargos Sociais incidentes sobre a mão de obra","Administração Central")</f>
        <v>Administração Central</v>
      </c>
      <c r="K21" s="690"/>
      <c r="L21" s="690"/>
      <c r="M21" s="690"/>
      <c r="N21" s="690"/>
      <c r="O21" s="690"/>
      <c r="P21" s="690"/>
      <c r="Q21" s="690"/>
      <c r="R21" s="61" t="str">
        <f>IF($J17=$A$146,"K1","AC")</f>
        <v>AC</v>
      </c>
      <c r="S21" s="62">
        <v>0.04</v>
      </c>
      <c r="T21" s="630" t="str">
        <f ca="1">IF(AND($U$14&lt;&gt;"",S21=""),"◄","")</f>
        <v/>
      </c>
      <c r="U21" s="705" t="str">
        <f>IFERROR(IF(AND(S21&gt;=X21,S21&lt;=Z21),"OK","FORA DO INTERVALO"),"-")</f>
        <v>OK</v>
      </c>
      <c r="V21" s="705"/>
      <c r="W21" s="705"/>
      <c r="X21" s="63">
        <f>VLOOKUP(CONCATENATE(J17,"-",R21),$C$2:$G$136,3,FALSE)</f>
        <v>0.03</v>
      </c>
      <c r="Y21" s="63">
        <f>VLOOKUP(CONCATENATE(J17,"-",R21),$C$2:$G$136,4,FALSE)</f>
        <v>0.04</v>
      </c>
      <c r="Z21" s="63">
        <f>VLOOKUP(CONCATENATE(J17,"-",R21),$C$2:$G$136,5,FALSE)</f>
        <v>5.5E-2</v>
      </c>
    </row>
    <row r="22" spans="1:26" ht="15" customHeight="1" x14ac:dyDescent="0.2">
      <c r="A22" s="50" t="str">
        <f>A21</f>
        <v>Construção e Manutenção de Estações e Redes de Distribuição de Energia Elétrica</v>
      </c>
      <c r="B22" s="54" t="s">
        <v>144</v>
      </c>
      <c r="C22" s="50" t="str">
        <f t="shared" si="0"/>
        <v>Construção e Manutenção de Estações e Redes de Distribuição de Energia Elétrica-R</v>
      </c>
      <c r="E22" s="55">
        <v>0.01</v>
      </c>
      <c r="F22" s="55">
        <v>1.4800000000000001E-2</v>
      </c>
      <c r="G22" s="55">
        <v>1.9699999999999999E-2</v>
      </c>
      <c r="I22" s="7" t="s">
        <v>244</v>
      </c>
      <c r="J22" s="690" t="str">
        <f>IF($J$17=$A$146,"Administração Central da empresa ou consultoria - overhead","Seguro e Garantia")</f>
        <v>Seguro e Garantia</v>
      </c>
      <c r="K22" s="690"/>
      <c r="L22" s="690"/>
      <c r="M22" s="690"/>
      <c r="N22" s="690"/>
      <c r="O22" s="690"/>
      <c r="P22" s="690"/>
      <c r="Q22" s="690"/>
      <c r="R22" s="61" t="str">
        <f>IF($J17=$A$146,"K2","SG")</f>
        <v>SG</v>
      </c>
      <c r="S22" s="62">
        <v>8.0000000000000002E-3</v>
      </c>
      <c r="T22" s="630" t="str">
        <f t="shared" ref="T22:T26" ca="1" si="1">IF(AND($U$14&lt;&gt;"",S22=""),"◄","")</f>
        <v/>
      </c>
      <c r="U22" s="691" t="str">
        <f t="shared" ref="U22:U27" si="2">IFERROR(IF(AND(S22&gt;=X22,S22&lt;=Z22),"OK","FORA DO INTERVALO"),"-")</f>
        <v>OK</v>
      </c>
      <c r="V22" s="692"/>
      <c r="W22" s="693"/>
      <c r="X22" s="63">
        <f>VLOOKUP(CONCATENATE(J17,"-",R22),$C$2:$G$136,3,FALSE)</f>
        <v>8.0000000000000002E-3</v>
      </c>
      <c r="Y22" s="63">
        <f>VLOOKUP(CONCATENATE(J17,"-",R22),$C$2:$G$136,4,FALSE)</f>
        <v>8.0000000000000002E-3</v>
      </c>
      <c r="Z22" s="63">
        <f>VLOOKUP(CONCATENATE(J17,"-",R22),$C$2:$G$136,5,FALSE)</f>
        <v>0.01</v>
      </c>
    </row>
    <row r="23" spans="1:26" ht="15" customHeight="1" x14ac:dyDescent="0.2">
      <c r="A23" s="50" t="str">
        <f>A22</f>
        <v>Construção e Manutenção de Estações e Redes de Distribuição de Energia Elétrica</v>
      </c>
      <c r="B23" s="54" t="s">
        <v>147</v>
      </c>
      <c r="C23" s="50" t="str">
        <f t="shared" si="0"/>
        <v>Construção e Manutenção de Estações e Redes de Distribuição de Energia Elétrica-DF</v>
      </c>
      <c r="E23" s="55">
        <v>1.01E-2</v>
      </c>
      <c r="F23" s="55">
        <v>1.0700000000000001E-2</v>
      </c>
      <c r="G23" s="55">
        <v>1.11E-2</v>
      </c>
      <c r="I23" s="7" t="s">
        <v>244</v>
      </c>
      <c r="J23" s="690" t="str">
        <f>IF($J$17=$A$146,"","Risco")</f>
        <v>Risco</v>
      </c>
      <c r="K23" s="690"/>
      <c r="L23" s="690"/>
      <c r="M23" s="690"/>
      <c r="N23" s="690"/>
      <c r="O23" s="690"/>
      <c r="P23" s="690"/>
      <c r="Q23" s="690"/>
      <c r="R23" s="61" t="str">
        <f>IF($J17=$A$146,"","R")</f>
        <v>R</v>
      </c>
      <c r="S23" s="62">
        <v>1.2699999999999999E-2</v>
      </c>
      <c r="T23" s="630" t="str">
        <f t="shared" ca="1" si="1"/>
        <v/>
      </c>
      <c r="U23" s="691" t="str">
        <f t="shared" si="2"/>
        <v>OK</v>
      </c>
      <c r="V23" s="692"/>
      <c r="W23" s="693"/>
      <c r="X23" s="63">
        <f>VLOOKUP(CONCATENATE(J17,"-",R23),$C$2:$G$136,3,FALSE)</f>
        <v>9.7000000000000003E-3</v>
      </c>
      <c r="Y23" s="63">
        <f>VLOOKUP(CONCATENATE(J17,"-",R23),$C$2:$G$136,4,FALSE)</f>
        <v>1.2699999999999999E-2</v>
      </c>
      <c r="Z23" s="63">
        <f>VLOOKUP(CONCATENATE(J17,"-",R23),$C$2:$G$136,5,FALSE)</f>
        <v>1.2699999999999999E-2</v>
      </c>
    </row>
    <row r="24" spans="1:26" ht="15" customHeight="1" x14ac:dyDescent="0.2">
      <c r="A24" s="50" t="str">
        <f>A23</f>
        <v>Construção e Manutenção de Estações e Redes de Distribuição de Energia Elétrica</v>
      </c>
      <c r="B24" s="54" t="s">
        <v>148</v>
      </c>
      <c r="C24" s="50" t="str">
        <f t="shared" si="0"/>
        <v>Construção e Manutenção de Estações e Redes de Distribuição de Energia Elétrica-L</v>
      </c>
      <c r="E24" s="55">
        <v>0.08</v>
      </c>
      <c r="F24" s="55">
        <v>8.3100000000000007E-2</v>
      </c>
      <c r="G24" s="55">
        <v>9.5100000000000004E-2</v>
      </c>
      <c r="I24" s="7" t="s">
        <v>244</v>
      </c>
      <c r="J24" s="690" t="str">
        <f>IF($J$17=$A$146,"","Despesas Financeiras")</f>
        <v>Despesas Financeiras</v>
      </c>
      <c r="K24" s="690"/>
      <c r="L24" s="690"/>
      <c r="M24" s="690"/>
      <c r="N24" s="690"/>
      <c r="O24" s="690"/>
      <c r="P24" s="690"/>
      <c r="Q24" s="690"/>
      <c r="R24" s="61" t="str">
        <f>IF($J17=$A$146,"","DF")</f>
        <v>DF</v>
      </c>
      <c r="S24" s="62">
        <v>8.9999999999999993E-3</v>
      </c>
      <c r="T24" s="630" t="str">
        <f t="shared" ca="1" si="1"/>
        <v/>
      </c>
      <c r="U24" s="691" t="str">
        <f t="shared" si="2"/>
        <v>OK</v>
      </c>
      <c r="V24" s="692"/>
      <c r="W24" s="693"/>
      <c r="X24" s="63">
        <f>VLOOKUP(CONCATENATE(J17,"-",R24),$C$2:$G$136,3,FALSE)</f>
        <v>5.8999999999999999E-3</v>
      </c>
      <c r="Y24" s="63">
        <f>VLOOKUP(CONCATENATE(J17,"-",R24),$C$2:$G$136,4,FALSE)</f>
        <v>1.23E-2</v>
      </c>
      <c r="Z24" s="63">
        <f>VLOOKUP(CONCATENATE(J17,"-",R24),$C$2:$G$136,5,FALSE)</f>
        <v>1.3899999999999999E-2</v>
      </c>
    </row>
    <row r="25" spans="1:26" ht="15" customHeight="1" x14ac:dyDescent="0.2">
      <c r="A25" s="50" t="str">
        <f>A24</f>
        <v>Construção e Manutenção de Estações e Redes de Distribuição de Energia Elétrica</v>
      </c>
      <c r="B25" s="59" t="s">
        <v>149</v>
      </c>
      <c r="C25" s="50" t="str">
        <f t="shared" si="0"/>
        <v>Construção e Manutenção de Estações e Redes de Distribuição de Energia Elétrica-BDI PAD</v>
      </c>
      <c r="E25" s="55">
        <v>0.24</v>
      </c>
      <c r="F25" s="55">
        <v>0.25840000000000002</v>
      </c>
      <c r="G25" s="55">
        <v>0.27860000000000001</v>
      </c>
      <c r="I25" s="7" t="s">
        <v>244</v>
      </c>
      <c r="J25" s="690" t="str">
        <f>IF($J$17=$A$146,"Margem bruta da empresa de consultoria","Lucro")</f>
        <v>Lucro</v>
      </c>
      <c r="K25" s="690"/>
      <c r="L25" s="690"/>
      <c r="M25" s="690"/>
      <c r="N25" s="690"/>
      <c r="O25" s="690"/>
      <c r="P25" s="690"/>
      <c r="Q25" s="690"/>
      <c r="R25" s="61" t="str">
        <f>IF($J17=$A$146,"K3","L")</f>
        <v>L</v>
      </c>
      <c r="S25" s="62">
        <v>7.0000000000000007E-2</v>
      </c>
      <c r="T25" s="630" t="str">
        <f t="shared" ca="1" si="1"/>
        <v/>
      </c>
      <c r="U25" s="691" t="str">
        <f t="shared" si="2"/>
        <v>OK</v>
      </c>
      <c r="V25" s="692"/>
      <c r="W25" s="693"/>
      <c r="X25" s="63">
        <f>VLOOKUP(CONCATENATE(J17,"-",R25),$C$2:$G$136,3,FALSE)</f>
        <v>6.1600000000000002E-2</v>
      </c>
      <c r="Y25" s="63">
        <f>VLOOKUP(CONCATENATE(J17,"-",R25),$C$2:$G$136,4,FALSE)</f>
        <v>7.400000000000001E-2</v>
      </c>
      <c r="Z25" s="63">
        <f>VLOOKUP(CONCATENATE(J17,"-",R25),$C$2:$G$136,5,FALSE)</f>
        <v>8.9600000000000013E-2</v>
      </c>
    </row>
    <row r="26" spans="1:26" ht="15" customHeight="1" x14ac:dyDescent="0.2">
      <c r="A26" s="50" t="s">
        <v>166</v>
      </c>
      <c r="B26" s="54" t="s">
        <v>141</v>
      </c>
      <c r="C26" s="50" t="str">
        <f t="shared" si="0"/>
        <v>Obras Portuárias, Marítimas e Fluviais-AC</v>
      </c>
      <c r="E26" s="55">
        <v>0.04</v>
      </c>
      <c r="F26" s="55">
        <v>5.5199999999999999E-2</v>
      </c>
      <c r="G26" s="55">
        <v>7.85E-2</v>
      </c>
      <c r="I26" s="7" t="s">
        <v>244</v>
      </c>
      <c r="J26" s="690" t="s">
        <v>167</v>
      </c>
      <c r="K26" s="690"/>
      <c r="L26" s="690"/>
      <c r="M26" s="690"/>
      <c r="N26" s="690"/>
      <c r="O26" s="690"/>
      <c r="P26" s="690"/>
      <c r="Q26" s="690"/>
      <c r="R26" s="61" t="s">
        <v>168</v>
      </c>
      <c r="S26" s="62">
        <v>3.6499999999999998E-2</v>
      </c>
      <c r="T26" s="630" t="str">
        <f t="shared" ca="1" si="1"/>
        <v/>
      </c>
      <c r="U26" s="691" t="str">
        <f t="shared" si="2"/>
        <v>OK</v>
      </c>
      <c r="V26" s="692"/>
      <c r="W26" s="693"/>
      <c r="X26" s="63">
        <v>3.6499999999999998E-2</v>
      </c>
      <c r="Y26" s="63">
        <v>3.6499999999999998E-2</v>
      </c>
      <c r="Z26" s="63">
        <v>3.6499999999999998E-2</v>
      </c>
    </row>
    <row r="27" spans="1:26" ht="15" customHeight="1" x14ac:dyDescent="0.2">
      <c r="A27" s="50" t="str">
        <f>A26</f>
        <v>Obras Portuárias, Marítimas e Fluviais</v>
      </c>
      <c r="B27" s="54" t="s">
        <v>143</v>
      </c>
      <c r="C27" s="50" t="str">
        <f t="shared" si="0"/>
        <v>Obras Portuárias, Marítimas e Fluviais-SG</v>
      </c>
      <c r="E27" s="55">
        <v>8.1000000000000013E-3</v>
      </c>
      <c r="F27" s="55">
        <v>1.2199999999999999E-2</v>
      </c>
      <c r="G27" s="55">
        <v>1.9900000000000001E-2</v>
      </c>
      <c r="I27" s="7" t="s">
        <v>244</v>
      </c>
      <c r="J27" s="690" t="s">
        <v>169</v>
      </c>
      <c r="K27" s="690"/>
      <c r="L27" s="690"/>
      <c r="M27" s="690"/>
      <c r="N27" s="690"/>
      <c r="O27" s="690"/>
      <c r="P27" s="690"/>
      <c r="Q27" s="690"/>
      <c r="R27" s="61" t="s">
        <v>170</v>
      </c>
      <c r="S27" s="63">
        <f ca="1">IF(AND($J17&lt;&gt;$A$145,COUNTA(OFFSET(S20,1,0,6))&gt;0),$R$11*$R$10,0)</f>
        <v>0.03</v>
      </c>
      <c r="U27" s="691" t="str">
        <f t="shared" ca="1" si="2"/>
        <v>OK</v>
      </c>
      <c r="V27" s="692"/>
      <c r="W27" s="693"/>
      <c r="X27" s="63">
        <v>0</v>
      </c>
      <c r="Y27" s="63">
        <v>2.5000000000000001E-2</v>
      </c>
      <c r="Z27" s="63">
        <v>0.05</v>
      </c>
    </row>
    <row r="28" spans="1:26" ht="15" customHeight="1" x14ac:dyDescent="0.2">
      <c r="A28" s="50" t="str">
        <f>A27</f>
        <v>Obras Portuárias, Marítimas e Fluviais</v>
      </c>
      <c r="B28" s="54" t="s">
        <v>144</v>
      </c>
      <c r="C28" s="50" t="str">
        <f t="shared" si="0"/>
        <v>Obras Portuárias, Marítimas e Fluviais-R</v>
      </c>
      <c r="E28" s="55">
        <v>1.46E-2</v>
      </c>
      <c r="F28" s="55">
        <v>2.3199999999999998E-2</v>
      </c>
      <c r="G28" s="55">
        <v>3.1600000000000003E-2</v>
      </c>
      <c r="I28" s="7" t="s">
        <v>244</v>
      </c>
      <c r="J28" s="690" t="s">
        <v>427</v>
      </c>
      <c r="K28" s="690"/>
      <c r="L28" s="690"/>
      <c r="M28" s="690"/>
      <c r="N28" s="690"/>
      <c r="O28" s="690"/>
      <c r="P28" s="690"/>
      <c r="Q28" s="690"/>
      <c r="R28" s="61" t="s">
        <v>171</v>
      </c>
      <c r="S28" s="63" cm="1">
        <f t="array" aca="1" ref="S28" ca="1">IF(BDI.Opcao&lt;&gt;"Desonerado",0,IF(AND($J17&lt;&gt;$A$145,COUNTA(OFFSET(S20,1,0,6))&gt;0),IF(YEAR(Import.DataBase)&lt;2025,4.5%,IF(YEAR(Import.DataBase)=2025,3.6%,IF(YEAR(Import.DataBase)=2026,2.7%,IF(YEAR(Import.DataBase)=2027,1.8%,0%)))),0%))</f>
        <v>2.7000000000000003E-2</v>
      </c>
      <c r="U28" s="705" t="s">
        <v>914</v>
      </c>
      <c r="V28" s="705"/>
      <c r="W28" s="705"/>
      <c r="X28" s="64">
        <f ca="1">$S28</f>
        <v>2.7000000000000003E-2</v>
      </c>
      <c r="Y28" s="64">
        <f ca="1">$S28</f>
        <v>2.7000000000000003E-2</v>
      </c>
      <c r="Z28" s="64">
        <f ca="1">$S28</f>
        <v>2.7000000000000003E-2</v>
      </c>
    </row>
    <row r="29" spans="1:26" ht="15" customHeight="1" x14ac:dyDescent="0.2">
      <c r="A29" s="50" t="str">
        <f>A28</f>
        <v>Obras Portuárias, Marítimas e Fluviais</v>
      </c>
      <c r="B29" s="54" t="s">
        <v>147</v>
      </c>
      <c r="C29" s="50" t="str">
        <f t="shared" si="0"/>
        <v>Obras Portuárias, Marítimas e Fluviais-DF</v>
      </c>
      <c r="E29" s="55">
        <v>9.3999999999999986E-3</v>
      </c>
      <c r="F29" s="55">
        <v>1.0200000000000001E-2</v>
      </c>
      <c r="G29" s="55">
        <v>1.3300000000000001E-2</v>
      </c>
      <c r="I29" s="7" t="s">
        <v>244</v>
      </c>
      <c r="J29" s="690" t="s">
        <v>172</v>
      </c>
      <c r="K29" s="690"/>
      <c r="L29" s="690"/>
      <c r="M29" s="690"/>
      <c r="N29" s="690"/>
      <c r="O29" s="690"/>
      <c r="P29" s="690"/>
      <c r="Q29" s="690"/>
      <c r="R29" s="65" t="s">
        <v>149</v>
      </c>
      <c r="S29" s="63">
        <f ca="1">IF($J17=$A$145,0,ROUND((((1+S21+S22+S23)*(1+S24)*(1+S25)/(1-(S26+S27)))-1),4))</f>
        <v>0.22670000000000001</v>
      </c>
      <c r="U29" s="694" t="str">
        <f ca="1">IFERROR(IF(OR($J$17=$A$146,$J$17=$A$145,AND(S29&gt;=X29,S29&lt;=Z29)),"OK","FORA DO INTERVALO"),IF(S29=0,"OK","Selecione o Tipo de obra"))</f>
        <v>OK</v>
      </c>
      <c r="V29" s="694"/>
      <c r="W29" s="694"/>
      <c r="X29" s="63">
        <f>IF($J17=$A$145,0,VLOOKUP(CONCATENATE($J17,"-",$R29),$C$2:$G$136,3,FALSE))</f>
        <v>0.2034</v>
      </c>
      <c r="Y29" s="63">
        <f>IF($J17=$A$145,0,VLOOKUP(CONCATENATE($J17,"-",$R29),$C$2:$G$136,4,FALSE))</f>
        <v>0.22120000000000001</v>
      </c>
      <c r="Z29" s="63">
        <f>IF($J17=$A$145,0,VLOOKUP(CONCATENATE($J17,"-",$R29),$C$2:$G$136,5,FALSE))</f>
        <v>0.25</v>
      </c>
    </row>
    <row r="30" spans="1:26" ht="15" customHeight="1" x14ac:dyDescent="0.2">
      <c r="A30" s="50" t="str">
        <f>A29</f>
        <v>Obras Portuárias, Marítimas e Fluviais</v>
      </c>
      <c r="B30" s="54" t="s">
        <v>148</v>
      </c>
      <c r="C30" s="50" t="str">
        <f t="shared" si="0"/>
        <v>Obras Portuárias, Marítimas e Fluviais-L</v>
      </c>
      <c r="E30" s="55">
        <v>7.1399999999999991E-2</v>
      </c>
      <c r="F30" s="55">
        <v>8.4000000000000005E-2</v>
      </c>
      <c r="G30" s="55">
        <v>0.1043</v>
      </c>
      <c r="I30" s="7" t="s">
        <v>244</v>
      </c>
      <c r="J30" s="695" t="s">
        <v>173</v>
      </c>
      <c r="K30" s="695"/>
      <c r="L30" s="695"/>
      <c r="M30" s="695"/>
      <c r="N30" s="695"/>
      <c r="O30" s="695"/>
      <c r="P30" s="695"/>
      <c r="Q30" s="695"/>
      <c r="R30" s="66" t="s">
        <v>174</v>
      </c>
      <c r="S30" s="67">
        <f ca="1">IF($J17=$A$145,0,ROUND((((1+S21+S22+S23)*(1+S24)*(1+S25)/(1-(S26+S27+S28)))-1),4))</f>
        <v>0.26329999999999998</v>
      </c>
    </row>
    <row r="31" spans="1:26" ht="15" customHeight="1" x14ac:dyDescent="0.2">
      <c r="A31" s="50" t="str">
        <f>A30</f>
        <v>Obras Portuárias, Marítimas e Fluviais</v>
      </c>
      <c r="B31" s="59" t="s">
        <v>149</v>
      </c>
      <c r="C31" s="50" t="str">
        <f t="shared" si="0"/>
        <v>Obras Portuárias, Marítimas e Fluviais-BDI PAD</v>
      </c>
      <c r="E31" s="55">
        <v>0.22800000000000001</v>
      </c>
      <c r="F31" s="55">
        <v>0.27479999999999999</v>
      </c>
      <c r="G31" s="55">
        <v>0.3095</v>
      </c>
      <c r="I31" s="7" t="s">
        <v>244</v>
      </c>
    </row>
    <row r="32" spans="1:26" ht="15.75" x14ac:dyDescent="0.2">
      <c r="A32" s="50" t="s">
        <v>175</v>
      </c>
      <c r="B32" s="54" t="s">
        <v>141</v>
      </c>
      <c r="C32" s="50" t="str">
        <f t="shared" si="0"/>
        <v>Fornecimento de Materiais e Equipamentos (aquisição indireta - em conjunto com licitação de obras)-AC</v>
      </c>
      <c r="E32" s="55">
        <v>1.4999999999999999E-2</v>
      </c>
      <c r="F32" s="55">
        <v>3.4500000000000003E-2</v>
      </c>
      <c r="G32" s="55">
        <v>4.4900000000000002E-2</v>
      </c>
      <c r="I32" s="7" t="s">
        <v>244</v>
      </c>
      <c r="J32" s="68" t="str">
        <f ca="1">IF(U29&lt;&gt;"ok","X","")</f>
        <v/>
      </c>
      <c r="K32" s="696" t="str">
        <f ca="1">IF(U29&lt;&gt;"ok","Anexo: Relatório Técnico Circunstanciado justificando a adoção do percentual de cada parcela do BDI.","")</f>
        <v/>
      </c>
      <c r="L32" s="696"/>
      <c r="M32" s="696"/>
      <c r="N32" s="696"/>
      <c r="O32" s="696"/>
      <c r="P32" s="696"/>
      <c r="Q32" s="696"/>
      <c r="R32" s="696"/>
      <c r="S32" s="696"/>
    </row>
    <row r="33" spans="1:19" x14ac:dyDescent="0.2">
      <c r="A33" s="50" t="str">
        <f>A32</f>
        <v>Fornecimento de Materiais e Equipamentos (aquisição indireta - em conjunto com licitação de obras)</v>
      </c>
      <c r="B33" s="54" t="s">
        <v>143</v>
      </c>
      <c r="C33" s="50" t="str">
        <f t="shared" si="0"/>
        <v>Fornecimento de Materiais e Equipamentos (aquisição indireta - em conjunto com licitação de obras)-SG</v>
      </c>
      <c r="E33" s="55">
        <v>3.0000000000000001E-3</v>
      </c>
      <c r="F33" s="55">
        <v>4.7999999999999996E-3</v>
      </c>
      <c r="G33" s="55">
        <v>8.199999999999999E-3</v>
      </c>
      <c r="I33" s="7" t="s">
        <v>244</v>
      </c>
    </row>
    <row r="34" spans="1:19" x14ac:dyDescent="0.2">
      <c r="A34" s="50" t="str">
        <f>A33</f>
        <v>Fornecimento de Materiais e Equipamentos (aquisição indireta - em conjunto com licitação de obras)</v>
      </c>
      <c r="B34" s="54" t="s">
        <v>144</v>
      </c>
      <c r="C34" s="50" t="str">
        <f t="shared" si="0"/>
        <v>Fornecimento de Materiais e Equipamentos (aquisição indireta - em conjunto com licitação de obras)-R</v>
      </c>
      <c r="E34" s="55">
        <v>5.6000000000000008E-3</v>
      </c>
      <c r="F34" s="55">
        <v>8.5000000000000006E-3</v>
      </c>
      <c r="G34" s="55">
        <v>8.8999999999999999E-3</v>
      </c>
      <c r="I34" s="7" t="s">
        <v>244</v>
      </c>
      <c r="J34" s="697" t="s">
        <v>176</v>
      </c>
      <c r="K34" s="697"/>
      <c r="L34" s="697"/>
      <c r="M34" s="697"/>
      <c r="N34" s="697"/>
      <c r="O34" s="697"/>
      <c r="P34" s="697"/>
      <c r="Q34" s="697"/>
      <c r="R34" s="697"/>
      <c r="S34" s="697"/>
    </row>
    <row r="35" spans="1:19" ht="15.75" x14ac:dyDescent="0.25">
      <c r="A35" s="50" t="str">
        <f>A34</f>
        <v>Fornecimento de Materiais e Equipamentos (aquisição indireta - em conjunto com licitação de obras)</v>
      </c>
      <c r="B35" s="54" t="s">
        <v>147</v>
      </c>
      <c r="C35" s="50" t="str">
        <f t="shared" si="0"/>
        <v>Fornecimento de Materiais e Equipamentos (aquisição indireta - em conjunto com licitação de obras)-DF</v>
      </c>
      <c r="E35" s="55">
        <v>8.5000000000000006E-3</v>
      </c>
      <c r="F35" s="55">
        <v>8.5000000000000006E-3</v>
      </c>
      <c r="G35" s="55">
        <v>1.11E-2</v>
      </c>
      <c r="I35" s="7" t="s">
        <v>244</v>
      </c>
      <c r="J35" s="69"/>
      <c r="K35" s="69"/>
      <c r="L35" s="69"/>
      <c r="M35" s="698" t="s">
        <v>177</v>
      </c>
      <c r="N35" s="699" t="str">
        <f>IF($J17=$A$146,"(1+K1+K2)*(1+K3)","(1+AC + S + R + G)*(1 + DF)*(1+L)")</f>
        <v>(1+AC + S + R + G)*(1 + DF)*(1+L)</v>
      </c>
      <c r="O35" s="699"/>
      <c r="P35" s="699"/>
      <c r="Q35" s="700" t="s">
        <v>178</v>
      </c>
      <c r="R35" s="69"/>
      <c r="S35" s="69"/>
    </row>
    <row r="36" spans="1:19" ht="15.75" x14ac:dyDescent="0.2">
      <c r="A36" s="50" t="str">
        <f>A35</f>
        <v>Fornecimento de Materiais e Equipamentos (aquisição indireta - em conjunto com licitação de obras)</v>
      </c>
      <c r="B36" s="54" t="s">
        <v>148</v>
      </c>
      <c r="C36" s="50" t="str">
        <f t="shared" si="0"/>
        <v>Fornecimento de Materiais e Equipamentos (aquisição indireta - em conjunto com licitação de obras)-L</v>
      </c>
      <c r="E36" s="55">
        <v>3.5000000000000003E-2</v>
      </c>
      <c r="F36" s="55">
        <v>5.1100000000000007E-2</v>
      </c>
      <c r="G36" s="55">
        <v>6.2199999999999998E-2</v>
      </c>
      <c r="I36" s="7" t="s">
        <v>244</v>
      </c>
      <c r="J36" s="69"/>
      <c r="K36" s="69"/>
      <c r="L36" s="69"/>
      <c r="M36" s="698"/>
      <c r="N36" s="689" t="s">
        <v>179</v>
      </c>
      <c r="O36" s="689"/>
      <c r="P36" s="689"/>
      <c r="Q36" s="700"/>
      <c r="R36" s="69"/>
      <c r="S36" s="69"/>
    </row>
    <row r="37" spans="1:19" ht="15" customHeight="1" x14ac:dyDescent="0.2">
      <c r="A37" s="50" t="str">
        <f>A36</f>
        <v>Fornecimento de Materiais e Equipamentos (aquisição indireta - em conjunto com licitação de obras)</v>
      </c>
      <c r="B37" s="59" t="s">
        <v>149</v>
      </c>
      <c r="C37" s="50" t="str">
        <f t="shared" si="0"/>
        <v>Fornecimento de Materiais e Equipamentos (aquisição indireta - em conjunto com licitação de obras)-BDI PAD</v>
      </c>
      <c r="E37" s="55">
        <v>0.111</v>
      </c>
      <c r="F37" s="55">
        <v>0.14019999999999999</v>
      </c>
      <c r="G37" s="55">
        <v>0.16800000000000001</v>
      </c>
      <c r="I37" s="7" t="s">
        <v>244</v>
      </c>
      <c r="J37" s="73"/>
      <c r="K37" s="73"/>
      <c r="L37" s="73"/>
      <c r="M37" s="73"/>
      <c r="N37" s="73"/>
      <c r="O37" s="73"/>
      <c r="P37" s="73"/>
      <c r="Q37" s="73"/>
      <c r="R37" s="73"/>
      <c r="S37" s="73"/>
    </row>
    <row r="38" spans="1:19" ht="50.1" customHeight="1" x14ac:dyDescent="0.2">
      <c r="A38" s="50" t="s">
        <v>180</v>
      </c>
      <c r="B38" s="59" t="s">
        <v>141</v>
      </c>
      <c r="C38" s="50" t="str">
        <f t="shared" si="0"/>
        <v>Fornecimento de Materiais e Equipamentos (aquisição direta)-AC</v>
      </c>
      <c r="E38" s="55" t="s">
        <v>165</v>
      </c>
      <c r="F38" s="55" t="s">
        <v>165</v>
      </c>
      <c r="G38" s="55" t="s">
        <v>165</v>
      </c>
      <c r="I38" t="s">
        <v>244</v>
      </c>
      <c r="J3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83"/>
      <c r="L38" s="683"/>
      <c r="M38" s="683"/>
      <c r="N38" s="683"/>
      <c r="O38" s="683"/>
      <c r="P38" s="683"/>
      <c r="Q38" s="683"/>
      <c r="R38" s="683"/>
      <c r="S38" s="683"/>
    </row>
    <row r="39" spans="1:19" x14ac:dyDescent="0.2">
      <c r="A39" s="50" t="s">
        <v>180</v>
      </c>
      <c r="B39" s="59" t="s">
        <v>143</v>
      </c>
      <c r="C39" s="50" t="str">
        <f t="shared" si="0"/>
        <v>Fornecimento de Materiais e Equipamentos (aquisição direta)-SG</v>
      </c>
      <c r="E39" s="55" t="s">
        <v>165</v>
      </c>
      <c r="F39" s="55" t="s">
        <v>165</v>
      </c>
      <c r="G39" s="55" t="s">
        <v>165</v>
      </c>
      <c r="I39" t="s">
        <v>244</v>
      </c>
    </row>
    <row r="40" spans="1:19" ht="50.1" customHeight="1" x14ac:dyDescent="0.2">
      <c r="A40" s="50" t="s">
        <v>180</v>
      </c>
      <c r="B40" s="59" t="s">
        <v>144</v>
      </c>
      <c r="C40" s="50" t="str">
        <f t="shared" si="0"/>
        <v>Fornecimento de Materiais e Equipamentos (aquisição direta)-R</v>
      </c>
      <c r="E40" s="55" t="s">
        <v>165</v>
      </c>
      <c r="F40" s="55" t="s">
        <v>165</v>
      </c>
      <c r="G40" s="55" t="s">
        <v>165</v>
      </c>
      <c r="I40" t="s">
        <v>244</v>
      </c>
      <c r="J40" s="68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83"/>
      <c r="L40" s="683"/>
      <c r="M40" s="683"/>
      <c r="N40" s="683"/>
      <c r="O40" s="683"/>
      <c r="P40" s="683"/>
      <c r="Q40" s="683"/>
      <c r="R40" s="683"/>
      <c r="S40" s="683"/>
    </row>
    <row r="41" spans="1:19" x14ac:dyDescent="0.2">
      <c r="A41" s="50" t="s">
        <v>180</v>
      </c>
      <c r="B41" s="59" t="s">
        <v>147</v>
      </c>
      <c r="C41" s="50" t="str">
        <f t="shared" si="0"/>
        <v>Fornecimento de Materiais e Equipamentos (aquisição direta)-DF</v>
      </c>
      <c r="E41" s="55" t="s">
        <v>165</v>
      </c>
      <c r="F41" s="55" t="s">
        <v>165</v>
      </c>
      <c r="G41" s="55" t="s">
        <v>165</v>
      </c>
      <c r="I41" t="s">
        <v>244</v>
      </c>
    </row>
    <row r="42" spans="1:19" x14ac:dyDescent="0.2">
      <c r="A42" s="50" t="s">
        <v>180</v>
      </c>
      <c r="B42" s="59" t="s">
        <v>148</v>
      </c>
      <c r="C42" s="50" t="str">
        <f t="shared" si="0"/>
        <v>Fornecimento de Materiais e Equipamentos (aquisição direta)-L</v>
      </c>
      <c r="E42" s="55" t="s">
        <v>165</v>
      </c>
      <c r="F42" s="55" t="s">
        <v>165</v>
      </c>
      <c r="G42" s="55" t="s">
        <v>165</v>
      </c>
      <c r="I42" t="s">
        <v>244</v>
      </c>
      <c r="J42" s="50" t="s">
        <v>185</v>
      </c>
    </row>
    <row r="43" spans="1:19" ht="99.95" customHeight="1" x14ac:dyDescent="0.2">
      <c r="A43" s="50" t="s">
        <v>180</v>
      </c>
      <c r="B43" s="59" t="s">
        <v>149</v>
      </c>
      <c r="C43" s="50" t="str">
        <f t="shared" si="0"/>
        <v>Fornecimento de Materiais e Equipamentos (aquisição direta)-BDI PAD</v>
      </c>
      <c r="E43" s="55" t="s">
        <v>165</v>
      </c>
      <c r="F43" s="55" t="s">
        <v>165</v>
      </c>
      <c r="G43" s="55" t="s">
        <v>165</v>
      </c>
      <c r="I43" t="s">
        <v>244</v>
      </c>
      <c r="J43" s="684"/>
      <c r="K43" s="684"/>
      <c r="L43" s="684"/>
      <c r="M43" s="684"/>
      <c r="N43" s="684"/>
      <c r="O43" s="684"/>
      <c r="P43" s="684"/>
      <c r="Q43" s="684"/>
      <c r="R43" s="684"/>
      <c r="S43" s="684"/>
    </row>
    <row r="44" spans="1:19" x14ac:dyDescent="0.2">
      <c r="A44" s="50" t="s">
        <v>181</v>
      </c>
      <c r="B44" s="54" t="s">
        <v>182</v>
      </c>
      <c r="C44" s="50" t="str">
        <f t="shared" si="0"/>
        <v>Estudos e Projetos, Planos e Gerenciamento e outros correlatos-K1</v>
      </c>
      <c r="E44" s="55" t="s">
        <v>165</v>
      </c>
      <c r="F44" s="55" t="s">
        <v>165</v>
      </c>
      <c r="G44" s="55" t="s">
        <v>165</v>
      </c>
      <c r="I44" t="s">
        <v>244</v>
      </c>
    </row>
    <row r="45" spans="1:19" x14ac:dyDescent="0.2">
      <c r="A45" s="50" t="str">
        <f>A44</f>
        <v>Estudos e Projetos, Planos e Gerenciamento e outros correlatos</v>
      </c>
      <c r="B45" s="54" t="s">
        <v>183</v>
      </c>
      <c r="C45" s="50" t="str">
        <f t="shared" si="0"/>
        <v>Estudos e Projetos, Planos e Gerenciamento e outros correlatos-K2</v>
      </c>
      <c r="E45" s="55" t="s">
        <v>165</v>
      </c>
      <c r="F45" s="55">
        <v>0.2</v>
      </c>
      <c r="G45" s="55" t="s">
        <v>165</v>
      </c>
      <c r="I45" t="s">
        <v>244</v>
      </c>
      <c r="J45" s="685" t="str">
        <f>Import.Município</f>
        <v>SARANDI/RS</v>
      </c>
      <c r="K45" s="685"/>
      <c r="L45" s="685"/>
      <c r="M45" s="685"/>
      <c r="P45" s="686">
        <f>DADOS!$C$25</f>
        <v>46161</v>
      </c>
      <c r="Q45" s="686"/>
      <c r="R45" s="686"/>
      <c r="S45" s="686"/>
    </row>
    <row r="46" spans="1:19" x14ac:dyDescent="0.2">
      <c r="A46" s="50" t="str">
        <f>A45</f>
        <v>Estudos e Projetos, Planos e Gerenciamento e outros correlatos</v>
      </c>
      <c r="B46" s="54"/>
      <c r="C46" s="50" t="str">
        <f t="shared" si="0"/>
        <v>Estudos e Projetos, Planos e Gerenciamento e outros correlatos-</v>
      </c>
      <c r="E46" s="55" t="s">
        <v>165</v>
      </c>
      <c r="F46" s="55" t="s">
        <v>165</v>
      </c>
      <c r="G46" s="55" t="s">
        <v>165</v>
      </c>
      <c r="I46" t="s">
        <v>244</v>
      </c>
      <c r="J46" s="687" t="s">
        <v>186</v>
      </c>
      <c r="K46" s="687"/>
      <c r="L46" s="687"/>
      <c r="M46" s="687"/>
      <c r="O46" s="74"/>
      <c r="P46" s="75" t="s">
        <v>187</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165</v>
      </c>
      <c r="F47" s="55" t="s">
        <v>165</v>
      </c>
      <c r="G47" s="55" t="s">
        <v>165</v>
      </c>
      <c r="I47" t="s">
        <v>244</v>
      </c>
    </row>
    <row r="48" spans="1:19" ht="15" x14ac:dyDescent="0.2">
      <c r="A48" s="50" t="str">
        <f>A47</f>
        <v>Estudos e Projetos, Planos e Gerenciamento e outros correlatos</v>
      </c>
      <c r="B48" s="54" t="s">
        <v>184</v>
      </c>
      <c r="C48" s="50" t="str">
        <f t="shared" si="0"/>
        <v>Estudos e Projetos, Planos e Gerenciamento e outros correlatos-K3</v>
      </c>
      <c r="E48" s="55" t="s">
        <v>165</v>
      </c>
      <c r="F48" s="55">
        <v>0.12</v>
      </c>
      <c r="G48" s="55" t="s">
        <v>165</v>
      </c>
      <c r="I48" t="s">
        <v>244</v>
      </c>
      <c r="J48" s="688"/>
      <c r="K48" s="688"/>
      <c r="L48" s="688"/>
      <c r="M48" s="688"/>
      <c r="N48" s="77"/>
    </row>
    <row r="49" spans="1:26" ht="12.75" customHeight="1" x14ac:dyDescent="0.2">
      <c r="A49" s="50" t="str">
        <f>A48</f>
        <v>Estudos e Projetos, Planos e Gerenciamento e outros correlatos</v>
      </c>
      <c r="B49" s="59" t="s">
        <v>149</v>
      </c>
      <c r="C49" s="50" t="str">
        <f t="shared" si="0"/>
        <v>Estudos e Projetos, Planos e Gerenciamento e outros correlatos-BDI PAD</v>
      </c>
      <c r="E49" s="55" t="s">
        <v>165</v>
      </c>
      <c r="F49" s="55" t="s">
        <v>165</v>
      </c>
      <c r="G49" s="55" t="s">
        <v>165</v>
      </c>
      <c r="I49" t="s">
        <v>244</v>
      </c>
      <c r="J49" s="682" t="s">
        <v>188</v>
      </c>
      <c r="K49" s="682"/>
      <c r="L49" s="682"/>
      <c r="M49" s="682"/>
    </row>
    <row r="50" spans="1:26" ht="14.25" x14ac:dyDescent="0.2">
      <c r="B50" s="59"/>
      <c r="E50" s="55"/>
      <c r="F50" s="55"/>
      <c r="G50" s="55"/>
      <c r="I50" t="s">
        <v>244</v>
      </c>
      <c r="J50" s="78" t="s">
        <v>108</v>
      </c>
      <c r="K50" s="79" t="str">
        <f t="array" ref="K50:K52">Import.RespOrçamento</f>
        <v xml:space="preserve">MARCIELE FLORES </v>
      </c>
      <c r="L50" s="80"/>
      <c r="M50" s="80"/>
      <c r="N50" s="77"/>
    </row>
    <row r="51" spans="1:26" ht="14.25" x14ac:dyDescent="0.2">
      <c r="A51"/>
      <c r="B51"/>
      <c r="C51"/>
      <c r="D51"/>
      <c r="E51"/>
      <c r="F51"/>
      <c r="G51"/>
      <c r="I51" t="s">
        <v>244</v>
      </c>
      <c r="J51" s="78" t="s">
        <v>109</v>
      </c>
      <c r="K51" s="79" t="str">
        <v>CREA/RS 268.201</v>
      </c>
      <c r="L51" s="80"/>
      <c r="M51" s="80"/>
      <c r="N51" s="77"/>
    </row>
    <row r="52" spans="1:26" ht="14.25" x14ac:dyDescent="0.2">
      <c r="A52"/>
      <c r="B52"/>
      <c r="C52"/>
      <c r="D52"/>
      <c r="E52"/>
      <c r="F52"/>
      <c r="G52"/>
      <c r="I52" t="s">
        <v>244</v>
      </c>
      <c r="J52" s="78" t="s">
        <v>110</v>
      </c>
      <c r="K52" s="79" t="str">
        <v>0</v>
      </c>
      <c r="L52" s="80"/>
      <c r="M52" s="80"/>
      <c r="N52" s="77"/>
    </row>
    <row r="53" spans="1:26" ht="14.25" x14ac:dyDescent="0.2">
      <c r="A53"/>
      <c r="B53"/>
      <c r="C53"/>
      <c r="D53"/>
      <c r="E53"/>
      <c r="F53"/>
      <c r="G53"/>
      <c r="I53" t="s">
        <v>244</v>
      </c>
      <c r="J53" s="78"/>
      <c r="K53" s="81"/>
      <c r="L53" s="80"/>
      <c r="M53" s="80"/>
      <c r="N53" s="77"/>
    </row>
    <row r="54" spans="1:26" ht="15.75" hidden="1" x14ac:dyDescent="0.25">
      <c r="A54"/>
      <c r="B54"/>
      <c r="C54"/>
      <c r="D54"/>
      <c r="E54"/>
      <c r="F54"/>
      <c r="G54"/>
      <c r="I54" t="str">
        <f ca="1">IF($S$69=0,"","F")</f>
        <v/>
      </c>
      <c r="J54" s="704" t="s">
        <v>189</v>
      </c>
      <c r="K54" s="704"/>
      <c r="L54" s="704"/>
      <c r="M54" s="704"/>
      <c r="N54" s="704"/>
      <c r="O54" s="704"/>
      <c r="P54" s="704"/>
      <c r="Q54" s="704"/>
      <c r="R54" s="704"/>
      <c r="S54" s="704"/>
      <c r="U54" s="564" t="str">
        <f>IF(COUNTIF(ORÇAMENTO!$V$15:$V$89,BDI_2.Título)=0,"",IF(OR(Import.BDI.Tipo2="(SELECIONAR)",Import.BDI.Tipo2="",U57&lt;&gt;"",S61=0,S62=0,S63=0,S64=0,S65=0,S66=0),"Falta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62" t="s">
        <v>156</v>
      </c>
      <c r="K56" s="662"/>
      <c r="L56" s="662"/>
      <c r="M56" s="662"/>
      <c r="N56" s="662"/>
      <c r="O56" s="662"/>
      <c r="P56" s="662"/>
      <c r="Q56" s="662"/>
      <c r="R56" s="662"/>
      <c r="S56" s="662"/>
    </row>
    <row r="57" spans="1:26" ht="15" hidden="1" x14ac:dyDescent="0.25">
      <c r="A57"/>
      <c r="B57"/>
      <c r="C57"/>
      <c r="D57"/>
      <c r="E57"/>
      <c r="F57"/>
      <c r="G57"/>
      <c r="I57" t="str">
        <f t="shared" ca="1" si="3"/>
        <v/>
      </c>
      <c r="J57" s="703" t="s">
        <v>396</v>
      </c>
      <c r="K57" s="703"/>
      <c r="L57" s="703"/>
      <c r="M57" s="703"/>
      <c r="N57" s="703"/>
      <c r="O57" s="703"/>
      <c r="P57" s="703"/>
      <c r="Q57" s="703"/>
      <c r="R57" s="703"/>
      <c r="S57" s="703"/>
      <c r="T57" s="617" t="str">
        <f ca="1">IF(U57="","","◄")</f>
        <v/>
      </c>
      <c r="U57" s="616" t="str">
        <f ca="1">IF(AND(OR(S69&gt;0,COUNTIF(ORÇAMENTO!$V$15:$V$89,BDI_2.Título)&gt;0),OR(Import.BDI.Tipo2="(SELECIONAR)",Import.BDI.Tipo2="")),"Selecione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02" t="s">
        <v>157</v>
      </c>
      <c r="K59" s="702"/>
      <c r="L59" s="702"/>
      <c r="M59" s="702"/>
      <c r="N59" s="702"/>
      <c r="O59" s="702"/>
      <c r="P59" s="702"/>
      <c r="Q59" s="702"/>
      <c r="R59" s="702" t="s">
        <v>158</v>
      </c>
      <c r="S59" s="694" t="s">
        <v>159</v>
      </c>
      <c r="U59" s="694" t="s">
        <v>160</v>
      </c>
      <c r="V59" s="694"/>
      <c r="W59" s="694"/>
      <c r="X59" s="701" t="s">
        <v>161</v>
      </c>
      <c r="Y59" s="701" t="s">
        <v>162</v>
      </c>
      <c r="Z59" s="701" t="s">
        <v>163</v>
      </c>
    </row>
    <row r="60" spans="1:26" ht="12.75" hidden="1" customHeight="1" x14ac:dyDescent="0.2">
      <c r="A60"/>
      <c r="B60"/>
      <c r="C60"/>
      <c r="D60"/>
      <c r="E60"/>
      <c r="F60"/>
      <c r="G60"/>
      <c r="I60" t="str">
        <f t="shared" ca="1" si="3"/>
        <v/>
      </c>
      <c r="J60" s="702"/>
      <c r="K60" s="702"/>
      <c r="L60" s="702"/>
      <c r="M60" s="702"/>
      <c r="N60" s="702"/>
      <c r="O60" s="702"/>
      <c r="P60" s="702"/>
      <c r="Q60" s="702"/>
      <c r="R60" s="702"/>
      <c r="S60" s="694"/>
      <c r="U60" s="694"/>
      <c r="V60" s="694"/>
      <c r="W60" s="694"/>
      <c r="X60" s="701"/>
      <c r="Y60" s="701"/>
      <c r="Z60" s="701"/>
    </row>
    <row r="61" spans="1:26" ht="15" hidden="1" customHeight="1" x14ac:dyDescent="0.2">
      <c r="A61"/>
      <c r="B61"/>
      <c r="C61"/>
      <c r="D61"/>
      <c r="E61"/>
      <c r="F61"/>
      <c r="G61"/>
      <c r="I61" t="str">
        <f t="shared" ca="1" si="3"/>
        <v/>
      </c>
      <c r="J61" s="690" t="str">
        <f>IF($J$17=$A$146,"Encargos Sociais incidentes sobre a mão de obra","Administração Central")</f>
        <v>Administração Central</v>
      </c>
      <c r="K61" s="690"/>
      <c r="L61" s="690"/>
      <c r="M61" s="690"/>
      <c r="N61" s="690"/>
      <c r="O61" s="690"/>
      <c r="P61" s="690"/>
      <c r="Q61" s="690"/>
      <c r="R61" s="61" t="str">
        <f>IF($J57=$A$146,"K1","AC")</f>
        <v>AC</v>
      </c>
      <c r="S61" s="62"/>
      <c r="T61" s="630" t="str">
        <f ca="1">IF(AND($U$14&lt;&gt;"",S61=""),"◄","")</f>
        <v/>
      </c>
      <c r="U61" s="691" t="str">
        <f>IFERROR(IF(AND(S61&gt;=X61,S61&lt;=Z61),"OK","FORA DO INTERVALO"),"-")</f>
        <v>-</v>
      </c>
      <c r="V61" s="692"/>
      <c r="W61" s="693"/>
      <c r="X61" s="63" t="e">
        <f>VLOOKUP(CONCATENATE(J57,"-",R61),$C$2:$G$136,3,FALSE)</f>
        <v>#N/A</v>
      </c>
      <c r="Y61" s="63" t="e">
        <f>VLOOKUP(CONCATENATE(J57,"-",R61),$C$2:$G$136,4,FALSE)</f>
        <v>#N/A</v>
      </c>
      <c r="Z61" s="63" t="e">
        <f>VLOOKUP(CONCATENATE(J57,"-",R61),$C$2:$G$136,5,FALSE)</f>
        <v>#N/A</v>
      </c>
    </row>
    <row r="62" spans="1:26" ht="15" hidden="1" customHeight="1" x14ac:dyDescent="0.2">
      <c r="A62"/>
      <c r="B62"/>
      <c r="C62"/>
      <c r="D62"/>
      <c r="E62"/>
      <c r="F62"/>
      <c r="G62"/>
      <c r="I62" t="str">
        <f t="shared" ca="1" si="3"/>
        <v/>
      </c>
      <c r="J62" s="690" t="str">
        <f>IF($J$17=$A$146,"Administração Central da empresa ou consultoria - overhead","Seguro e Garantia")</f>
        <v>Seguro e Garantia</v>
      </c>
      <c r="K62" s="690"/>
      <c r="L62" s="690"/>
      <c r="M62" s="690"/>
      <c r="N62" s="690"/>
      <c r="O62" s="690"/>
      <c r="P62" s="690"/>
      <c r="Q62" s="690"/>
      <c r="R62" s="61" t="str">
        <f>IF($J57=$A$146,"K2","SG")</f>
        <v>SG</v>
      </c>
      <c r="S62" s="62"/>
      <c r="T62" s="630" t="str">
        <f t="shared" ref="T62:T66" ca="1" si="4">IF(AND($U$14&lt;&gt;"",S62=""),"◄","")</f>
        <v/>
      </c>
      <c r="U62" s="691" t="str">
        <f t="shared" ref="U62:U67" si="5">IFERROR(IF(AND(S62&gt;=X62,S62&lt;=Z62),"OK","FORA DO INTERVALO"),"-")</f>
        <v>-</v>
      </c>
      <c r="V62" s="692"/>
      <c r="W62" s="693"/>
      <c r="X62" s="63" t="e">
        <f>VLOOKUP(CONCATENATE(J57,"-",R62),$C$2:$G$136,3,FALSE)</f>
        <v>#N/A</v>
      </c>
      <c r="Y62" s="63" t="e">
        <f>VLOOKUP(CONCATENATE(J57,"-",R62),$C$2:$G$136,4,FALSE)</f>
        <v>#N/A</v>
      </c>
      <c r="Z62" s="63" t="e">
        <f>VLOOKUP(CONCATENATE(J57,"-",R62),$C$2:$G$136,5,FALSE)</f>
        <v>#N/A</v>
      </c>
    </row>
    <row r="63" spans="1:26" ht="15" hidden="1" customHeight="1" x14ac:dyDescent="0.2">
      <c r="A63"/>
      <c r="B63"/>
      <c r="C63"/>
      <c r="D63"/>
      <c r="E63"/>
      <c r="F63"/>
      <c r="G63"/>
      <c r="I63" t="str">
        <f t="shared" ca="1" si="3"/>
        <v/>
      </c>
      <c r="J63" s="690" t="str">
        <f>IF($J$17=$A$146,"","Risco")</f>
        <v>Risco</v>
      </c>
      <c r="K63" s="690"/>
      <c r="L63" s="690"/>
      <c r="M63" s="690"/>
      <c r="N63" s="690"/>
      <c r="O63" s="690"/>
      <c r="P63" s="690"/>
      <c r="Q63" s="690"/>
      <c r="R63" s="61" t="str">
        <f>IF($J57=$A$146,"","R")</f>
        <v>R</v>
      </c>
      <c r="S63" s="62"/>
      <c r="T63" s="630" t="str">
        <f t="shared" ca="1" si="4"/>
        <v/>
      </c>
      <c r="U63" s="691" t="str">
        <f t="shared" si="5"/>
        <v>-</v>
      </c>
      <c r="V63" s="692"/>
      <c r="W63" s="693"/>
      <c r="X63" s="63" t="e">
        <f>VLOOKUP(CONCATENATE(J57,"-",R63),$C$2:$G$136,3,FALSE)</f>
        <v>#N/A</v>
      </c>
      <c r="Y63" s="63" t="e">
        <f>VLOOKUP(CONCATENATE(J57,"-",R63),$C$2:$G$136,4,FALSE)</f>
        <v>#N/A</v>
      </c>
      <c r="Z63" s="63" t="e">
        <f>VLOOKUP(CONCATENATE(J57,"-",R63),$C$2:$G$136,5,FALSE)</f>
        <v>#N/A</v>
      </c>
    </row>
    <row r="64" spans="1:26" ht="15" hidden="1" customHeight="1" x14ac:dyDescent="0.2">
      <c r="A64"/>
      <c r="B64"/>
      <c r="C64"/>
      <c r="D64"/>
      <c r="E64"/>
      <c r="F64"/>
      <c r="G64"/>
      <c r="I64" t="str">
        <f t="shared" ca="1" si="3"/>
        <v/>
      </c>
      <c r="J64" s="690" t="str">
        <f>IF($J$17=$A$146,"","Despesas Financeiras")</f>
        <v>Despesas Financeiras</v>
      </c>
      <c r="K64" s="690"/>
      <c r="L64" s="690"/>
      <c r="M64" s="690"/>
      <c r="N64" s="690"/>
      <c r="O64" s="690"/>
      <c r="P64" s="690"/>
      <c r="Q64" s="690"/>
      <c r="R64" s="61" t="str">
        <f>IF($J57=$A$146,"","DF")</f>
        <v>DF</v>
      </c>
      <c r="S64" s="62"/>
      <c r="T64" s="630" t="str">
        <f t="shared" ca="1" si="4"/>
        <v/>
      </c>
      <c r="U64" s="691" t="str">
        <f t="shared" si="5"/>
        <v>-</v>
      </c>
      <c r="V64" s="692"/>
      <c r="W64" s="693"/>
      <c r="X64" s="63" t="e">
        <f>VLOOKUP(CONCATENATE(J57,"-",R64),$C$2:$G$136,3,FALSE)</f>
        <v>#N/A</v>
      </c>
      <c r="Y64" s="63" t="e">
        <f>VLOOKUP(CONCATENATE(J57,"-",R64),$C$2:$G$136,4,FALSE)</f>
        <v>#N/A</v>
      </c>
      <c r="Z64" s="63" t="e">
        <f>VLOOKUP(CONCATENATE(J57,"-",R64),$C$2:$G$136,5,FALSE)</f>
        <v>#N/A</v>
      </c>
    </row>
    <row r="65" spans="1:26" ht="15" hidden="1" customHeight="1" x14ac:dyDescent="0.2">
      <c r="A65"/>
      <c r="B65"/>
      <c r="C65"/>
      <c r="D65"/>
      <c r="E65"/>
      <c r="F65"/>
      <c r="G65"/>
      <c r="I65" t="str">
        <f t="shared" ca="1" si="3"/>
        <v/>
      </c>
      <c r="J65" s="690" t="str">
        <f>IF($J$17=$A$146,"Margem bruta da empresa de consultoria","Lucro")</f>
        <v>Lucro</v>
      </c>
      <c r="K65" s="690"/>
      <c r="L65" s="690"/>
      <c r="M65" s="690"/>
      <c r="N65" s="690"/>
      <c r="O65" s="690"/>
      <c r="P65" s="690"/>
      <c r="Q65" s="690"/>
      <c r="R65" s="61" t="str">
        <f>IF($J57=$A$146,"K3","L")</f>
        <v>L</v>
      </c>
      <c r="S65" s="62"/>
      <c r="T65" s="630" t="str">
        <f t="shared" ca="1" si="4"/>
        <v/>
      </c>
      <c r="U65" s="691" t="str">
        <f t="shared" si="5"/>
        <v>-</v>
      </c>
      <c r="V65" s="692"/>
      <c r="W65" s="693"/>
      <c r="X65" s="63" t="e">
        <f>VLOOKUP(CONCATENATE(J57,"-",R65),$C$2:$G$136,3,FALSE)</f>
        <v>#N/A</v>
      </c>
      <c r="Y65" s="63" t="e">
        <f>VLOOKUP(CONCATENATE(J57,"-",R65),$C$2:$G$136,4,FALSE)</f>
        <v>#N/A</v>
      </c>
      <c r="Z65" s="63" t="e">
        <f>VLOOKUP(CONCATENATE(J57,"-",R65),$C$2:$G$136,5,FALSE)</f>
        <v>#N/A</v>
      </c>
    </row>
    <row r="66" spans="1:26" ht="15" hidden="1" customHeight="1" x14ac:dyDescent="0.2">
      <c r="A66"/>
      <c r="B66"/>
      <c r="C66"/>
      <c r="D66"/>
      <c r="E66"/>
      <c r="F66"/>
      <c r="G66"/>
      <c r="I66" t="str">
        <f t="shared" ca="1" si="3"/>
        <v/>
      </c>
      <c r="J66" s="690" t="s">
        <v>167</v>
      </c>
      <c r="K66" s="690"/>
      <c r="L66" s="690"/>
      <c r="M66" s="690"/>
      <c r="N66" s="690"/>
      <c r="O66" s="690"/>
      <c r="P66" s="690"/>
      <c r="Q66" s="690"/>
      <c r="R66" s="61" t="s">
        <v>168</v>
      </c>
      <c r="S66" s="62"/>
      <c r="T66" s="630" t="str">
        <f t="shared" ca="1" si="4"/>
        <v/>
      </c>
      <c r="U66" s="691" t="str">
        <f t="shared" si="5"/>
        <v>FORA DO INTERVALO</v>
      </c>
      <c r="V66" s="692"/>
      <c r="W66" s="693"/>
      <c r="X66" s="63">
        <v>3.6499999999999998E-2</v>
      </c>
      <c r="Y66" s="63">
        <v>3.6499999999999998E-2</v>
      </c>
      <c r="Z66" s="63">
        <v>3.6499999999999998E-2</v>
      </c>
    </row>
    <row r="67" spans="1:26" ht="15" hidden="1" customHeight="1" x14ac:dyDescent="0.2">
      <c r="A67"/>
      <c r="B67"/>
      <c r="C67"/>
      <c r="D67"/>
      <c r="E67"/>
      <c r="F67"/>
      <c r="G67"/>
      <c r="I67" t="str">
        <f t="shared" ca="1" si="3"/>
        <v/>
      </c>
      <c r="J67" s="690" t="s">
        <v>169</v>
      </c>
      <c r="K67" s="690"/>
      <c r="L67" s="690"/>
      <c r="M67" s="690"/>
      <c r="N67" s="690"/>
      <c r="O67" s="690"/>
      <c r="P67" s="690"/>
      <c r="Q67" s="690"/>
      <c r="R67" s="61" t="s">
        <v>170</v>
      </c>
      <c r="S67" s="63">
        <f ca="1">IF(AND($J57&lt;&gt;$A$145,COUNTA(OFFSET(S60,1,0,6))&gt;0),$R$11*$R$10,0)</f>
        <v>0</v>
      </c>
      <c r="U67" s="691" t="str">
        <f t="shared" ca="1" si="5"/>
        <v>OK</v>
      </c>
      <c r="V67" s="692"/>
      <c r="W67" s="693"/>
      <c r="X67" s="63">
        <v>0</v>
      </c>
      <c r="Y67" s="63">
        <v>2.5000000000000001E-2</v>
      </c>
      <c r="Z67" s="63">
        <v>0.05</v>
      </c>
    </row>
    <row r="68" spans="1:26" ht="15" hidden="1" customHeight="1" x14ac:dyDescent="0.2">
      <c r="A68"/>
      <c r="B68"/>
      <c r="C68"/>
      <c r="D68"/>
      <c r="E68"/>
      <c r="F68"/>
      <c r="G68"/>
      <c r="I68" t="str">
        <f t="shared" ca="1" si="3"/>
        <v/>
      </c>
      <c r="J68" s="690" t="s">
        <v>427</v>
      </c>
      <c r="K68" s="690"/>
      <c r="L68" s="690"/>
      <c r="M68" s="690"/>
      <c r="N68" s="690"/>
      <c r="O68" s="690"/>
      <c r="P68" s="690"/>
      <c r="Q68" s="690"/>
      <c r="R68" s="61" t="s">
        <v>171</v>
      </c>
      <c r="S68" s="63" cm="1">
        <f t="array" aca="1" ref="S68" ca="1">IF(BDI.Opcao&lt;&gt;"Desonerado",0,IF(AND($J57&lt;&gt;$A$145,COUNTA(OFFSET(S60,1,0,6))&gt;0),IF(YEAR(Import.DataBase)&lt;2025,4.5%,IF(YEAR(Import.DataBase)=2025,3.6%,IF(YEAR(Import.DataBase)=2026,2.7%,IF(YEAR(Import.DataBase)=2027,1.8%,0%)))),0%))</f>
        <v>0</v>
      </c>
      <c r="U68" s="691" t="s">
        <v>914</v>
      </c>
      <c r="V68" s="692"/>
      <c r="W68" s="693"/>
      <c r="X68" s="64">
        <f ca="1">$S68</f>
        <v>0</v>
      </c>
      <c r="Y68" s="64">
        <f ca="1">$S68</f>
        <v>0</v>
      </c>
      <c r="Z68" s="64">
        <f ca="1">$S68</f>
        <v>0</v>
      </c>
    </row>
    <row r="69" spans="1:26" ht="15" hidden="1" customHeight="1" x14ac:dyDescent="0.2">
      <c r="A69"/>
      <c r="B69"/>
      <c r="C69"/>
      <c r="D69"/>
      <c r="E69"/>
      <c r="F69"/>
      <c r="G69"/>
      <c r="I69" t="str">
        <f t="shared" ca="1" si="3"/>
        <v/>
      </c>
      <c r="J69" s="690" t="s">
        <v>172</v>
      </c>
      <c r="K69" s="690"/>
      <c r="L69" s="690"/>
      <c r="M69" s="690"/>
      <c r="N69" s="690"/>
      <c r="O69" s="690"/>
      <c r="P69" s="690"/>
      <c r="Q69" s="690"/>
      <c r="R69" s="65" t="s">
        <v>149</v>
      </c>
      <c r="S69" s="63">
        <f ca="1">IF($J57=$A$145,0,ROUND((((1+S61+S62+S63)*(1+S64)*(1+S65)/(1-(S66+S67)))-1),4))</f>
        <v>0</v>
      </c>
      <c r="U69" s="694" t="str">
        <f ca="1">IFERROR(IF(OR($J$17=$A$146,$J$17=$A$145,AND(S69&gt;=X69,S69&lt;=Z69)),"OK","FORA DO INTERVALO"),IF(S69=0,"OK","Selecione o Tipo de obra"))</f>
        <v>OK</v>
      </c>
      <c r="V69" s="694"/>
      <c r="W69" s="694"/>
      <c r="X69" s="63" t="e">
        <f>IF($J57=$A$145,0,VLOOKUP(CONCATENATE($J57,"-",$R69),$C$2:$G$136,3,FALSE))</f>
        <v>#N/A</v>
      </c>
      <c r="Y69" s="63" t="e">
        <f>IF($J57=$A$145,0,VLOOKUP(CONCATENATE($J57,"-",$R69),$C$2:$G$136,4,FALSE))</f>
        <v>#N/A</v>
      </c>
      <c r="Z69" s="63" t="e">
        <f>IF($J57=$A$145,0,VLOOKUP(CONCATENATE($J57,"-",$R69),$C$2:$G$136,5,FALSE))</f>
        <v>#N/A</v>
      </c>
    </row>
    <row r="70" spans="1:26" ht="15" hidden="1" customHeight="1" x14ac:dyDescent="0.2">
      <c r="A70"/>
      <c r="B70"/>
      <c r="C70"/>
      <c r="D70"/>
      <c r="E70"/>
      <c r="F70"/>
      <c r="G70"/>
      <c r="I70" t="str">
        <f t="shared" ca="1" si="3"/>
        <v/>
      </c>
      <c r="J70" s="695" t="s">
        <v>173</v>
      </c>
      <c r="K70" s="695"/>
      <c r="L70" s="695"/>
      <c r="M70" s="695"/>
      <c r="N70" s="695"/>
      <c r="O70" s="695"/>
      <c r="P70" s="695"/>
      <c r="Q70" s="695"/>
      <c r="R70" s="66" t="s">
        <v>174</v>
      </c>
      <c r="S70" s="67">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8" t="str">
        <f ca="1">IF(U69&lt;&gt;"ok","X","")</f>
        <v/>
      </c>
      <c r="K72" s="696" t="str">
        <f ca="1">IF(U69&lt;&gt;"ok","Anexo: Relatório Técnico Circunstanciado justificando a adoção do percentual de cada parcela do BDI.","")</f>
        <v/>
      </c>
      <c r="L72" s="696"/>
      <c r="M72" s="696"/>
      <c r="N72" s="696"/>
      <c r="O72" s="696"/>
      <c r="P72" s="696"/>
      <c r="Q72" s="696"/>
      <c r="R72" s="696"/>
      <c r="S72" s="696"/>
    </row>
    <row r="73" spans="1:26" hidden="1" x14ac:dyDescent="0.2">
      <c r="A73"/>
      <c r="B73"/>
      <c r="C73"/>
      <c r="D73"/>
      <c r="E73"/>
      <c r="F73"/>
      <c r="G73"/>
      <c r="I73" t="str">
        <f t="shared" ca="1" si="3"/>
        <v/>
      </c>
    </row>
    <row r="74" spans="1:26" hidden="1" x14ac:dyDescent="0.2">
      <c r="A74"/>
      <c r="B74"/>
      <c r="C74"/>
      <c r="D74"/>
      <c r="E74"/>
      <c r="F74"/>
      <c r="G74"/>
      <c r="I74" t="str">
        <f t="shared" ca="1" si="3"/>
        <v/>
      </c>
      <c r="J74" s="697" t="s">
        <v>176</v>
      </c>
      <c r="K74" s="697"/>
      <c r="L74" s="697"/>
      <c r="M74" s="697"/>
      <c r="N74" s="697"/>
      <c r="O74" s="697"/>
      <c r="P74" s="697"/>
      <c r="Q74" s="697"/>
      <c r="R74" s="697"/>
      <c r="S74" s="697"/>
    </row>
    <row r="75" spans="1:26" ht="15.75" hidden="1" x14ac:dyDescent="0.25">
      <c r="A75"/>
      <c r="B75"/>
      <c r="C75"/>
      <c r="D75"/>
      <c r="E75"/>
      <c r="F75"/>
      <c r="G75"/>
      <c r="I75" t="str">
        <f t="shared" ca="1" si="3"/>
        <v/>
      </c>
      <c r="J75" s="69"/>
      <c r="K75" s="69"/>
      <c r="L75" s="69"/>
      <c r="M75" s="698" t="s">
        <v>177</v>
      </c>
      <c r="N75" s="699" t="str">
        <f>IF($J57=$A$146,"(1+K1+K2)*(1+K3)","(1+AC + S + R + G)*(1 + DF)*(1+L)")</f>
        <v>(1+AC + S + R + G)*(1 + DF)*(1+L)</v>
      </c>
      <c r="O75" s="699"/>
      <c r="P75" s="699"/>
      <c r="Q75" s="700" t="s">
        <v>178</v>
      </c>
      <c r="R75" s="69"/>
      <c r="S75" s="69"/>
    </row>
    <row r="76" spans="1:26" ht="15.75" hidden="1" x14ac:dyDescent="0.2">
      <c r="A76"/>
      <c r="B76"/>
      <c r="C76"/>
      <c r="D76"/>
      <c r="E76"/>
      <c r="F76"/>
      <c r="G76"/>
      <c r="I76" t="str">
        <f t="shared" ca="1" si="3"/>
        <v/>
      </c>
      <c r="J76" s="69"/>
      <c r="K76" s="69"/>
      <c r="L76" s="69"/>
      <c r="M76" s="698"/>
      <c r="N76" s="689" t="s">
        <v>179</v>
      </c>
      <c r="O76" s="689"/>
      <c r="P76" s="689"/>
      <c r="Q76" s="700"/>
      <c r="R76" s="69"/>
      <c r="S76" s="69"/>
    </row>
    <row r="77" spans="1:26" ht="15" hidden="1" customHeight="1" x14ac:dyDescent="0.2">
      <c r="A77"/>
      <c r="B77"/>
      <c r="C77"/>
      <c r="D77"/>
      <c r="E77"/>
      <c r="F77"/>
      <c r="G77"/>
      <c r="I77" t="str">
        <f t="shared" ca="1" si="3"/>
        <v/>
      </c>
      <c r="J77" s="69"/>
      <c r="K77" s="69"/>
      <c r="L77" s="69"/>
      <c r="M77" s="70"/>
      <c r="N77" s="72"/>
      <c r="O77" s="72"/>
      <c r="P77" s="72"/>
      <c r="Q77" s="71"/>
      <c r="R77" s="69"/>
      <c r="S77" s="69"/>
    </row>
    <row r="78" spans="1:26" ht="50.1" hidden="1" customHeight="1" x14ac:dyDescent="0.2">
      <c r="A78"/>
      <c r="B78"/>
      <c r="C78"/>
      <c r="D78"/>
      <c r="E78"/>
      <c r="F78"/>
      <c r="G78"/>
      <c r="I78" t="str">
        <f t="shared" ca="1" si="3"/>
        <v/>
      </c>
      <c r="J7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83"/>
      <c r="L78" s="683"/>
      <c r="M78" s="683"/>
      <c r="N78" s="683"/>
      <c r="O78" s="683"/>
      <c r="P78" s="683"/>
      <c r="Q78" s="683"/>
      <c r="R78" s="683"/>
      <c r="S78" s="683"/>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8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83"/>
      <c r="L80" s="683"/>
      <c r="M80" s="683"/>
      <c r="N80" s="683"/>
      <c r="O80" s="683"/>
      <c r="P80" s="683"/>
      <c r="Q80" s="683"/>
      <c r="R80" s="683"/>
      <c r="S80" s="683"/>
    </row>
    <row r="81" spans="1:21" hidden="1" x14ac:dyDescent="0.2">
      <c r="A81"/>
      <c r="B81"/>
      <c r="C81"/>
      <c r="D81"/>
      <c r="E81"/>
      <c r="F81"/>
      <c r="G81"/>
      <c r="I81" t="str">
        <f t="shared" ca="1" si="3"/>
        <v/>
      </c>
    </row>
    <row r="82" spans="1:21" hidden="1" x14ac:dyDescent="0.2">
      <c r="A82"/>
      <c r="B82"/>
      <c r="C82"/>
      <c r="D82"/>
      <c r="E82"/>
      <c r="F82"/>
      <c r="G82"/>
      <c r="I82" t="str">
        <f t="shared" ca="1" si="3"/>
        <v/>
      </c>
      <c r="J82" s="50" t="s">
        <v>185</v>
      </c>
    </row>
    <row r="83" spans="1:21" ht="99.95" hidden="1" customHeight="1" x14ac:dyDescent="0.2">
      <c r="A83"/>
      <c r="B83"/>
      <c r="C83"/>
      <c r="D83"/>
      <c r="E83"/>
      <c r="F83"/>
      <c r="G83"/>
      <c r="I83" t="str">
        <f t="shared" ca="1" si="3"/>
        <v/>
      </c>
      <c r="J83" s="684"/>
      <c r="K83" s="684"/>
      <c r="L83" s="684"/>
      <c r="M83" s="684"/>
      <c r="N83" s="684"/>
      <c r="O83" s="684"/>
      <c r="P83" s="684"/>
      <c r="Q83" s="684"/>
      <c r="R83" s="684"/>
      <c r="S83" s="684"/>
    </row>
    <row r="84" spans="1:21" hidden="1" x14ac:dyDescent="0.2">
      <c r="A84"/>
      <c r="B84"/>
      <c r="C84"/>
      <c r="D84"/>
      <c r="E84"/>
      <c r="F84"/>
      <c r="G84"/>
      <c r="I84" t="str">
        <f t="shared" ca="1" si="3"/>
        <v/>
      </c>
    </row>
    <row r="85" spans="1:21" hidden="1" x14ac:dyDescent="0.2">
      <c r="A85"/>
      <c r="B85"/>
      <c r="C85"/>
      <c r="D85"/>
      <c r="E85"/>
      <c r="F85"/>
      <c r="G85"/>
      <c r="I85" t="str">
        <f t="shared" ca="1" si="3"/>
        <v/>
      </c>
      <c r="J85" s="685" t="str">
        <f>Import.Município</f>
        <v>SARANDI/RS</v>
      </c>
      <c r="K85" s="685"/>
      <c r="L85" s="685"/>
      <c r="M85" s="685"/>
      <c r="P85" s="686">
        <f>DADOS!$C$25</f>
        <v>46161</v>
      </c>
      <c r="Q85" s="686"/>
      <c r="R85" s="686"/>
      <c r="S85" s="686"/>
    </row>
    <row r="86" spans="1:21" hidden="1" x14ac:dyDescent="0.2">
      <c r="A86"/>
      <c r="B86"/>
      <c r="C86"/>
      <c r="D86"/>
      <c r="E86"/>
      <c r="F86"/>
      <c r="G86"/>
      <c r="I86" t="str">
        <f t="shared" ca="1" si="3"/>
        <v/>
      </c>
      <c r="J86" s="687" t="s">
        <v>186</v>
      </c>
      <c r="K86" s="687"/>
      <c r="L86" s="687"/>
      <c r="M86" s="687"/>
      <c r="O86" s="74"/>
      <c r="P86" s="75" t="s">
        <v>187</v>
      </c>
      <c r="Q86" s="76"/>
      <c r="R86" s="76"/>
      <c r="S86" s="76"/>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688"/>
      <c r="K88" s="688"/>
      <c r="L88" s="688"/>
      <c r="M88" s="688"/>
      <c r="N88" s="77"/>
    </row>
    <row r="89" spans="1:21" hidden="1" x14ac:dyDescent="0.2">
      <c r="A89"/>
      <c r="B89"/>
      <c r="C89"/>
      <c r="D89"/>
      <c r="E89"/>
      <c r="F89"/>
      <c r="G89"/>
      <c r="I89" t="str">
        <f t="shared" ca="1" si="3"/>
        <v/>
      </c>
      <c r="J89" s="682" t="s">
        <v>188</v>
      </c>
      <c r="K89" s="682"/>
      <c r="L89" s="682"/>
      <c r="M89" s="682"/>
    </row>
    <row r="90" spans="1:21" ht="14.25" hidden="1" x14ac:dyDescent="0.2">
      <c r="A90"/>
      <c r="B90"/>
      <c r="C90"/>
      <c r="D90"/>
      <c r="E90"/>
      <c r="F90"/>
      <c r="G90"/>
      <c r="I90" t="str">
        <f t="shared" ca="1" si="3"/>
        <v/>
      </c>
      <c r="J90" s="78" t="s">
        <v>108</v>
      </c>
      <c r="K90" s="79" t="str">
        <f t="array" ref="K90:K92">Import.RespOrçamento</f>
        <v xml:space="preserve">MARCIELE FLORES </v>
      </c>
      <c r="L90" s="80"/>
      <c r="M90" s="80"/>
      <c r="N90" s="77"/>
    </row>
    <row r="91" spans="1:21" ht="14.25" hidden="1" x14ac:dyDescent="0.2">
      <c r="A91"/>
      <c r="B91"/>
      <c r="C91"/>
      <c r="D91"/>
      <c r="E91"/>
      <c r="F91"/>
      <c r="G91"/>
      <c r="I91" t="str">
        <f t="shared" ca="1" si="3"/>
        <v/>
      </c>
      <c r="J91" s="78" t="s">
        <v>109</v>
      </c>
      <c r="K91" s="79" t="str">
        <v>CREA/RS 268.201</v>
      </c>
      <c r="L91" s="80"/>
      <c r="M91" s="80"/>
      <c r="N91" s="77"/>
    </row>
    <row r="92" spans="1:21" ht="14.25" hidden="1" x14ac:dyDescent="0.2">
      <c r="A92"/>
      <c r="B92"/>
      <c r="C92"/>
      <c r="D92"/>
      <c r="E92"/>
      <c r="F92"/>
      <c r="G92"/>
      <c r="I92" t="str">
        <f t="shared" ca="1" si="3"/>
        <v/>
      </c>
      <c r="J92" s="78" t="s">
        <v>110</v>
      </c>
      <c r="K92" s="79" t="str">
        <v>0</v>
      </c>
      <c r="L92" s="80"/>
      <c r="M92" s="80"/>
      <c r="N92" s="77"/>
    </row>
    <row r="93" spans="1:21" ht="14.25" hidden="1" x14ac:dyDescent="0.2">
      <c r="A93"/>
      <c r="B93"/>
      <c r="C93"/>
      <c r="D93"/>
      <c r="E93"/>
      <c r="F93"/>
      <c r="G93"/>
      <c r="I93" t="str">
        <f t="shared" ca="1" si="3"/>
        <v/>
      </c>
      <c r="J93" s="78"/>
      <c r="K93" s="81"/>
      <c r="L93" s="80"/>
      <c r="M93" s="80"/>
      <c r="N93" s="77"/>
    </row>
    <row r="94" spans="1:21" ht="15.75" hidden="1" x14ac:dyDescent="0.25">
      <c r="A94"/>
      <c r="B94"/>
      <c r="C94"/>
      <c r="D94"/>
      <c r="E94"/>
      <c r="F94"/>
      <c r="G94"/>
      <c r="I94" t="str">
        <f ca="1">IF($S$109=0,"","F")</f>
        <v/>
      </c>
      <c r="J94" s="704" t="s">
        <v>190</v>
      </c>
      <c r="K94" s="704"/>
      <c r="L94" s="704"/>
      <c r="M94" s="704"/>
      <c r="N94" s="704"/>
      <c r="O94" s="704"/>
      <c r="P94" s="704"/>
      <c r="Q94" s="704"/>
      <c r="R94" s="704"/>
      <c r="S94" s="704"/>
      <c r="U94" s="564" t="str">
        <f>IF(COUNTIF(ORÇAMENTO!$V$15:$V$89,BDI_3.Título)=0,"",IF(OR(Import.BDI.Tipo3="(SELECIONAR)",Import.BDI.Tipo3="",U97&lt;&gt;"",S101=0,S102=0,S103=0,S104=0,S105=0,S106=0),"Falta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62" t="s">
        <v>156</v>
      </c>
      <c r="K96" s="662"/>
      <c r="L96" s="662"/>
      <c r="M96" s="662"/>
      <c r="N96" s="662"/>
      <c r="O96" s="662"/>
      <c r="P96" s="662"/>
      <c r="Q96" s="662"/>
      <c r="R96" s="662"/>
      <c r="S96" s="662"/>
    </row>
    <row r="97" spans="1:26" ht="15" hidden="1" x14ac:dyDescent="0.25">
      <c r="A97"/>
      <c r="B97"/>
      <c r="C97"/>
      <c r="D97"/>
      <c r="E97"/>
      <c r="F97"/>
      <c r="G97"/>
      <c r="I97" t="str">
        <f t="shared" ca="1" si="6"/>
        <v/>
      </c>
      <c r="J97" s="703" t="s">
        <v>396</v>
      </c>
      <c r="K97" s="703"/>
      <c r="L97" s="703"/>
      <c r="M97" s="703"/>
      <c r="N97" s="703"/>
      <c r="O97" s="703"/>
      <c r="P97" s="703"/>
      <c r="Q97" s="703"/>
      <c r="R97" s="703"/>
      <c r="S97" s="703"/>
      <c r="T97" s="617" t="str">
        <f ca="1">IF(U97="","","◄")</f>
        <v/>
      </c>
      <c r="U97" s="616" t="str">
        <f ca="1">IF(AND(OR(S109&gt;0,COUNTIF(ORÇAMENTO!$V$15:$V$89,BDI_3.Título)&gt;0),OR(Import.BDI.Tipo3="(SELECIONAR)",Import.BDI.Tipo3="")),"Selecione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02" t="s">
        <v>157</v>
      </c>
      <c r="K99" s="702"/>
      <c r="L99" s="702"/>
      <c r="M99" s="702"/>
      <c r="N99" s="702"/>
      <c r="O99" s="702"/>
      <c r="P99" s="702"/>
      <c r="Q99" s="702"/>
      <c r="R99" s="702" t="s">
        <v>158</v>
      </c>
      <c r="S99" s="694" t="s">
        <v>159</v>
      </c>
      <c r="U99" s="694" t="s">
        <v>160</v>
      </c>
      <c r="V99" s="694"/>
      <c r="W99" s="694"/>
      <c r="X99" s="701" t="s">
        <v>161</v>
      </c>
      <c r="Y99" s="701" t="s">
        <v>162</v>
      </c>
      <c r="Z99" s="701" t="s">
        <v>163</v>
      </c>
    </row>
    <row r="100" spans="1:26" ht="12.75" hidden="1" customHeight="1" x14ac:dyDescent="0.2">
      <c r="A100"/>
      <c r="B100"/>
      <c r="C100"/>
      <c r="D100"/>
      <c r="E100"/>
      <c r="F100"/>
      <c r="G100"/>
      <c r="I100" t="str">
        <f t="shared" ca="1" si="6"/>
        <v/>
      </c>
      <c r="J100" s="702"/>
      <c r="K100" s="702"/>
      <c r="L100" s="702"/>
      <c r="M100" s="702"/>
      <c r="N100" s="702"/>
      <c r="O100" s="702"/>
      <c r="P100" s="702"/>
      <c r="Q100" s="702"/>
      <c r="R100" s="702"/>
      <c r="S100" s="694"/>
      <c r="U100" s="694"/>
      <c r="V100" s="694"/>
      <c r="W100" s="694"/>
      <c r="X100" s="701"/>
      <c r="Y100" s="701"/>
      <c r="Z100" s="701"/>
    </row>
    <row r="101" spans="1:26" ht="15" hidden="1" customHeight="1" x14ac:dyDescent="0.2">
      <c r="A101"/>
      <c r="B101"/>
      <c r="C101"/>
      <c r="D101"/>
      <c r="E101"/>
      <c r="F101"/>
      <c r="G101"/>
      <c r="I101" t="str">
        <f t="shared" ca="1" si="6"/>
        <v/>
      </c>
      <c r="J101" s="690" t="str">
        <f>IF($J$17=$A$146,"Encargos Sociais incidentes sobre a mão de obra","Administração Central")</f>
        <v>Administração Central</v>
      </c>
      <c r="K101" s="690"/>
      <c r="L101" s="690"/>
      <c r="M101" s="690"/>
      <c r="N101" s="690"/>
      <c r="O101" s="690"/>
      <c r="P101" s="690"/>
      <c r="Q101" s="690"/>
      <c r="R101" s="61" t="str">
        <f>IF($J97=$A$146,"K1","AC")</f>
        <v>AC</v>
      </c>
      <c r="S101" s="62"/>
      <c r="T101" s="630" t="str">
        <f ca="1">IF(AND($U$14&lt;&gt;"",S101=""),"◄","")</f>
        <v/>
      </c>
      <c r="U101" s="691" t="str">
        <f>IFERROR(IF(AND(S101&gt;=X101,S101&lt;=Z101),"OK","FORA DO INTERVALO"),"-")</f>
        <v>-</v>
      </c>
      <c r="V101" s="692"/>
      <c r="W101" s="693"/>
      <c r="X101" s="63" t="e">
        <f>VLOOKUP(CONCATENATE(J97,"-",R101),$C$2:$G$136,3,FALSE)</f>
        <v>#N/A</v>
      </c>
      <c r="Y101" s="63" t="e">
        <f>VLOOKUP(CONCATENATE(J97,"-",R101),$C$2:$G$136,4,FALSE)</f>
        <v>#N/A</v>
      </c>
      <c r="Z101" s="63" t="e">
        <f>VLOOKUP(CONCATENATE(J97,"-",R101),$C$2:$G$136,5,FALSE)</f>
        <v>#N/A</v>
      </c>
    </row>
    <row r="102" spans="1:26" ht="15" hidden="1" customHeight="1" x14ac:dyDescent="0.2">
      <c r="A102"/>
      <c r="B102"/>
      <c r="C102"/>
      <c r="D102"/>
      <c r="E102"/>
      <c r="F102"/>
      <c r="G102"/>
      <c r="I102" t="str">
        <f t="shared" ca="1" si="6"/>
        <v/>
      </c>
      <c r="J102" s="690" t="str">
        <f>IF($J$17=$A$146,"Administração Central da empresa ou consultoria - overhead","Seguro e Garantia")</f>
        <v>Seguro e Garantia</v>
      </c>
      <c r="K102" s="690"/>
      <c r="L102" s="690"/>
      <c r="M102" s="690"/>
      <c r="N102" s="690"/>
      <c r="O102" s="690"/>
      <c r="P102" s="690"/>
      <c r="Q102" s="690"/>
      <c r="R102" s="61" t="str">
        <f>IF($J97=$A$146,"K2","SG")</f>
        <v>SG</v>
      </c>
      <c r="S102" s="62"/>
      <c r="T102" s="630" t="str">
        <f t="shared" ref="T102:T106" ca="1" si="7">IF(AND($U$14&lt;&gt;"",S102=""),"◄","")</f>
        <v/>
      </c>
      <c r="U102" s="691" t="str">
        <f t="shared" ref="U102:U107" si="8">IFERROR(IF(AND(S102&gt;=X102,S102&lt;=Z102),"OK","FORA DO INTERVALO"),"-")</f>
        <v>-</v>
      </c>
      <c r="V102" s="692"/>
      <c r="W102" s="693"/>
      <c r="X102" s="63" t="e">
        <f>VLOOKUP(CONCATENATE(J97,"-",R102),$C$2:$G$136,3,FALSE)</f>
        <v>#N/A</v>
      </c>
      <c r="Y102" s="63" t="e">
        <f>VLOOKUP(CONCATENATE(J97,"-",R102),$C$2:$G$136,4,FALSE)</f>
        <v>#N/A</v>
      </c>
      <c r="Z102" s="63" t="e">
        <f>VLOOKUP(CONCATENATE(J97,"-",R102),$C$2:$G$136,5,FALSE)</f>
        <v>#N/A</v>
      </c>
    </row>
    <row r="103" spans="1:26" ht="15" hidden="1" customHeight="1" x14ac:dyDescent="0.2">
      <c r="A103"/>
      <c r="B103"/>
      <c r="C103"/>
      <c r="D103"/>
      <c r="E103"/>
      <c r="F103"/>
      <c r="G103"/>
      <c r="I103" t="str">
        <f t="shared" ca="1" si="6"/>
        <v/>
      </c>
      <c r="J103" s="690" t="str">
        <f>IF($J$17=$A$146,"","Risco")</f>
        <v>Risco</v>
      </c>
      <c r="K103" s="690"/>
      <c r="L103" s="690"/>
      <c r="M103" s="690"/>
      <c r="N103" s="690"/>
      <c r="O103" s="690"/>
      <c r="P103" s="690"/>
      <c r="Q103" s="690"/>
      <c r="R103" s="61" t="str">
        <f>IF($J97=$A$146,"","R")</f>
        <v>R</v>
      </c>
      <c r="S103" s="62"/>
      <c r="T103" s="630" t="str">
        <f t="shared" ca="1" si="7"/>
        <v/>
      </c>
      <c r="U103" s="691" t="str">
        <f t="shared" si="8"/>
        <v>-</v>
      </c>
      <c r="V103" s="692"/>
      <c r="W103" s="693"/>
      <c r="X103" s="63" t="e">
        <f>VLOOKUP(CONCATENATE(J97,"-",R103),$C$2:$G$136,3,FALSE)</f>
        <v>#N/A</v>
      </c>
      <c r="Y103" s="63" t="e">
        <f>VLOOKUP(CONCATENATE(J97,"-",R103),$C$2:$G$136,4,FALSE)</f>
        <v>#N/A</v>
      </c>
      <c r="Z103" s="63" t="e">
        <f>VLOOKUP(CONCATENATE(J97,"-",R103),$C$2:$G$136,5,FALSE)</f>
        <v>#N/A</v>
      </c>
    </row>
    <row r="104" spans="1:26" ht="15" hidden="1" customHeight="1" x14ac:dyDescent="0.2">
      <c r="A104"/>
      <c r="B104"/>
      <c r="C104"/>
      <c r="D104"/>
      <c r="E104"/>
      <c r="F104"/>
      <c r="G104"/>
      <c r="I104" t="str">
        <f t="shared" ca="1" si="6"/>
        <v/>
      </c>
      <c r="J104" s="690" t="str">
        <f>IF($J$17=$A$146,"","Despesas Financeiras")</f>
        <v>Despesas Financeiras</v>
      </c>
      <c r="K104" s="690"/>
      <c r="L104" s="690"/>
      <c r="M104" s="690"/>
      <c r="N104" s="690"/>
      <c r="O104" s="690"/>
      <c r="P104" s="690"/>
      <c r="Q104" s="690"/>
      <c r="R104" s="61" t="str">
        <f>IF($J97=$A$146,"","DF")</f>
        <v>DF</v>
      </c>
      <c r="S104" s="62"/>
      <c r="T104" s="630" t="str">
        <f t="shared" ca="1" si="7"/>
        <v/>
      </c>
      <c r="U104" s="691" t="str">
        <f t="shared" si="8"/>
        <v>-</v>
      </c>
      <c r="V104" s="692"/>
      <c r="W104" s="693"/>
      <c r="X104" s="63" t="e">
        <f>VLOOKUP(CONCATENATE(J97,"-",R104),$C$2:$G$136,3,FALSE)</f>
        <v>#N/A</v>
      </c>
      <c r="Y104" s="63" t="e">
        <f>VLOOKUP(CONCATENATE(J97,"-",R104),$C$2:$G$136,4,FALSE)</f>
        <v>#N/A</v>
      </c>
      <c r="Z104" s="63" t="e">
        <f>VLOOKUP(CONCATENATE(J97,"-",R104),$C$2:$G$136,5,FALSE)</f>
        <v>#N/A</v>
      </c>
    </row>
    <row r="105" spans="1:26" ht="15" hidden="1" customHeight="1" x14ac:dyDescent="0.2">
      <c r="A105"/>
      <c r="B105"/>
      <c r="C105"/>
      <c r="D105"/>
      <c r="E105"/>
      <c r="F105"/>
      <c r="G105"/>
      <c r="I105" t="str">
        <f t="shared" ca="1" si="6"/>
        <v/>
      </c>
      <c r="J105" s="690" t="str">
        <f>IF($J$17=$A$146,"Margem bruta da empresa de consultoria","Lucro")</f>
        <v>Lucro</v>
      </c>
      <c r="K105" s="690"/>
      <c r="L105" s="690"/>
      <c r="M105" s="690"/>
      <c r="N105" s="690"/>
      <c r="O105" s="690"/>
      <c r="P105" s="690"/>
      <c r="Q105" s="690"/>
      <c r="R105" s="61" t="str">
        <f>IF($J97=$A$146,"K3","L")</f>
        <v>L</v>
      </c>
      <c r="S105" s="62"/>
      <c r="T105" s="630" t="str">
        <f t="shared" ca="1" si="7"/>
        <v/>
      </c>
      <c r="U105" s="691" t="str">
        <f t="shared" si="8"/>
        <v>-</v>
      </c>
      <c r="V105" s="692"/>
      <c r="W105" s="693"/>
      <c r="X105" s="63" t="e">
        <f>VLOOKUP(CONCATENATE(J97,"-",R105),$C$2:$G$136,3,FALSE)</f>
        <v>#N/A</v>
      </c>
      <c r="Y105" s="63" t="e">
        <f>VLOOKUP(CONCATENATE(J97,"-",R105),$C$2:$G$136,4,FALSE)</f>
        <v>#N/A</v>
      </c>
      <c r="Z105" s="63" t="e">
        <f>VLOOKUP(CONCATENATE(J97,"-",R105),$C$2:$G$136,5,FALSE)</f>
        <v>#N/A</v>
      </c>
    </row>
    <row r="106" spans="1:26" ht="15" hidden="1" customHeight="1" x14ac:dyDescent="0.2">
      <c r="A106"/>
      <c r="B106"/>
      <c r="C106"/>
      <c r="D106"/>
      <c r="E106"/>
      <c r="F106"/>
      <c r="G106"/>
      <c r="I106" t="str">
        <f t="shared" ca="1" si="6"/>
        <v/>
      </c>
      <c r="J106" s="690" t="s">
        <v>167</v>
      </c>
      <c r="K106" s="690"/>
      <c r="L106" s="690"/>
      <c r="M106" s="690"/>
      <c r="N106" s="690"/>
      <c r="O106" s="690"/>
      <c r="P106" s="690"/>
      <c r="Q106" s="690"/>
      <c r="R106" s="61" t="s">
        <v>168</v>
      </c>
      <c r="S106" s="62"/>
      <c r="T106" s="630" t="str">
        <f t="shared" ca="1" si="7"/>
        <v/>
      </c>
      <c r="U106" s="691" t="str">
        <f t="shared" si="8"/>
        <v>FORA DO INTERVALO</v>
      </c>
      <c r="V106" s="692"/>
      <c r="W106" s="693"/>
      <c r="X106" s="63">
        <v>3.6499999999999998E-2</v>
      </c>
      <c r="Y106" s="63">
        <v>3.6499999999999998E-2</v>
      </c>
      <c r="Z106" s="63">
        <v>3.6499999999999998E-2</v>
      </c>
    </row>
    <row r="107" spans="1:26" ht="15" hidden="1" customHeight="1" x14ac:dyDescent="0.2">
      <c r="A107"/>
      <c r="B107"/>
      <c r="C107"/>
      <c r="D107"/>
      <c r="E107"/>
      <c r="F107"/>
      <c r="G107"/>
      <c r="I107" t="str">
        <f t="shared" ca="1" si="6"/>
        <v/>
      </c>
      <c r="J107" s="690" t="s">
        <v>169</v>
      </c>
      <c r="K107" s="690"/>
      <c r="L107" s="690"/>
      <c r="M107" s="690"/>
      <c r="N107" s="690"/>
      <c r="O107" s="690"/>
      <c r="P107" s="690"/>
      <c r="Q107" s="690"/>
      <c r="R107" s="61" t="s">
        <v>170</v>
      </c>
      <c r="S107" s="63">
        <f ca="1">IF(AND($J97&lt;&gt;$A$145,COUNTA(OFFSET(S100,1,0,6))&gt;0),$R$11*$R$10,0)</f>
        <v>0</v>
      </c>
      <c r="U107" s="691" t="str">
        <f t="shared" ca="1" si="8"/>
        <v>OK</v>
      </c>
      <c r="V107" s="692"/>
      <c r="W107" s="693"/>
      <c r="X107" s="63">
        <v>0</v>
      </c>
      <c r="Y107" s="63">
        <v>2.5000000000000001E-2</v>
      </c>
      <c r="Z107" s="63">
        <v>0.05</v>
      </c>
    </row>
    <row r="108" spans="1:26" ht="15" hidden="1" customHeight="1" x14ac:dyDescent="0.2">
      <c r="A108"/>
      <c r="B108"/>
      <c r="C108"/>
      <c r="D108"/>
      <c r="E108"/>
      <c r="F108"/>
      <c r="G108"/>
      <c r="I108" t="str">
        <f t="shared" ca="1" si="6"/>
        <v/>
      </c>
      <c r="J108" s="690" t="s">
        <v>427</v>
      </c>
      <c r="K108" s="690"/>
      <c r="L108" s="690"/>
      <c r="M108" s="690"/>
      <c r="N108" s="690"/>
      <c r="O108" s="690"/>
      <c r="P108" s="690"/>
      <c r="Q108" s="690"/>
      <c r="R108" s="61" t="s">
        <v>171</v>
      </c>
      <c r="S108" s="63" cm="1">
        <f t="array" aca="1" ref="S108" ca="1">IF(BDI.Opcao&lt;&gt;"Desonerado",0,IF(AND($J97&lt;&gt;$A$145,COUNTA(OFFSET(S100,1,0,6))&gt;0),IF(YEAR(Import.DataBase)&lt;2025,4.5%,IF(YEAR(Import.DataBase)=2025,3.6%,IF(YEAR(Import.DataBase)=2026,2.7%,IF(YEAR(Import.DataBase)=2027,1.8%,0%)))),0%))</f>
        <v>0</v>
      </c>
      <c r="U108" s="691" t="s">
        <v>914</v>
      </c>
      <c r="V108" s="692"/>
      <c r="W108" s="693"/>
      <c r="X108" s="64">
        <f ca="1">$S108</f>
        <v>0</v>
      </c>
      <c r="Y108" s="64">
        <f ca="1">$S108</f>
        <v>0</v>
      </c>
      <c r="Z108" s="64">
        <f ca="1">$S108</f>
        <v>0</v>
      </c>
    </row>
    <row r="109" spans="1:26" ht="15" hidden="1" customHeight="1" x14ac:dyDescent="0.2">
      <c r="A109"/>
      <c r="B109"/>
      <c r="C109"/>
      <c r="D109"/>
      <c r="E109"/>
      <c r="F109"/>
      <c r="G109"/>
      <c r="I109" t="str">
        <f t="shared" ca="1" si="6"/>
        <v/>
      </c>
      <c r="J109" s="690" t="s">
        <v>172</v>
      </c>
      <c r="K109" s="690"/>
      <c r="L109" s="690"/>
      <c r="M109" s="690"/>
      <c r="N109" s="690"/>
      <c r="O109" s="690"/>
      <c r="P109" s="690"/>
      <c r="Q109" s="690"/>
      <c r="R109" s="65" t="s">
        <v>149</v>
      </c>
      <c r="S109" s="63">
        <f ca="1">IF($J97=$A$145,0,ROUND((((1+S101+S102+S103)*(1+S104)*(1+S105)/(1-(S106+S107)))-1),4))</f>
        <v>0</v>
      </c>
      <c r="U109" s="694" t="str">
        <f ca="1">IFERROR(IF(OR($J$17=$A$146,$J$17=$A$145,AND(S109&gt;=X109,S109&lt;=Z109)),"OK","FORA DO INTERVALO"),IF(S109=0,"OK","Selecione o Tipo de obra"))</f>
        <v>OK</v>
      </c>
      <c r="V109" s="694"/>
      <c r="W109" s="694"/>
      <c r="X109" s="63" t="e">
        <f>IF($J97=$A$145,0,VLOOKUP(CONCATENATE($J97,"-",$R109),$C$2:$G$136,3,FALSE))</f>
        <v>#N/A</v>
      </c>
      <c r="Y109" s="63" t="e">
        <f>IF($J97=$A$145,0,VLOOKUP(CONCATENATE($J97,"-",$R109),$C$2:$G$136,4,FALSE))</f>
        <v>#N/A</v>
      </c>
      <c r="Z109" s="63" t="e">
        <f>IF($J97=$A$145,0,VLOOKUP(CONCATENATE($J97,"-",$R109),$C$2:$G$136,5,FALSE))</f>
        <v>#N/A</v>
      </c>
    </row>
    <row r="110" spans="1:26" ht="15" hidden="1" customHeight="1" x14ac:dyDescent="0.2">
      <c r="A110"/>
      <c r="B110"/>
      <c r="C110"/>
      <c r="D110"/>
      <c r="E110"/>
      <c r="F110"/>
      <c r="G110"/>
      <c r="I110" t="str">
        <f t="shared" ca="1" si="6"/>
        <v/>
      </c>
      <c r="J110" s="695" t="s">
        <v>173</v>
      </c>
      <c r="K110" s="695"/>
      <c r="L110" s="695"/>
      <c r="M110" s="695"/>
      <c r="N110" s="695"/>
      <c r="O110" s="695"/>
      <c r="P110" s="695"/>
      <c r="Q110" s="695"/>
      <c r="R110" s="66" t="s">
        <v>174</v>
      </c>
      <c r="S110" s="67">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8" t="str">
        <f ca="1">IF(U109&lt;&gt;"ok","X","")</f>
        <v/>
      </c>
      <c r="K112" s="696" t="str">
        <f ca="1">IF(U109&lt;&gt;"ok","Anexo: Relatório Técnico Circunstanciado justificando a adoção do percentual de cada parcela do BDI.","")</f>
        <v/>
      </c>
      <c r="L112" s="696"/>
      <c r="M112" s="696"/>
      <c r="N112" s="696"/>
      <c r="O112" s="696"/>
      <c r="P112" s="696"/>
      <c r="Q112" s="696"/>
      <c r="R112" s="696"/>
      <c r="S112" s="696"/>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697" t="s">
        <v>176</v>
      </c>
      <c r="K114" s="697"/>
      <c r="L114" s="697"/>
      <c r="M114" s="697"/>
      <c r="N114" s="697"/>
      <c r="O114" s="697"/>
      <c r="P114" s="697"/>
      <c r="Q114" s="697"/>
      <c r="R114" s="697"/>
      <c r="S114" s="697"/>
    </row>
    <row r="115" spans="1:19" ht="15.75" hidden="1" x14ac:dyDescent="0.25">
      <c r="A115"/>
      <c r="B115"/>
      <c r="C115"/>
      <c r="D115"/>
      <c r="E115"/>
      <c r="F115"/>
      <c r="G115"/>
      <c r="I115" t="str">
        <f t="shared" ca="1" si="6"/>
        <v/>
      </c>
      <c r="J115" s="69"/>
      <c r="K115" s="69"/>
      <c r="L115" s="69"/>
      <c r="M115" s="698" t="s">
        <v>177</v>
      </c>
      <c r="N115" s="699" t="str">
        <f>IF($J97=$A$146,"(1+K1+K2)*(1+K3)","(1+AC + S + R + G)*(1 + DF)*(1+L)")</f>
        <v>(1+AC + S + R + G)*(1 + DF)*(1+L)</v>
      </c>
      <c r="O115" s="699"/>
      <c r="P115" s="699"/>
      <c r="Q115" s="700" t="s">
        <v>178</v>
      </c>
      <c r="R115" s="69"/>
      <c r="S115" s="69"/>
    </row>
    <row r="116" spans="1:19" ht="15.75" hidden="1" x14ac:dyDescent="0.2">
      <c r="A116"/>
      <c r="B116"/>
      <c r="C116"/>
      <c r="D116"/>
      <c r="E116"/>
      <c r="F116"/>
      <c r="G116"/>
      <c r="I116" t="str">
        <f t="shared" ca="1" si="6"/>
        <v/>
      </c>
      <c r="J116" s="69"/>
      <c r="K116" s="69"/>
      <c r="L116" s="69"/>
      <c r="M116" s="698"/>
      <c r="N116" s="689" t="s">
        <v>179</v>
      </c>
      <c r="O116" s="689"/>
      <c r="P116" s="689"/>
      <c r="Q116" s="700"/>
      <c r="R116" s="69"/>
      <c r="S116" s="69"/>
    </row>
    <row r="117" spans="1:19" ht="15" hidden="1" customHeight="1" x14ac:dyDescent="0.2">
      <c r="A117"/>
      <c r="B117"/>
      <c r="C117"/>
      <c r="D117"/>
      <c r="E117"/>
      <c r="F117"/>
      <c r="G117"/>
      <c r="I117" t="str">
        <f t="shared" ca="1" si="6"/>
        <v/>
      </c>
      <c r="J117" s="69"/>
      <c r="K117" s="69"/>
      <c r="L117" s="69"/>
      <c r="M117" s="70"/>
      <c r="N117" s="72"/>
      <c r="O117" s="72"/>
      <c r="P117" s="72"/>
      <c r="Q117" s="71"/>
      <c r="R117" s="69"/>
      <c r="S117" s="69"/>
    </row>
    <row r="118" spans="1:19" ht="50.1" hidden="1" customHeight="1" x14ac:dyDescent="0.2">
      <c r="A118"/>
      <c r="B118"/>
      <c r="C118"/>
      <c r="D118"/>
      <c r="E118"/>
      <c r="F118"/>
      <c r="G118"/>
      <c r="I118" t="str">
        <f t="shared" ca="1" si="6"/>
        <v/>
      </c>
      <c r="J11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83"/>
      <c r="L118" s="683"/>
      <c r="M118" s="683"/>
      <c r="N118" s="683"/>
      <c r="O118" s="683"/>
      <c r="P118" s="683"/>
      <c r="Q118" s="683"/>
      <c r="R118" s="683"/>
      <c r="S118" s="683"/>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8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83"/>
      <c r="L120" s="683"/>
      <c r="M120" s="683"/>
      <c r="N120" s="683"/>
      <c r="O120" s="683"/>
      <c r="P120" s="683"/>
      <c r="Q120" s="683"/>
      <c r="R120" s="683"/>
      <c r="S120" s="683"/>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50" t="s">
        <v>185</v>
      </c>
    </row>
    <row r="123" spans="1:19" ht="110.1" hidden="1" customHeight="1" x14ac:dyDescent="0.2">
      <c r="A123"/>
      <c r="B123"/>
      <c r="C123"/>
      <c r="D123"/>
      <c r="E123"/>
      <c r="F123"/>
      <c r="G123"/>
      <c r="I123" t="str">
        <f t="shared" ca="1" si="6"/>
        <v/>
      </c>
      <c r="J123" s="684"/>
      <c r="K123" s="684"/>
      <c r="L123" s="684"/>
      <c r="M123" s="684"/>
      <c r="N123" s="684"/>
      <c r="O123" s="684"/>
      <c r="P123" s="684"/>
      <c r="Q123" s="684"/>
      <c r="R123" s="684"/>
      <c r="S123" s="684"/>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685" t="str">
        <f>Import.Município</f>
        <v>SARANDI/RS</v>
      </c>
      <c r="K125" s="685"/>
      <c r="L125" s="685"/>
      <c r="M125" s="685"/>
      <c r="P125" s="686">
        <f>DADOS!$C$25</f>
        <v>46161</v>
      </c>
      <c r="Q125" s="686"/>
      <c r="R125" s="686"/>
      <c r="S125" s="686"/>
    </row>
    <row r="126" spans="1:19" hidden="1" x14ac:dyDescent="0.2">
      <c r="A126"/>
      <c r="B126"/>
      <c r="C126"/>
      <c r="D126"/>
      <c r="E126"/>
      <c r="F126"/>
      <c r="G126"/>
      <c r="I126" t="str">
        <f t="shared" ca="1" si="6"/>
        <v/>
      </c>
      <c r="J126" s="687" t="s">
        <v>186</v>
      </c>
      <c r="K126" s="687"/>
      <c r="L126" s="687"/>
      <c r="M126" s="687"/>
      <c r="O126" s="74"/>
      <c r="P126" s="75" t="s">
        <v>187</v>
      </c>
      <c r="Q126" s="76"/>
      <c r="R126" s="76"/>
      <c r="S126" s="76"/>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688"/>
      <c r="K128" s="688"/>
      <c r="L128" s="688"/>
      <c r="M128" s="688"/>
      <c r="N128" s="77"/>
    </row>
    <row r="129" spans="1:14" hidden="1" x14ac:dyDescent="0.2">
      <c r="A129"/>
      <c r="B129"/>
      <c r="C129"/>
      <c r="D129"/>
      <c r="E129"/>
      <c r="F129"/>
      <c r="G129"/>
      <c r="I129" t="str">
        <f t="shared" ca="1" si="6"/>
        <v/>
      </c>
      <c r="J129" s="682" t="s">
        <v>188</v>
      </c>
      <c r="K129" s="682"/>
      <c r="L129" s="682"/>
      <c r="M129" s="682"/>
    </row>
    <row r="130" spans="1:14" ht="14.25" hidden="1" x14ac:dyDescent="0.2">
      <c r="A130"/>
      <c r="B130"/>
      <c r="C130"/>
      <c r="D130"/>
      <c r="E130"/>
      <c r="F130"/>
      <c r="G130"/>
      <c r="I130" t="str">
        <f t="shared" ca="1" si="6"/>
        <v/>
      </c>
      <c r="J130" s="78" t="s">
        <v>108</v>
      </c>
      <c r="K130" s="79" t="str">
        <f t="array" ref="K130:K132">Import.RespOrçamento</f>
        <v xml:space="preserve">MARCIELE FLORES </v>
      </c>
      <c r="L130" s="80"/>
      <c r="M130" s="80"/>
      <c r="N130" s="77"/>
    </row>
    <row r="131" spans="1:14" ht="14.25" hidden="1" x14ac:dyDescent="0.2">
      <c r="A131"/>
      <c r="B131"/>
      <c r="C131"/>
      <c r="D131"/>
      <c r="E131"/>
      <c r="F131"/>
      <c r="G131"/>
      <c r="I131" t="str">
        <f t="shared" ca="1" si="6"/>
        <v/>
      </c>
      <c r="J131" s="78" t="s">
        <v>109</v>
      </c>
      <c r="K131" s="79" t="str">
        <v>CREA/RS 268.201</v>
      </c>
      <c r="L131" s="80"/>
      <c r="M131" s="80"/>
      <c r="N131" s="77"/>
    </row>
    <row r="132" spans="1:14" ht="14.25" hidden="1" x14ac:dyDescent="0.2">
      <c r="A132"/>
      <c r="B132"/>
      <c r="C132"/>
      <c r="D132"/>
      <c r="E132"/>
      <c r="F132"/>
      <c r="G132"/>
      <c r="I132" t="str">
        <f t="shared" ca="1" si="6"/>
        <v/>
      </c>
      <c r="J132" s="78" t="s">
        <v>110</v>
      </c>
      <c r="K132" s="79" t="str">
        <v>0</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396</v>
      </c>
    </row>
    <row r="139" spans="1:14" x14ac:dyDescent="0.2">
      <c r="A139" s="50" t="s">
        <v>140</v>
      </c>
    </row>
    <row r="140" spans="1:14" x14ac:dyDescent="0.2">
      <c r="A140" s="50" t="s">
        <v>151</v>
      </c>
    </row>
    <row r="141" spans="1:14" x14ac:dyDescent="0.2">
      <c r="A141" s="50" t="s">
        <v>154</v>
      </c>
    </row>
    <row r="142" spans="1:14" x14ac:dyDescent="0.2">
      <c r="A142" s="50" t="s">
        <v>164</v>
      </c>
    </row>
    <row r="143" spans="1:14" x14ac:dyDescent="0.2">
      <c r="A143" s="50" t="s">
        <v>166</v>
      </c>
    </row>
    <row r="144" spans="1:14" x14ac:dyDescent="0.2">
      <c r="A144" s="50" t="s">
        <v>175</v>
      </c>
    </row>
    <row r="145" spans="1:1" x14ac:dyDescent="0.2">
      <c r="A145" s="50" t="s">
        <v>180</v>
      </c>
    </row>
    <row r="146" spans="1:1" x14ac:dyDescent="0.2">
      <c r="A146" s="50" t="s">
        <v>181</v>
      </c>
    </row>
  </sheetData>
  <sheetProtection algorithmName="SHA-512" hashValue="9OkcK23mw4t7cLsuq6b+DU0/xGex6x2tI0DPm61JtTbDngPG4XqVm4/rlhDIlQeiX2cHEhbFwJbvDMaltpjZoA==" saltValue="lyaOW5qNQ0InU0cLvk3rgg=="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13" priority="2" stopIfTrue="1">
      <formula>DESONERACAO="não"</formula>
    </cfRule>
  </conditionalFormatting>
  <conditionalFormatting sqref="U69:W69 U109:W109 U29:W29">
    <cfRule type="expression" dxfId="312" priority="3" stopIfTrue="1">
      <formula>AND(U29&lt;&gt;"OK",U29&lt;&gt;"-",U29&lt;&gt;"")</formula>
    </cfRule>
    <cfRule type="cellIs" dxfId="311" priority="4" stopIfTrue="1" operator="equal">
      <formula>"OK"</formula>
    </cfRule>
  </conditionalFormatting>
  <conditionalFormatting sqref="S29 S69 S109">
    <cfRule type="expression" dxfId="310"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&amp;LPMv3.08&amp;R&amp;P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106"/>
  <sheetViews>
    <sheetView showGridLines="0" tabSelected="1" zoomScaleNormal="100" zoomScaleSheetLayoutView="90" workbookViewId="0">
      <pane xSplit="19" ySplit="15" topLeftCell="T77" activePane="bottomRight" state="frozen"/>
      <selection activeCell="L1" sqref="L1"/>
      <selection pane="topRight" activeCell="T1" sqref="T1"/>
      <selection pane="bottomLeft" activeCell="L16" sqref="L16"/>
      <selection pane="bottomRight" activeCell="X84" sqref="X84"/>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2"/>
      <c r="N1" s="82"/>
      <c r="R1" s="83" t="s">
        <v>191</v>
      </c>
      <c r="T1" s="83"/>
      <c r="X1" s="53" t="s">
        <v>139</v>
      </c>
      <c r="Y1" s="7"/>
      <c r="Z1" s="7"/>
      <c r="AA1" s="7"/>
      <c r="AB1" s="7"/>
    </row>
    <row r="2" spans="1:40" ht="15" x14ac:dyDescent="0.2">
      <c r="D2" t="s">
        <v>192</v>
      </c>
      <c r="E2" t="s">
        <v>193</v>
      </c>
      <c r="F2" t="s">
        <v>194</v>
      </c>
      <c r="G2" t="s">
        <v>195</v>
      </c>
      <c r="H2" t="s">
        <v>196</v>
      </c>
      <c r="I2" t="s">
        <v>197</v>
      </c>
      <c r="R2" s="84" t="str">
        <f>IF(TIPOORCAMENTO="licitado","Orçamento Licitado","Orçamento Base para Licitação")&amp;" - "&amp;import.recurso</f>
        <v>Orçamento Base para Licitação - OGU</v>
      </c>
      <c r="X2" s="12" t="s">
        <v>142</v>
      </c>
      <c r="Y2" s="85"/>
      <c r="Z2" s="85"/>
      <c r="AA2" s="85"/>
      <c r="AB2" s="85"/>
    </row>
    <row r="3" spans="1:40" x14ac:dyDescent="0.2">
      <c r="H3" s="86"/>
      <c r="R3" s="87"/>
    </row>
    <row r="4" spans="1:40" x14ac:dyDescent="0.2">
      <c r="A4" t="s">
        <v>199</v>
      </c>
      <c r="F4" t="s">
        <v>155</v>
      </c>
      <c r="G4" t="s">
        <v>189</v>
      </c>
      <c r="H4" t="s">
        <v>190</v>
      </c>
      <c r="I4" s="88">
        <v>0</v>
      </c>
      <c r="O4" s="662" t="s">
        <v>145</v>
      </c>
      <c r="P4" s="662"/>
      <c r="Q4" s="89" t="s">
        <v>422</v>
      </c>
      <c r="R4" s="89" t="s">
        <v>146</v>
      </c>
      <c r="S4" s="662" t="s">
        <v>200</v>
      </c>
      <c r="T4" s="662"/>
      <c r="U4" s="662"/>
      <c r="V4" s="662"/>
      <c r="W4" s="662"/>
      <c r="X4" s="662"/>
      <c r="Y4" s="78"/>
      <c r="Z4" s="78"/>
      <c r="AA4" s="78"/>
      <c r="AB4" s="78"/>
    </row>
    <row r="5" spans="1:40" ht="12.75" customHeight="1" x14ac:dyDescent="0.2">
      <c r="A5" s="7">
        <f ca="1">MAX($C$15:$C$89)</f>
        <v>2</v>
      </c>
      <c r="B5" s="7"/>
      <c r="C5" s="7"/>
      <c r="F5" s="88">
        <f ca="1">IF(BDI.Opcao="DESONERADO",BDI!$S$30,BDI!$S$29)</f>
        <v>0.26329999999999998</v>
      </c>
      <c r="G5" s="88">
        <f ca="1">IF(BDI.Opcao="DESONERADO",BDI!$S$70,BDI!$S$69)</f>
        <v>0</v>
      </c>
      <c r="H5" s="88">
        <f ca="1">IF(BDI.Opcao="DESONERADO",BDI!$S$110,BDI!$S$109)</f>
        <v>0</v>
      </c>
      <c r="O5" s="668" t="str">
        <f>Import.CR</f>
        <v>000000-00</v>
      </c>
      <c r="P5" s="668"/>
      <c r="Q5" s="92" t="str" cm="1">
        <f t="array" ref="Q5">Import.TransfereGOV</f>
        <v>000000</v>
      </c>
      <c r="R5" s="93" t="str">
        <f>Import.Proponente</f>
        <v>PREFEITURA MUNICIPAL DE SARANDI/RS</v>
      </c>
      <c r="S5" s="668" t="str">
        <f>Import.Apelido</f>
        <v>PAVILHÃO COMUNITÁRIO COMUNIDADE ÁREA 10</v>
      </c>
      <c r="T5" s="668"/>
      <c r="U5" s="668"/>
      <c r="V5" s="668"/>
      <c r="W5" s="668"/>
      <c r="X5" s="668"/>
      <c r="Y5" s="94"/>
      <c r="Z5" s="94"/>
      <c r="AA5" s="94"/>
      <c r="AB5" s="94"/>
      <c r="AE5" s="661" t="s">
        <v>198</v>
      </c>
      <c r="AF5" s="661"/>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62" t="s">
        <v>202</v>
      </c>
      <c r="P7" s="662"/>
      <c r="Q7" s="89" t="s">
        <v>203</v>
      </c>
      <c r="R7" s="89" t="str">
        <f>IF(TIPOORCAMENTO="Licitado","NOME DA EMPRESA","DESCRIÇÃO DO LOTE")</f>
        <v>DESCRIÇÃO DO LOTE</v>
      </c>
      <c r="S7" s="663" t="str">
        <f>IF(TIPOORCAMENTO="Licitado","REGIME DE EXECUÇÃO","MUNICÍPIO / UF")</f>
        <v>MUNICÍPIO / UF</v>
      </c>
      <c r="T7" s="663"/>
      <c r="U7" s="663"/>
      <c r="V7" s="99" t="str">
        <f>IF(TIPOORCAMENTO="Licitado","","BDI 1")</f>
        <v>BDI 1</v>
      </c>
      <c r="W7" s="99" t="str">
        <f>IF(TIPOORCAMENTO="Licitado","","BDI 2")</f>
        <v>BDI 2</v>
      </c>
      <c r="X7" s="100" t="str">
        <f>IF(TIPOORCAMENTO="Licitado","Nº CTEF","BDI 3")</f>
        <v>BDI 3</v>
      </c>
      <c r="Y7" s="99"/>
      <c r="Z7" s="99"/>
      <c r="AE7" s="90" t="s">
        <v>201</v>
      </c>
      <c r="AF7" s="91" t="b">
        <v>1</v>
      </c>
      <c r="AJ7" s="667" t="s">
        <v>205</v>
      </c>
      <c r="AL7" s="664" t="s">
        <v>206</v>
      </c>
    </row>
    <row r="8" spans="1:40" ht="12.75" customHeight="1" x14ac:dyDescent="0.2">
      <c r="A8" s="7"/>
      <c r="B8" s="7"/>
      <c r="C8" s="7"/>
      <c r="F8" s="669" t="str">
        <f ca="1">IF(LEN(INFO("release"))&gt;5,"'Referência "&amp;Excel_BuiltIn_Database&amp;".xlsm'#Banco.$a5:$a$65536","'[Referência "&amp;Excel_BuiltIn_Database&amp;".xlsm]Banco'!$a5:$a$65536")</f>
        <v>'[Referência 04-2026.xlsm]Banco'!$a5:$a$65536</v>
      </c>
      <c r="G8" s="669"/>
      <c r="H8" s="669"/>
      <c r="I8" s="669"/>
      <c r="J8" s="669"/>
      <c r="K8" s="669"/>
      <c r="L8" s="665" t="s">
        <v>207</v>
      </c>
      <c r="O8" s="668" t="str">
        <f ca="1">IF(ISERROR(INDIRECT($F$9)),"(N/D: 'Referência "&amp;Excel_BuiltIn_Database&amp;".xlsm)",INDIRECT($F$9))</f>
        <v>(N/D: 'Referência 04-2026.xlsm)</v>
      </c>
      <c r="P8" s="668"/>
      <c r="Q8" s="101" t="str">
        <f ca="1">TEXT(Import.DataBase,"mm-aa")&amp;IF(DESONERACAO="Sim"," (DES.)"," (N DES.)")</f>
        <v>04-26 (DES.)</v>
      </c>
      <c r="R8" s="93" t="str">
        <f>IF(TIPOORCAMENTO="Licitado",Import.empresa,Import.DescLote)</f>
        <v>PAVILHÃO COMUNITÁRIO COMUNIDADE ÁREA 10</v>
      </c>
      <c r="S8" s="670" t="str">
        <f>IF(TIPOORCAMENTO="Licitado",Import.RegimeExecução,Import.Município)</f>
        <v>SARANDI/RS</v>
      </c>
      <c r="T8" s="670"/>
      <c r="U8" s="670"/>
      <c r="V8" s="102" t="str">
        <f ca="1">IF(TIPOORCAMENTO="Licitado","",TEXT(F5,"0,00%"))</f>
        <v>26,33%</v>
      </c>
      <c r="W8" s="102" t="str">
        <f ca="1">IF(TIPOORCAMENTO="Licitado","",TEXT(G5,"0,00%"))</f>
        <v>0,00%</v>
      </c>
      <c r="X8" s="103" t="str">
        <f ca="1">IF(TIPOORCAMENTO="Licitado",Import.CTEF,TEXT(H5,"0,00%"))</f>
        <v>0,00%</v>
      </c>
      <c r="Y8" s="665" t="s">
        <v>208</v>
      </c>
      <c r="Z8" s="665" t="s">
        <v>209</v>
      </c>
      <c r="AA8" s="104"/>
      <c r="AB8" s="104"/>
      <c r="AE8" s="90" t="s">
        <v>204</v>
      </c>
      <c r="AF8" s="91" t="b">
        <v>1</v>
      </c>
      <c r="AJ8" s="667"/>
      <c r="AL8" s="664"/>
    </row>
    <row r="9" spans="1:40" ht="12.75" customHeight="1" x14ac:dyDescent="0.2">
      <c r="F9" s="669" t="str">
        <f ca="1">IF(LEN(INFO("release"))&gt;5,"'Referência "&amp;Excel_BuiltIn_Database&amp;".xlsm'#Banco.$d$3","'[Referência "&amp;Excel_BuiltIn_Database&amp;".xlsm]Banco'!$d$3")</f>
        <v>'[Referência 04-2026.xlsm]Banco'!$d$3</v>
      </c>
      <c r="G9" s="669"/>
      <c r="H9" s="669"/>
      <c r="I9" s="669"/>
      <c r="J9" s="669"/>
      <c r="K9" s="669"/>
      <c r="L9" s="665"/>
      <c r="Y9" s="665"/>
      <c r="Z9" s="665"/>
      <c r="AE9" s="90" t="s">
        <v>210</v>
      </c>
      <c r="AF9" s="91" t="b">
        <v>1</v>
      </c>
      <c r="AJ9" s="667"/>
      <c r="AL9" s="664"/>
    </row>
    <row r="10" spans="1:40" x14ac:dyDescent="0.2">
      <c r="G10" s="86"/>
      <c r="H10" s="86"/>
      <c r="L10" s="665"/>
      <c r="Y10" s="665"/>
      <c r="Z10" s="665"/>
      <c r="AC10" s="105" t="s">
        <v>212</v>
      </c>
      <c r="AE10" s="90" t="s">
        <v>211</v>
      </c>
      <c r="AF10" s="91" t="b">
        <v>1</v>
      </c>
      <c r="AJ10" s="667"/>
      <c r="AL10" s="664"/>
    </row>
    <row r="11" spans="1:40" x14ac:dyDescent="0.2">
      <c r="G11" s="86"/>
      <c r="H11" s="106"/>
      <c r="L11" s="665"/>
      <c r="Y11" s="665"/>
      <c r="Z11" s="665"/>
      <c r="AC11" s="107" t="str">
        <f ca="1">IF(COUNTIFS($L$15:$L$89,"F",$AC$15:$AC$89,"&lt;&gt;"&amp;" ")&gt;0,"NÃO OK","OK")</f>
        <v>OK</v>
      </c>
      <c r="AE11" s="90" t="s">
        <v>213</v>
      </c>
      <c r="AF11" s="91" t="b">
        <v>1</v>
      </c>
      <c r="AJ11" s="667"/>
      <c r="AL11" s="664"/>
    </row>
    <row r="12" spans="1:40" ht="15" x14ac:dyDescent="0.25">
      <c r="G12" s="86"/>
      <c r="H12" s="86"/>
      <c r="L12" s="665"/>
      <c r="R12" s="628" t="str">
        <f ca="1">IF(COUNTIF($AC$15:$AC$89,"FONTE")&gt;0,"Falta preencher a Fonte (coluna P) na Linha "&amp;(14+MATCH("FONTE",$AC$15:$AC$89,0)),
 IF(COUNTIF($AC$15:$AC$89,"CÓDIGO")&gt;0,"Falta preencher o Código (coluna Q) na Linha "&amp;(14+MATCH("CÓDIGO",$AC$15:$AC$89,0)),
 IF(COUNTIF($AC$15:$AC$89,"DESCRIÇÃO")&gt;0,"Falta preencher a Descrição (coluna R) na Linha "&amp;(14+MATCH("DESCRIÇÃO",$AC$15:$AC$89,0)),
 IF(COUNTIF($AC$15:$AC$89,"UNIDADE")&gt;0,"Falta preencher a Unidade (coluna S) na Linha "&amp;(14+MATCH("UNIDADE",$AC$15:$AC$89,0)),
 IF(COUNTIF($AC$15:$AC$89,"SEM CUSTO")&gt;0,"Falta preencher o Custo Unitário (coluna U) na Linha "&amp;(14+MATCH("SEM CUSTO",$AC$15:$AC$89,0)),
 IF(COUNTIF($AC$15:$AC$89,"SEM PREÇO")&gt;0,"Falta preencher o Preço Unitário licitado (coluna AL) na Linha "&amp;(14+MATCH("SEM CUSTO",$AC$15:$AC$89,0)),
 IF(COUNTIF($AC$15:$AC$89,"BDI")&gt;0,"Falta definir o BDI (coluna V) na Linha "&amp;(14+MATCH("BDI",$AC$15:$AC$89,0)),
 IF(COUNTIF($AC$15:$AC$89,"ACIMA REF.")&gt;0,
         IF(TIPOORCAMENTO="Proposto","O custo unitário (coluna U) na Linha "&amp;(14+MATCH("ACIMA REF.",$AC$15:$AC$89,0))&amp;" está acima do custo referencial (coluna AG)",
            "O preço unitário licitado (coluna AL) na Linha "&amp;(14+MATCH("ACIMA REF.",$AC$15:$AC$89,0))&amp;" está acima do preço referencial do edital (coluna AN)"),
 IF(COUNTIF($AC$15:$AC$89,"QUANT.")&gt;0,"Falta a Quantidade do serviço na Linha "&amp;(14+MATCH("QUANT.",$AC$15:$AC$89,0))&amp;IF(ACOMPANHAMENTO="PLE",". Preencher na aba CÁLCULO",". Preencher na coluna AJ"),
 IF(COUNTIF($AC$15:$AC$89,"Código &gt;13")&gt;0,"O tamanho do código do serviço no TransfereGOV é limitado a 13 caracteres. Resuma o código (coluna Q) na Linha "&amp;(14+MATCH("Código &gt;13",$AC$15:$AC$89,0)),
 IF(COUNTIF($AC$15:$AC$89,"Descrição &gt;100")&gt;0,"O tamanho da descrição de macrosserviço no TransfereGOV é limitado a 100 caracteres. Resuma a descrição (coluna R) na Linha "&amp;(14+MATCH("Descrição &gt;100",$AC$15:$AC$89,0)),
 IF(COUNTIF($AC$15:$AC$89,"Descrição &gt;500")&gt;0,"O tamanho da descrição de serviço no TransfereGOV é limitado a 500 caracteres. Resuma a descrição (coluna R) na Linha "&amp;(14+MATCH("Descrição &gt;500",$AC$15:$AC$89,0)),
 IF(COUNTIF($AC$15:$AC$89,"Unid. Não Disp")&gt;0,"Unidade não disponível na lista do TransfereGOV. Reveja a unidade (coluna S) na Linha "&amp;(14+MATCH("Unid. Não Disp",$AC$15:$AC$89,0)),"")))))))))))))</f>
        <v>Falta preencher o Custo Unitário (coluna U) na Linha 18</v>
      </c>
      <c r="Y12" s="665"/>
      <c r="Z12" s="665"/>
      <c r="AA12" s="666" t="s">
        <v>214</v>
      </c>
      <c r="AB12" s="666"/>
      <c r="AJ12" s="108" t="s">
        <v>215</v>
      </c>
      <c r="AL12" s="490" t="s">
        <v>215</v>
      </c>
    </row>
    <row r="13" spans="1:40" ht="35.1" customHeight="1" x14ac:dyDescent="0.2">
      <c r="A13" s="109" t="s">
        <v>216</v>
      </c>
      <c r="B13" s="109" t="s">
        <v>217</v>
      </c>
      <c r="C13" s="109" t="s">
        <v>218</v>
      </c>
      <c r="D13" s="109" t="s">
        <v>219</v>
      </c>
      <c r="E13" s="109" t="s">
        <v>220</v>
      </c>
      <c r="F13" s="109" t="s">
        <v>221</v>
      </c>
      <c r="G13" s="109" t="s">
        <v>222</v>
      </c>
      <c r="H13" s="109" t="s">
        <v>223</v>
      </c>
      <c r="I13" s="109" t="s">
        <v>224</v>
      </c>
      <c r="J13" s="109" t="s">
        <v>225</v>
      </c>
      <c r="K13" s="109" t="s">
        <v>226</v>
      </c>
      <c r="L13" s="108" t="s">
        <v>215</v>
      </c>
      <c r="M13" s="109" t="s">
        <v>227</v>
      </c>
      <c r="N13" s="110" t="s">
        <v>228</v>
      </c>
      <c r="O13" s="109" t="s">
        <v>229</v>
      </c>
      <c r="P13" s="109" t="s">
        <v>230</v>
      </c>
      <c r="Q13" s="109" t="s">
        <v>231</v>
      </c>
      <c r="R13" s="109" t="s">
        <v>232</v>
      </c>
      <c r="S13" s="111" t="s">
        <v>233</v>
      </c>
      <c r="T13" s="109" t="s">
        <v>201</v>
      </c>
      <c r="U13" s="109" t="str">
        <f>IF(TIPOORCAMENTO="Licitado","","Custo Unitário (sem BDI) (R$)")</f>
        <v>Custo Unitário (sem BDI) (R$)</v>
      </c>
      <c r="V13" s="109" t="str">
        <f>IF(TIPOORCAMENTO="Licitado","","BDI
(%)")</f>
        <v>BDI
(%)</v>
      </c>
      <c r="W13" s="109" t="s">
        <v>234</v>
      </c>
      <c r="X13" s="109" t="s">
        <v>235</v>
      </c>
      <c r="Y13" s="108" t="s">
        <v>215</v>
      </c>
      <c r="Z13" s="108" t="s">
        <v>215</v>
      </c>
      <c r="AA13" s="112" t="s">
        <v>236</v>
      </c>
      <c r="AB13" s="113" t="s">
        <v>237</v>
      </c>
      <c r="AC13" s="109" t="s">
        <v>238</v>
      </c>
      <c r="AD13" s="114" t="s">
        <v>239</v>
      </c>
      <c r="AE13" s="114" t="s">
        <v>240</v>
      </c>
      <c r="AF13" s="114" t="s">
        <v>241</v>
      </c>
      <c r="AG13" s="166" t="s">
        <v>404</v>
      </c>
      <c r="AH13" s="452" t="str">
        <f>IF(TIPOORCAMENTO="LICITADO","Valor BDI Edital","Valor BDI")</f>
        <v>Valor BDI</v>
      </c>
      <c r="AJ13" s="304" t="s">
        <v>201</v>
      </c>
      <c r="AL13" s="304" t="s">
        <v>234</v>
      </c>
      <c r="AM13" s="166" t="s">
        <v>242</v>
      </c>
      <c r="AN13" s="167" t="s">
        <v>400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IF(OR($C14="S",$C14=0),0,MATCH(0,OFFSET($D14,1,$C14,ROW($C$89)-ROW($C14)),0))</f>
        <v>0</v>
      </c>
      <c r="K14">
        <f ca="1">IF(OR($C14="S",$C14=0),0,MATCH(OFFSET($D14,0,$C14)+IF($C14&lt;&gt;1,1,COUNTIF(QCI!$A$13:$A$24,ORÇAMENTO!E14)),OFFSET($D14,1,$C14,ROW($C$89)-ROW($C14)),0))</f>
        <v>0</v>
      </c>
      <c r="L14" s="116" t="str">
        <f ca="1">IF(OR($X14&gt;0,$C14=1,$C14=2,$C14=3,$C14=4),"F","")</f>
        <v/>
      </c>
      <c r="M14" s="117" t="s">
        <v>197</v>
      </c>
      <c r="N14" s="118" t="str">
        <f ca="1">CHOOSE(1+LOG(1+2*(C14=1)+4*(C14=2)+8*(C14=3)+16*(C14=4)+32*(C14="S"),2),"","Meta","Nível 2","Nível 3","Nível 4","Serviço")</f>
        <v>Serviço</v>
      </c>
      <c r="O14" s="119" t="str">
        <f ca="1">IF(OR($C14=0,$L14=""),"-",CONCATENATE(E14&amp;".",IF(AND($A$5&gt;=2,$C14&gt;=2),F14&amp;".",""),IF(AND($A$5&gt;=3,$C14&gt;=3),G14&amp;".",""),IF(AND($A$5&gt;=4,$C14&gt;=4),H14&amp;".",""),IF($C14="S",I14&amp;".","")))</f>
        <v>-</v>
      </c>
      <c r="P14" s="120" t="s">
        <v>245</v>
      </c>
      <c r="Q14" s="121"/>
      <c r="R14" s="122" t="str">
        <f ca="1">IF($C14="S",REFERENCIA.Descricao,"(digite a descrição aqui)")</f>
        <v>(abra o arquivo 'Referência 04-2026.xlsm)</v>
      </c>
      <c r="S14" s="123" t="str">
        <f ca="1">REFERENCIA.Unidade</f>
        <v>-</v>
      </c>
      <c r="T14" s="124">
        <f ca="1">OFFSET(CÁLCULO!H$15,ROW($T14)-ROW(T$15),0)</f>
        <v>0</v>
      </c>
      <c r="U14" s="125"/>
      <c r="V14" s="126" t="s">
        <v>155</v>
      </c>
      <c r="W14" s="124">
        <f ca="1">IF($C14="S",ROUND(IF(TIPOORCAMENTO="Proposto",ORÇAMENTO.CustoUnitario*(1+$AH14),ORÇAMENTO.PrecoUnitarioLicitado),15-13*$AF$10),0)</f>
        <v>0</v>
      </c>
      <c r="X14" s="127">
        <f ca="1">IF($C14="S",IF(OR(Import.TipoArredondamento&lt;&gt;"TransfereGOV",ACOMPANHAMENTO="BM"),VTOTAL1,SUM(OFFSET(CÁLCULO!$AA$15,ROW($X14)-ROW($X$15),1):OFFSET(CÁLCULO!$AL$15,ROW($X14)-ROW($X$15),-1))),IF($C14=0,0,ROUND(SomaAgrup,15-13*$AF$11)))</f>
        <v>0</v>
      </c>
      <c r="Y14" s="128" t="s">
        <v>243</v>
      </c>
      <c r="Z14" t="str">
        <f ca="1">IF(AND($C14="S",$X14&gt;0),IF(ISBLANK($Y14),"RA",LEFT($Y14,2)),"")</f>
        <v/>
      </c>
      <c r="AA14" s="129">
        <f ca="1">IF($C14="S",IF($Z14="CP",$X14,IF($Z14="RA",(($X14)*QCI!$AA$3),0)),SomaAgrup)</f>
        <v>0</v>
      </c>
      <c r="AB14" s="130">
        <f ca="1">IF($C14="S",IF($Z14="OU",ROUND($X14,2),0),SomaAgrup)</f>
        <v>0</v>
      </c>
      <c r="AC14" s="619" t="str">
        <f ca="1">IF($N14=""," ",
IF(AND($C14="S",OR($Q14&lt;&gt;0,$T14&gt;0,$U14&gt;0),$P14=0),"FONTE",
IF(AND($C14="S",$P14&lt;&gt;0,OR($T14&gt;0,$U14&gt;0),$Q14=0),"CÓDIGO",
IF(AND(OR($R14="",$R14="(digite a descrição aqui)"),OR($C14&lt;&gt;"S",AND($C14="S",OR($Q14&lt;&gt;0,$T14&gt;0,$U14&gt;0)))),"DESCRIÇÃO",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04-2026.xlsm)</v>
      </c>
      <c r="AG14" s="453">
        <f ca="1">ROUND(IF(DESONERACAO="sim",REFERENCIA.Desonerado,REFERENCIA.NaoDesonerado),2)</f>
        <v>0</v>
      </c>
      <c r="AH14" s="454">
        <f ca="1">ROUND(IF(ISNUMBER(ORÇAMENTO.OpcaoBDI),ORÇAMENTO.OpcaoBDI,IF(LEFT(ORÇAMENTO.OpcaoBDI,3)="BDI",HLOOKUP(ORÇAMENTO.OpcaoBDI,$F$4:$H$5,2,FALSE),0)),15-11*$AF$9)</f>
        <v>0.26329999999999998</v>
      </c>
      <c r="AJ14" s="456"/>
      <c r="AL14" s="471"/>
      <c r="AM14" s="348">
        <f t="shared" ref="AM14:AM58" ca="1" si="0">$X14</f>
        <v>0</v>
      </c>
      <c r="AN14" s="504">
        <f ca="1">ROUND(ORÇAMENTO.CustoUnitario*(1+$AH14),2)</f>
        <v>0</v>
      </c>
    </row>
    <row r="15" spans="1:40" x14ac:dyDescent="0.2">
      <c r="A15">
        <v>0</v>
      </c>
      <c r="C15" t="s">
        <v>148</v>
      </c>
      <c r="D15">
        <f ca="1">COUNTA(OFFSET(D15,1,0):D$89)</f>
        <v>73</v>
      </c>
      <c r="E15">
        <v>0</v>
      </c>
      <c r="L15" s="116" t="s">
        <v>244</v>
      </c>
      <c r="M15" s="132" t="str">
        <f>IF(TIPOORCAMENTO="LICITADO","CTEF","LOTE")</f>
        <v>LOTE</v>
      </c>
      <c r="N15" s="132" t="str">
        <f>IF(TIPOORCAMENTO="LICITADO","CTEF","LOTE")</f>
        <v>LOTE</v>
      </c>
      <c r="O15" s="672" t="str">
        <f>Import.DescLote</f>
        <v>PAVILHÃO COMUNITÁRIO COMUNIDADE ÁREA 10</v>
      </c>
      <c r="P15" s="672"/>
      <c r="Q15" s="672"/>
      <c r="R15" s="672"/>
      <c r="S15" s="133"/>
      <c r="T15" s="134"/>
      <c r="U15" s="134"/>
      <c r="V15" s="135"/>
      <c r="W15" s="134"/>
      <c r="X15" s="136">
        <f ca="1">SUMIF(OFFSET($C15,1,0,ROW(X89)-ROW(X15)-1),"S",OFFSET(X15,1,0,ROW(X89)-ROW(X15)-1))</f>
        <v>0</v>
      </c>
      <c r="Y15" s="7"/>
      <c r="Z15" t="str">
        <f ca="1">IF(AND($C15="S",$X15&gt;0),LEFT($Y15,2),"")</f>
        <v/>
      </c>
      <c r="AA15" s="451">
        <f ca="1">SUMIF(OFFSET($C15,1,0,ROW(AA89)-ROW(AA15)-1),"S",OFFSET(AA15,1,0,ROW(AA89)-ROW(AA15)-1))</f>
        <v>0</v>
      </c>
      <c r="AB15" s="137">
        <f ca="1">SUMIF(OFFSET($C15,1,0,ROW(AB89)-ROW(AB15)-1),"S",OFFSET(AB15,1,0,ROW(AB89)-ROW(AB15)-1))</f>
        <v>0</v>
      </c>
      <c r="AC15" s="131" t="s">
        <v>455</v>
      </c>
      <c r="AG15" s="473"/>
      <c r="AH15" s="474"/>
      <c r="AJ15" s="455"/>
      <c r="AL15" s="472"/>
      <c r="AM15" s="505">
        <f t="shared" ca="1" si="0"/>
        <v>0</v>
      </c>
      <c r="AN15" s="506"/>
    </row>
    <row r="16" spans="1:40" x14ac:dyDescent="0.2">
      <c r="A16">
        <f t="shared" ref="A16:A55" si="1">CHOOSE(1+LOG(1+2*(ORÇAMENTO.Nivel="Meta")+4*(ORÇAMENTO.Nivel="Nível 2")+8*(ORÇAMENTO.Nivel="Nível 3")+16*(ORÇAMENTO.Nivel="Nível 4")+32*(ORÇAMENTO.Nivel="Serviço"),2),0,1,2,3,4,"S")</f>
        <v>1</v>
      </c>
      <c r="B16">
        <f t="shared" ref="B16:B55" ca="1" si="2">IF(OR(C16="s",C16=0),OFFSET(B16,-1,0),C16)</f>
        <v>1</v>
      </c>
      <c r="C16">
        <f t="shared" ref="C16:C55" ca="1" si="3">IF(OFFSET(C16,-1,0)="L",1,IF(OFFSET(C16,-1,0)=1,2,IF(OR(A16="s",A16=0),"S",IF(AND(OFFSET(C16,-1,0)=2,A16=4),3,IF(AND(OR(OFFSET(C16,-1,0)="s",OFFSET(C16,-1,0)=0),A16&lt;&gt;"s",A16&gt;OFFSET(B16,-1,0)),OFFSET(B16,-1,0),A16)))))</f>
        <v>1</v>
      </c>
      <c r="D16">
        <f t="shared" ref="D16:D55" ca="1" si="4">IF(OR(C16="S",C16=0),0,IF(ISERROR(K16),J16,SMALL(J16:K16,1)))</f>
        <v>13</v>
      </c>
      <c r="E16">
        <f ca="1">IF($C16=1,OFFSET(E16,-1,0)+MAX(1,COUNTIF(QCI!$A$13:$A$24,OFFSET(ORÇAMENTO!E16,-1,0))),OFFSET(E16,-1,0))</f>
        <v>1</v>
      </c>
      <c r="F16">
        <f t="shared" ref="F16:F55" ca="1" si="5">IF($C16=1,0,IF($C16=2,OFFSET(F16,-1,0)+1,OFFSET(F16,-1,0)))</f>
        <v>0</v>
      </c>
      <c r="G16">
        <f t="shared" ref="G16:G55" ca="1" si="6">IF(AND($C16&lt;=2,$C16&lt;&gt;0),0,IF($C16=3,OFFSET(G16,-1,0)+1,OFFSET(G16,-1,0)))</f>
        <v>0</v>
      </c>
      <c r="H16">
        <f t="shared" ref="H16:H55" ca="1" si="7">IF(AND($C16&lt;=3,$C16&lt;&gt;0),0,IF($C16=4,OFFSET(H16,-1,0)+1,OFFSET(H16,-1,0)))</f>
        <v>0</v>
      </c>
      <c r="I16">
        <f t="shared" ref="I16:I55" ca="1" si="8">IF(AND($C16&lt;=4,$C16&lt;&gt;0),0,IF(AND($C16="S",$X16&gt;0),OFFSET(I16,-1,0)+1,OFFSET(I16,-1,0)))</f>
        <v>0</v>
      </c>
      <c r="J16">
        <f t="shared" ref="J16:J47" ca="1" si="9">IF(OR($C16="S",$C16=0),0,MATCH(0,OFFSET($D16,1,$C16,ROW($C$89)-ROW($C16)),0))</f>
        <v>73</v>
      </c>
      <c r="K16">
        <f ca="1">IF(OR($C16="S",$C16=0),0,MATCH(OFFSET($D16,0,$C16)+IF($C16&lt;&gt;1,1,COUNTIF(QCI!$A$13:$A$24,ORÇAMENTO!E16)),OFFSET($D16,1,$C16,ROW($C$89)-ROW($C16)),0))</f>
        <v>13</v>
      </c>
      <c r="L16" s="116" t="str">
        <f t="shared" ref="L16:L55" ca="1" si="10">IF(OR($X16&gt;0,$C16=1,$C16=2,$C16=3,$C16=4),"F","")</f>
        <v>F</v>
      </c>
      <c r="M16" s="117" t="s">
        <v>193</v>
      </c>
      <c r="N16" s="118" t="str">
        <f t="shared" ref="N16:N55" ca="1" si="11">CHOOSE(1+LOG(1+2*(C16=1)+4*(C16=2)+8*(C16=3)+16*(C16=4)+32*(C16="S"),2),"","Meta","Nível 2","Nível 3","Nível 4","Serviço")</f>
        <v>Meta</v>
      </c>
      <c r="O16" s="119" t="str">
        <f t="shared" ref="O16:O55" ca="1" si="12">IF(OR($C16=0,$L16=""),"-",CONCATENATE(E16&amp;".",IF(AND($A$5&gt;=2,$C16&gt;=2),F16&amp;".",""),IF(AND($A$5&gt;=3,$C16&gt;=3),G16&amp;".",""),IF(AND($A$5&gt;=4,$C16&gt;=4),H16&amp;".",""),IF($C16="S",I16&amp;".","")))</f>
        <v>1.</v>
      </c>
      <c r="P16" s="120" t="s">
        <v>245</v>
      </c>
      <c r="Q16" s="121"/>
      <c r="R16" s="122" t="s">
        <v>960</v>
      </c>
      <c r="S16" s="123" t="str">
        <f ca="1">REFERENCIA.Unidade</f>
        <v>-</v>
      </c>
      <c r="T16" s="124">
        <f ca="1">OFFSET(CÁLCULO!H$15,ROW($T16)-ROW(T$15),0)</f>
        <v>0</v>
      </c>
      <c r="U16" s="125"/>
      <c r="V16" s="126" t="s">
        <v>155</v>
      </c>
      <c r="W16" s="124">
        <f ca="1">IF($C16="S",ROUND(IF(TIPOORCAMENTO="Proposto",ORÇAMENTO.CustoUnitario*(1+$AH16),ORÇAMENTO.PrecoUnitarioLicitado),15-13*$AF$10),0)</f>
        <v>0</v>
      </c>
      <c r="X16" s="127">
        <f ca="1">IF($C16="S",IF(OR(Import.TipoArredondamento&lt;&gt;"TransfereGOV",ACOMPANHAMENTO="BM"),VTOTAL1,SUM(OFFSET(CÁLCULO!$AA$15,ROW($X16)-ROW($X$15),1):OFFSET(CÁLCULO!$AL$15,ROW($X16)-ROW($X$15),-1))),IF($C16=0,0,ROUND(SomaAgrup,15-13*$AF$11)))</f>
        <v>0</v>
      </c>
      <c r="Y16" s="128" t="s">
        <v>243</v>
      </c>
      <c r="Z16" t="str">
        <f t="shared" ref="Z16:Z55" ca="1" si="13">IF(AND($C16="S",$X16&gt;0),IF(ISBLANK($Y16),"RA",LEFT($Y16,2)),"")</f>
        <v/>
      </c>
      <c r="AA16" s="129">
        <f ca="1">IF($C16="S",IF($Z16="CP",$X16,IF($Z16="RA",(($X16)*QCI!$AA$3),0)),SomaAgrup)</f>
        <v>0</v>
      </c>
      <c r="AB16" s="130">
        <f t="shared" ref="AB16:AB55" ca="1" si="14">IF($C16="S",IF($Z16="OU",ROUND($X16,2),0),SomaAgrup)</f>
        <v>0</v>
      </c>
      <c r="AC16" s="619" t="str">
        <f ca="1">IF($N16=""," ",
IF(AND($C16="S",OR($Q16&lt;&gt;0,$T16&gt;0,$U16&gt;0),$P16=0),"FONTE",
IF(AND($C16="S",$P16&lt;&gt;0,OR($T16&gt;0,$U16&gt;0),$Q16=0),"CÓDIGO",
IF(AND(OR($R16="",$R16="(digite a descrição aqui)"),OR($C16&lt;&gt;"S",AND($C16="S",OR($Q16&lt;&gt;0,$T16&gt;0,$U16&gt;0)))),"DESCRIÇÃO",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04-2026.xlsm)</v>
      </c>
      <c r="AG16" s="453">
        <f ca="1">ROUND(IF(DESONERACAO="sim",REFERENCIA.Desonerado,REFERENCIA.NaoDesonerado),2)</f>
        <v>0</v>
      </c>
      <c r="AH16" s="454">
        <f t="shared" ref="AH16:AH55" ca="1" si="15">ROUND(IF(ISNUMBER(ORÇAMENTO.OpcaoBDI),ORÇAMENTO.OpcaoBDI,IF(LEFT(ORÇAMENTO.OpcaoBDI,3)="BDI",HLOOKUP(ORÇAMENTO.OpcaoBDI,$F$4:$H$5,2,FALSE),0)),15-11*$AF$9)</f>
        <v>0.26329999999999998</v>
      </c>
      <c r="AJ16" s="456"/>
      <c r="AL16" s="471"/>
      <c r="AM16" s="348">
        <f t="shared" ca="1" si="0"/>
        <v>0</v>
      </c>
      <c r="AN16" s="504">
        <f t="shared" ref="AN16:AN55" ca="1" si="16">ROUND(ORÇAMENTO.CustoUnitario*(1+$AH16),2)</f>
        <v>0</v>
      </c>
    </row>
    <row r="17" spans="1:40" x14ac:dyDescent="0.2">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12</v>
      </c>
      <c r="K17">
        <f ca="1">IF(OR($C17="S",$C17=0),0,MATCH(OFFSET($D17,0,$C17)+IF($C17&lt;&gt;1,1,COUNTIF(QCI!$A$13:$A$24,ORÇAMENTO!E17)),OFFSET($D17,1,$C17,ROW($C$89)-ROW($C17)),0))</f>
        <v>3</v>
      </c>
      <c r="L17" s="116" t="str">
        <f t="shared" ca="1" si="10"/>
        <v>F</v>
      </c>
      <c r="M17" s="117" t="s">
        <v>194</v>
      </c>
      <c r="N17" s="118" t="str">
        <f t="shared" ca="1" si="11"/>
        <v>Nível 2</v>
      </c>
      <c r="O17" s="119" t="str">
        <f t="shared" ca="1" si="12"/>
        <v>1.1.</v>
      </c>
      <c r="P17" s="120" t="s">
        <v>245</v>
      </c>
      <c r="Q17" s="121"/>
      <c r="R17" s="122" t="s">
        <v>968</v>
      </c>
      <c r="S17" s="123" t="str">
        <f ca="1">REFERENCIA.Unidade</f>
        <v>-</v>
      </c>
      <c r="T17" s="124">
        <f ca="1">OFFSET(CÁLCULO!H$15,ROW($T17)-ROW(T$15),0)</f>
        <v>0</v>
      </c>
      <c r="U17" s="125"/>
      <c r="V17" s="126" t="s">
        <v>155</v>
      </c>
      <c r="W17" s="124">
        <f ca="1">IF($C17="S",ROUND(IF(TIPOORCAMENTO="Proposto",ORÇAMENTO.CustoUnitario*(1+$AH17),ORÇAMENTO.PrecoUnitarioLicitado),15-13*$AF$10),0)</f>
        <v>0</v>
      </c>
      <c r="X17" s="127">
        <f ca="1">IF($C17="S",IF(OR(Import.TipoArredondamento&lt;&gt;"TransfereGOV",ACOMPANHAMENTO="BM"),VTOTAL1,SUM(OFFSET(CÁLCULO!$AA$15,ROW($X17)-ROW($X$15),1):OFFSET(CÁLCULO!$AL$15,ROW($X17)-ROW($X$15),-1))),IF($C17=0,0,ROUND(SomaAgrup,15-13*$AF$11)))</f>
        <v>0</v>
      </c>
      <c r="Y17" s="128" t="s">
        <v>243</v>
      </c>
      <c r="Z17" t="str">
        <f t="shared" ca="1" si="13"/>
        <v/>
      </c>
      <c r="AA17" s="129">
        <f ca="1">IF($C17="S",IF($Z17="CP",$X17,IF($Z17="RA",(($X17)*QCI!$AA$3),0)),SomaAgrup)</f>
        <v>0</v>
      </c>
      <c r="AB17" s="130">
        <f t="shared" ca="1" si="14"/>
        <v>0</v>
      </c>
      <c r="AC17" s="619" t="str">
        <f ca="1">IF($N17=""," ",
IF(AND($C17="S",OR($Q17&lt;&gt;0,$T17&gt;0,$U17&gt;0),$P17=0),"FONTE",
IF(AND($C17="S",$P17&lt;&gt;0,OR($T17&gt;0,$U17&gt;0),$Q17=0),"CÓDIGO",
IF(AND(OR($R17="",$R17="(digite a descrição aqui)"),OR($C17&lt;&gt;"S",AND($C17="S",OR($Q17&lt;&gt;0,$T17&gt;0,$U17&gt;0)))),"DESCRIÇÃO",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04-2026.xlsm)</v>
      </c>
      <c r="AG17" s="453">
        <f ca="1">ROUND(IF(DESONERACAO="sim",REFERENCIA.Desonerado,REFERENCIA.NaoDesonerado),2)</f>
        <v>0</v>
      </c>
      <c r="AH17" s="454">
        <f t="shared" ca="1" si="15"/>
        <v>0.26329999999999998</v>
      </c>
      <c r="AJ17" s="456"/>
      <c r="AL17" s="471"/>
      <c r="AM17" s="348">
        <f t="shared" ca="1" si="0"/>
        <v>0</v>
      </c>
      <c r="AN17" s="504">
        <f t="shared" ca="1" si="16"/>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IF(OR($C18="S",$C18=0),0,MATCH(OFFSET($D18,0,$C18)+IF($C18&lt;&gt;1,1,COUNTIF(QCI!$A$13:$A$24,ORÇAMENTO!E18)),OFFSET($D18,1,$C18,ROW($C$89)-ROW($C18)),0))</f>
        <v>0</v>
      </c>
      <c r="L18" s="116" t="str">
        <f t="shared" ca="1" si="10"/>
        <v/>
      </c>
      <c r="M18" s="117" t="s">
        <v>197</v>
      </c>
      <c r="N18" s="118" t="str">
        <f t="shared" ca="1" si="11"/>
        <v>Serviço</v>
      </c>
      <c r="O18" s="119" t="str">
        <f t="shared" ca="1" si="12"/>
        <v>-</v>
      </c>
      <c r="P18" s="120" t="s">
        <v>245</v>
      </c>
      <c r="Q18" s="121" t="s">
        <v>969</v>
      </c>
      <c r="R18" s="122" t="str">
        <f ca="1">IF($C18="S",REFERENCIA.Descricao,"(digite a descrição aqui)")</f>
        <v>(abra o arquivo 'Referência 04-2026.xlsm)</v>
      </c>
      <c r="S18" s="123" t="str">
        <f ca="1">REFERENCIA.Unidade</f>
        <v>-</v>
      </c>
      <c r="T18" s="124">
        <f ca="1">OFFSET(CÁLCULO!H$15,ROW($T18)-ROW(T$15),0)</f>
        <v>4.5</v>
      </c>
      <c r="U18" s="125">
        <f t="shared" ref="U18:U67" ca="1" si="17">AG18</f>
        <v>0</v>
      </c>
      <c r="V18" s="126" t="s">
        <v>155</v>
      </c>
      <c r="W18" s="124">
        <f ca="1">IF($C18="S",ROUND(IF(TIPOORCAMENTO="Proposto",ORÇAMENTO.CustoUnitario*(1+$AH18),ORÇAMENTO.PrecoUnitarioLicitado),15-13*$AF$10),0)</f>
        <v>0</v>
      </c>
      <c r="X18" s="127">
        <f ca="1">IF($C18="S",IF(OR(Import.TipoArredondamento&lt;&gt;"TransfereGOV",ACOMPANHAMENTO="BM"),VTOTAL1,SUM(OFFSET(CÁLCULO!$AA$15,ROW($X18)-ROW($X$15),1):OFFSET(CÁLCULO!$AL$15,ROW($X18)-ROW($X$15),-1))),IF($C18=0,0,ROUND(SomaAgrup,15-13*$AF$11)))</f>
        <v>0</v>
      </c>
      <c r="Y18" s="128" t="s">
        <v>243</v>
      </c>
      <c r="Z18" t="str">
        <f t="shared" ca="1" si="13"/>
        <v/>
      </c>
      <c r="AA18" s="129">
        <f ca="1">IF($C18="S",IF($Z18="CP",$X18,IF($Z18="RA",(($X18)*QCI!$AA$3),0)),SomaAgrup)</f>
        <v>0</v>
      </c>
      <c r="AB18" s="130">
        <f t="shared" ca="1" si="14"/>
        <v>0</v>
      </c>
      <c r="AC18" s="619" t="str">
        <f ca="1">IF($N18=""," ",
IF(AND($C18="S",OR($Q18&lt;&gt;0,$T18&gt;0,$U18&gt;0),$P18=0),"FONTE",
IF(AND($C18="S",$P18&lt;&gt;0,OR($T18&gt;0,$U18&gt;0),$Q18=0),"CÓDIGO",
IF(AND(OR($R18="",$R18="(digite a descrição aqui)"),OR($C18&lt;&gt;"S",AND($C18="S",OR($Q18&lt;&gt;0,$T18&gt;0,$U18&gt;0)))),"DESCRIÇÃO",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t="str">
        <f ca="1">IF(C18&lt;=CRONO.NivelExibicao,MAX($AD$15:OFFSET(AD18,-1,0))+IF($C18&lt;&gt;1,1,MAX(1,COUNTIF(QCI!$A$13:$A$24,OFFSET($E18,-1,0)))),"")</f>
        <v/>
      </c>
      <c r="AE18" s="7" t="str">
        <f ca="1">IF(AND($C18="S",ORÇAMENTO.CodBarra&lt;&gt;""),IF(ORÇAMENTO.Fonte="",ORÇAMENTO.CodBarra,CONCATENATE(ORÇAMENTO.Fonte," ",ORÇAMENTO.CodBarra)))</f>
        <v>SINAPI 103689</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04-2026.xlsm)</v>
      </c>
      <c r="AG18" s="453">
        <f ca="1">ROUND(IF(DESONERACAO="sim",REFERENCIA.Desonerado,REFERENCIA.NaoDesonerado),2)</f>
        <v>0</v>
      </c>
      <c r="AH18" s="454">
        <f t="shared" ca="1" si="15"/>
        <v>0.26329999999999998</v>
      </c>
      <c r="AJ18" s="456"/>
      <c r="AL18" s="471"/>
      <c r="AM18" s="348">
        <f t="shared" ca="1" si="0"/>
        <v>0</v>
      </c>
      <c r="AN18" s="504">
        <f t="shared" ca="1" si="16"/>
        <v>0</v>
      </c>
    </row>
    <row r="19" spans="1:40" ht="38.2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IF(OR($C19="S",$C19=0),0,MATCH(OFFSET($D19,0,$C19)+IF($C19&lt;&gt;1,1,COUNTIF(QCI!$A$13:$A$24,ORÇAMENTO!E19)),OFFSET($D19,1,$C19,ROW($C$89)-ROW($C19)),0))</f>
        <v>0</v>
      </c>
      <c r="L19" s="116" t="str">
        <f t="shared" ca="1" si="10"/>
        <v/>
      </c>
      <c r="M19" s="117" t="s">
        <v>197</v>
      </c>
      <c r="N19" s="118" t="str">
        <f t="shared" ca="1" si="11"/>
        <v>Serviço</v>
      </c>
      <c r="O19" s="119" t="str">
        <f t="shared" ca="1" si="12"/>
        <v>-</v>
      </c>
      <c r="P19" s="120" t="s">
        <v>245</v>
      </c>
      <c r="Q19" s="121" t="s">
        <v>971</v>
      </c>
      <c r="R19" s="122" t="str">
        <f ca="1">IF($C19="S",REFERENCIA.Descricao,"(digite a descrição aqui)")</f>
        <v>(abra o arquivo 'Referência 04-2026.xlsm)</v>
      </c>
      <c r="S19" s="123" t="str">
        <f ca="1">REFERENCIA.Unidade</f>
        <v>-</v>
      </c>
      <c r="T19" s="124">
        <f ca="1">OFFSET(CÁLCULO!H$15,ROW($T19)-ROW(T$15),0)</f>
        <v>30</v>
      </c>
      <c r="U19" s="125">
        <f t="shared" ca="1" si="17"/>
        <v>0</v>
      </c>
      <c r="V19" s="126" t="s">
        <v>155</v>
      </c>
      <c r="W19" s="124">
        <f ca="1">IF($C19="S",ROUND(IF(TIPOORCAMENTO="Proposto",ORÇAMENTO.CustoUnitario*(1+$AH19),ORÇAMENTO.PrecoUnitarioLicitado),15-13*$AF$10),0)</f>
        <v>0</v>
      </c>
      <c r="X19" s="127">
        <f ca="1">IF($C19="S",IF(OR(Import.TipoArredondamento&lt;&gt;"TransfereGOV",ACOMPANHAMENTO="BM"),VTOTAL1,SUM(OFFSET(CÁLCULO!$AA$15,ROW($X19)-ROW($X$15),1):OFFSET(CÁLCULO!$AL$15,ROW($X19)-ROW($X$15),-1))),IF($C19=0,0,ROUND(SomaAgrup,15-13*$AF$11)))</f>
        <v>0</v>
      </c>
      <c r="Y19" s="128" t="s">
        <v>243</v>
      </c>
      <c r="Z19" t="str">
        <f t="shared" ca="1" si="13"/>
        <v/>
      </c>
      <c r="AA19" s="129">
        <f ca="1">IF($C19="S",IF($Z19="CP",$X19,IF($Z19="RA",(($X19)*QCI!$AA$3),0)),SomaAgrup)</f>
        <v>0</v>
      </c>
      <c r="AB19" s="130">
        <f t="shared" ca="1" si="14"/>
        <v>0</v>
      </c>
      <c r="AC19" s="619" t="str">
        <f ca="1">IF($N19=""," ",
IF(AND($C19="S",OR($Q19&lt;&gt;0,$T19&gt;0,$U19&gt;0),$P19=0),"FONTE",
IF(AND($C19="S",$P19&lt;&gt;0,OR($T19&gt;0,$U19&gt;0),$Q19=0),"CÓDIGO",
IF(AND(OR($R19="",$R19="(digite a descrição aqui)"),OR($C19&lt;&gt;"S",AND($C19="S",OR($Q19&lt;&gt;0,$T19&gt;0,$U19&gt;0)))),"DESCRIÇÃO",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SEM CUSTO</v>
      </c>
      <c r="AD19" t="str">
        <f ca="1">IF(C19&lt;=CRONO.NivelExibicao,MAX($AD$15:OFFSET(AD19,-1,0))+IF($C19&lt;&gt;1,1,MAX(1,COUNTIF(QCI!$A$13:$A$24,OFFSET($E19,-1,0)))),"")</f>
        <v/>
      </c>
      <c r="AE19" s="7" t="str">
        <f ca="1">IF(AND($C19="S",ORÇAMENTO.CodBarra&lt;&gt;""),IF(ORÇAMENTO.Fonte="",ORÇAMENTO.CodBarra,CONCATENATE(ORÇAMENTO.Fonte," ",ORÇAMENTO.CodBarra)))</f>
        <v>SINAPI 99059</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04-2026.xlsm)</v>
      </c>
      <c r="AG19" s="453">
        <f ca="1">ROUND(IF(DESONERACAO="sim",REFERENCIA.Desonerado,REFERENCIA.NaoDesonerado),2)</f>
        <v>0</v>
      </c>
      <c r="AH19" s="454">
        <f t="shared" ca="1" si="15"/>
        <v>0.26329999999999998</v>
      </c>
      <c r="AJ19" s="456"/>
      <c r="AL19" s="471"/>
      <c r="AM19" s="348">
        <f t="shared" ca="1" si="0"/>
        <v>0</v>
      </c>
      <c r="AN19" s="504">
        <f t="shared" ca="1" si="16"/>
        <v>0</v>
      </c>
    </row>
    <row r="20" spans="1:40" x14ac:dyDescent="0.2">
      <c r="A20">
        <f t="shared" si="1"/>
        <v>2</v>
      </c>
      <c r="B20">
        <f t="shared" ca="1" si="2"/>
        <v>2</v>
      </c>
      <c r="C20">
        <f t="shared" ca="1" si="3"/>
        <v>2</v>
      </c>
      <c r="D20">
        <f t="shared" ca="1" si="4"/>
        <v>9</v>
      </c>
      <c r="E20">
        <f ca="1">IF($C20=1,OFFSET(E20,-1,0)+MAX(1,COUNTIF(QCI!$A$13:$A$24,OFFSET(ORÇAMENTO!E20,-1,0))),OFFSET(E20,-1,0))</f>
        <v>1</v>
      </c>
      <c r="F20">
        <f t="shared" ca="1" si="5"/>
        <v>2</v>
      </c>
      <c r="G20">
        <f t="shared" ca="1" si="6"/>
        <v>0</v>
      </c>
      <c r="H20">
        <f t="shared" ca="1" si="7"/>
        <v>0</v>
      </c>
      <c r="I20">
        <f t="shared" ca="1" si="8"/>
        <v>0</v>
      </c>
      <c r="J20">
        <f t="shared" ca="1" si="9"/>
        <v>9</v>
      </c>
      <c r="K20">
        <f ca="1">IF(OR($C20="S",$C20=0),0,MATCH(OFFSET($D20,0,$C20)+IF($C20&lt;&gt;1,1,COUNTIF(QCI!$A$13:$A$24,ORÇAMENTO!E20)),OFFSET($D20,1,$C20,ROW($C$89)-ROW($C20)),0))</f>
        <v>22</v>
      </c>
      <c r="L20" s="116" t="str">
        <f t="shared" ca="1" si="10"/>
        <v>F</v>
      </c>
      <c r="M20" s="117" t="s">
        <v>194</v>
      </c>
      <c r="N20" s="118" t="str">
        <f t="shared" ca="1" si="11"/>
        <v>Nível 2</v>
      </c>
      <c r="O20" s="119" t="str">
        <f t="shared" ca="1" si="12"/>
        <v>1.2.</v>
      </c>
      <c r="P20" s="120" t="s">
        <v>245</v>
      </c>
      <c r="Q20" s="121"/>
      <c r="R20" s="122" t="s">
        <v>961</v>
      </c>
      <c r="S20" s="123" t="str">
        <f ca="1">REFERENCIA.Unidade</f>
        <v>-</v>
      </c>
      <c r="T20" s="124">
        <f ca="1">OFFSET(CÁLCULO!H$15,ROW($T20)-ROW(T$15),0)</f>
        <v>0</v>
      </c>
      <c r="U20" s="125">
        <f t="shared" ca="1" si="17"/>
        <v>0</v>
      </c>
      <c r="V20" s="126" t="s">
        <v>155</v>
      </c>
      <c r="W20" s="124">
        <f ca="1">IF($C20="S",ROUND(IF(TIPOORCAMENTO="Proposto",ORÇAMENTO.CustoUnitario*(1+$AH20),ORÇAMENTO.PrecoUnitarioLicitado),15-13*$AF$10),0)</f>
        <v>0</v>
      </c>
      <c r="X20" s="127">
        <f ca="1">IF($C20="S",IF(OR(Import.TipoArredondamento&lt;&gt;"TransfereGOV",ACOMPANHAMENTO="BM"),VTOTAL1,SUM(OFFSET(CÁLCULO!$AA$15,ROW($X20)-ROW($X$15),1):OFFSET(CÁLCULO!$AL$15,ROW($X20)-ROW($X$15),-1))),IF($C20=0,0,ROUND(SomaAgrup,15-13*$AF$11)))</f>
        <v>0</v>
      </c>
      <c r="Y20" s="128" t="s">
        <v>243</v>
      </c>
      <c r="Z20" t="str">
        <f t="shared" ca="1" si="13"/>
        <v/>
      </c>
      <c r="AA20" s="129">
        <f ca="1">IF($C20="S",IF($Z20="CP",$X20,IF($Z20="RA",(($X20)*QCI!$AA$3),0)),SomaAgrup)</f>
        <v>0</v>
      </c>
      <c r="AB20" s="130">
        <f t="shared" ca="1" si="14"/>
        <v>0</v>
      </c>
      <c r="AC20" s="619" t="str">
        <f ca="1">IF($N20=""," ",
IF(AND($C20="S",OR($Q20&lt;&gt;0,$T20&gt;0,$U20&gt;0),$P20=0),"FONTE",
IF(AND($C20="S",$P20&lt;&gt;0,OR($T20&gt;0,$U20&gt;0),$Q20=0),"CÓDIGO",
IF(AND(OR($R20="",$R20="(digite a descrição aqui)"),OR($C20&lt;&gt;"S",AND($C20="S",OR($Q20&lt;&gt;0,$T20&gt;0,$U20&gt;0)))),"DESCRIÇÃO",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f ca="1">IF(AND($C20="S",ORÇAMENTO.CodBarra&lt;&gt;""),IF(ORÇAMENTO.Fonte="",ORÇAMENTO.CodBarra,CONCATENATE(ORÇAMENTO.Fonte," ",ORÇAMENTO.CodBarra)))</f>
        <v>0</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04-2026.xlsm)</v>
      </c>
      <c r="AG20" s="453">
        <f ca="1">ROUND(IF(DESONERACAO="sim",REFERENCIA.Desonerado,REFERENCIA.NaoDesonerado),2)</f>
        <v>0</v>
      </c>
      <c r="AH20" s="454">
        <f t="shared" ca="1" si="15"/>
        <v>0.26329999999999998</v>
      </c>
      <c r="AJ20" s="456"/>
      <c r="AL20" s="471"/>
      <c r="AM20" s="348">
        <f t="shared" ca="1" si="0"/>
        <v>0</v>
      </c>
      <c r="AN20" s="504">
        <f t="shared" ca="1" si="16"/>
        <v>0</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0</v>
      </c>
      <c r="J21">
        <f t="shared" ca="1" si="9"/>
        <v>0</v>
      </c>
      <c r="K21">
        <f ca="1">IF(OR($C21="S",$C21=0),0,MATCH(OFFSET($D21,0,$C21)+IF($C21&lt;&gt;1,1,COUNTIF(QCI!$A$13:$A$24,ORÇAMENTO!E21)),OFFSET($D21,1,$C21,ROW($C$89)-ROW($C21)),0))</f>
        <v>0</v>
      </c>
      <c r="L21" s="116" t="str">
        <f t="shared" ca="1" si="10"/>
        <v/>
      </c>
      <c r="M21" s="117" t="s">
        <v>197</v>
      </c>
      <c r="N21" s="118" t="str">
        <f t="shared" ca="1" si="11"/>
        <v>Serviço</v>
      </c>
      <c r="O21" s="119" t="str">
        <f t="shared" ca="1" si="12"/>
        <v>-</v>
      </c>
      <c r="P21" s="120" t="s">
        <v>939</v>
      </c>
      <c r="Q21" s="121" t="s">
        <v>940</v>
      </c>
      <c r="R21" s="122" t="str">
        <f ca="1">IF($C21="S",REFERENCIA.Descricao,"(digite a descrição aqui)")</f>
        <v>(abra o arquivo 'Referência 04-2026.xlsm)</v>
      </c>
      <c r="S21" s="123" t="str">
        <f ca="1">REFERENCIA.Unidade</f>
        <v>-</v>
      </c>
      <c r="T21" s="124">
        <f ca="1">OFFSET(CÁLCULO!H$15,ROW($T21)-ROW(T$15),0)</f>
        <v>11</v>
      </c>
      <c r="U21" s="125">
        <f t="shared" ca="1" si="17"/>
        <v>0</v>
      </c>
      <c r="V21" s="126" t="s">
        <v>155</v>
      </c>
      <c r="W21" s="124">
        <f ca="1">IF($C21="S",ROUND(IF(TIPOORCAMENTO="Proposto",ORÇAMENTO.CustoUnitario*(1+$AH21),ORÇAMENTO.PrecoUnitarioLicitado),15-13*$AF$10),0)</f>
        <v>0</v>
      </c>
      <c r="X21" s="127">
        <f ca="1">IF($C21="S",IF(OR(Import.TipoArredondamento&lt;&gt;"TransfereGOV",ACOMPANHAMENTO="BM"),VTOTAL1,SUM(OFFSET(CÁLCULO!$AA$15,ROW($X21)-ROW($X$15),1):OFFSET(CÁLCULO!$AL$15,ROW($X21)-ROW($X$15),-1))),IF($C21=0,0,ROUND(SomaAgrup,15-13*$AF$11)))</f>
        <v>0</v>
      </c>
      <c r="Y21" s="128" t="s">
        <v>243</v>
      </c>
      <c r="Z21" t="str">
        <f t="shared" ca="1" si="13"/>
        <v/>
      </c>
      <c r="AA21" s="129">
        <f ca="1">IF($C21="S",IF($Z21="CP",$X21,IF($Z21="RA",(($X21)*QCI!$AA$3),0)),SomaAgrup)</f>
        <v>0</v>
      </c>
      <c r="AB21" s="130">
        <f t="shared" ca="1" si="14"/>
        <v>0</v>
      </c>
      <c r="AC21" s="619" t="str">
        <f ca="1">IF($N21=""," ",
IF(AND($C21="S",OR($Q21&lt;&gt;0,$T21&gt;0,$U21&gt;0),$P21=0),"FONTE",
IF(AND($C21="S",$P21&lt;&gt;0,OR($T21&gt;0,$U21&gt;0),$Q21=0),"CÓDIGO",
IF(AND(OR($R21="",$R21="(digite a descrição aqui)"),OR($C21&lt;&gt;"S",AND($C21="S",OR($Q21&lt;&gt;0,$T21&gt;0,$U21&gt;0)))),"DESCRIÇÃO",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SEM CUSTO</v>
      </c>
      <c r="AD21" t="str">
        <f ca="1">IF(C21&lt;=CRONO.NivelExibicao,MAX($AD$15:OFFSET(AD21,-1,0))+IF($C21&lt;&gt;1,1,MAX(1,COUNTIF(QCI!$A$13:$A$24,OFFSET($E21,-1,0)))),"")</f>
        <v/>
      </c>
      <c r="AE21" s="7" t="str">
        <f ca="1">IF(AND($C21="S",ORÇAMENTO.CodBarra&lt;&gt;""),IF(ORÇAMENTO.Fonte="",ORÇAMENTO.CodBarra,CONCATENATE(ORÇAMENTO.Fonte," ",ORÇAMENTO.CodBarra)))</f>
        <v>Composição COMP-01</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04-2026.xlsm)</v>
      </c>
      <c r="AG21" s="453">
        <f ca="1">ROUND(IF(DESONERACAO="sim",REFERENCIA.Desonerado,REFERENCIA.NaoDesonerado),2)</f>
        <v>0</v>
      </c>
      <c r="AH21" s="454">
        <f t="shared" ca="1" si="15"/>
        <v>0.26329999999999998</v>
      </c>
      <c r="AJ21" s="456"/>
      <c r="AL21" s="471"/>
      <c r="AM21" s="348">
        <f t="shared" ca="1" si="0"/>
        <v>0</v>
      </c>
      <c r="AN21" s="504">
        <f t="shared" ca="1" si="16"/>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IF(OR($C22="S",$C22=0),0,MATCH(OFFSET($D22,0,$C22)+IF($C22&lt;&gt;1,1,COUNTIF(QCI!$A$13:$A$24,ORÇAMENTO!E22)),OFFSET($D22,1,$C22,ROW($C$89)-ROW($C22)),0))</f>
        <v>0</v>
      </c>
      <c r="L22" s="116" t="str">
        <f t="shared" ca="1" si="10"/>
        <v/>
      </c>
      <c r="M22" s="117" t="s">
        <v>197</v>
      </c>
      <c r="N22" s="118" t="str">
        <f t="shared" ca="1" si="11"/>
        <v>Serviço</v>
      </c>
      <c r="O22" s="119" t="str">
        <f t="shared" ca="1" si="12"/>
        <v>-</v>
      </c>
      <c r="P22" s="120" t="s">
        <v>245</v>
      </c>
      <c r="Q22" s="121" t="s">
        <v>941</v>
      </c>
      <c r="R22" s="122" t="str">
        <f ca="1">IF($C22="S",REFERENCIA.Descricao,"(digite a descrição aqui)")</f>
        <v>(abra o arquivo 'Referência 04-2026.xlsm)</v>
      </c>
      <c r="S22" s="123" t="str">
        <f ca="1">REFERENCIA.Unidade</f>
        <v>-</v>
      </c>
      <c r="T22" s="124">
        <f ca="1">OFFSET(CÁLCULO!H$15,ROW($T22)-ROW(T$15),0)</f>
        <v>46.31</v>
      </c>
      <c r="U22" s="125">
        <f t="shared" ca="1" si="17"/>
        <v>0</v>
      </c>
      <c r="V22" s="126" t="s">
        <v>155</v>
      </c>
      <c r="W22" s="124">
        <f ca="1">IF($C22="S",ROUND(IF(TIPOORCAMENTO="Proposto",ORÇAMENTO.CustoUnitario*(1+$AH22),ORÇAMENTO.PrecoUnitarioLicitado),15-13*$AF$10),0)</f>
        <v>0</v>
      </c>
      <c r="X22" s="127">
        <f ca="1">IF($C22="S",IF(OR(Import.TipoArredondamento&lt;&gt;"TransfereGOV",ACOMPANHAMENTO="BM"),VTOTAL1,SUM(OFFSET(CÁLCULO!$AA$15,ROW($X22)-ROW($X$15),1):OFFSET(CÁLCULO!$AL$15,ROW($X22)-ROW($X$15),-1))),IF($C22=0,0,ROUND(SomaAgrup,15-13*$AF$11)))</f>
        <v>0</v>
      </c>
      <c r="Y22" s="128" t="s">
        <v>243</v>
      </c>
      <c r="Z22" t="str">
        <f t="shared" ca="1" si="13"/>
        <v/>
      </c>
      <c r="AA22" s="129">
        <f ca="1">IF($C22="S",IF($Z22="CP",$X22,IF($Z22="RA",(($X22)*QCI!$AA$3),0)),SomaAgrup)</f>
        <v>0</v>
      </c>
      <c r="AB22" s="130">
        <f t="shared" ca="1" si="14"/>
        <v>0</v>
      </c>
      <c r="AC22" s="619" t="str">
        <f ca="1">IF($N22=""," ",
IF(AND($C22="S",OR($Q22&lt;&gt;0,$T22&gt;0,$U22&gt;0),$P22=0),"FONTE",
IF(AND($C22="S",$P22&lt;&gt;0,OR($T22&gt;0,$U22&gt;0),$Q22=0),"CÓDIGO",
IF(AND(OR($R22="",$R22="(digite a descrição aqui)"),OR($C22&lt;&gt;"S",AND($C22="S",OR($Q22&lt;&gt;0,$T22&gt;0,$U22&gt;0)))),"DESCRIÇÃO",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SEM CUSTO</v>
      </c>
      <c r="AD22" t="str">
        <f ca="1">IF(C22&lt;=CRONO.NivelExibicao,MAX($AD$15:OFFSET(AD22,-1,0))+IF($C22&lt;&gt;1,1,MAX(1,COUNTIF(QCI!$A$13:$A$24,OFFSET($E22,-1,0)))),"")</f>
        <v/>
      </c>
      <c r="AE22" s="7" t="str">
        <f ca="1">IF(AND($C22="S",ORÇAMENTO.CodBarra&lt;&gt;""),IF(ORÇAMENTO.Fonte="",ORÇAMENTO.CodBarra,CONCATENATE(ORÇAMENTO.Fonte," ",ORÇAMENTO.CodBarra)))</f>
        <v>SINAPI 97622</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04-2026.xlsm)</v>
      </c>
      <c r="AG22" s="453">
        <f ca="1">ROUND(IF(DESONERACAO="sim",REFERENCIA.Desonerado,REFERENCIA.NaoDesonerado),2)</f>
        <v>0</v>
      </c>
      <c r="AH22" s="454">
        <f t="shared" ca="1" si="15"/>
        <v>0.26329999999999998</v>
      </c>
      <c r="AJ22" s="456"/>
      <c r="AL22" s="471"/>
      <c r="AM22" s="348">
        <f t="shared" ca="1" si="0"/>
        <v>0</v>
      </c>
      <c r="AN22" s="504">
        <f t="shared" ca="1" si="16"/>
        <v>0</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IF(OR($C23="S",$C23=0),0,MATCH(OFFSET($D23,0,$C23)+IF($C23&lt;&gt;1,1,COUNTIF(QCI!$A$13:$A$24,ORÇAMENTO!E23)),OFFSET($D23,1,$C23,ROW($C$89)-ROW($C23)),0))</f>
        <v>0</v>
      </c>
      <c r="L23" s="116" t="str">
        <f t="shared" ca="1" si="10"/>
        <v/>
      </c>
      <c r="M23" s="117" t="s">
        <v>197</v>
      </c>
      <c r="N23" s="118" t="str">
        <f t="shared" ca="1" si="11"/>
        <v>Serviço</v>
      </c>
      <c r="O23" s="119" t="str">
        <f t="shared" ca="1" si="12"/>
        <v>-</v>
      </c>
      <c r="P23" s="120" t="s">
        <v>939</v>
      </c>
      <c r="Q23" s="121" t="s">
        <v>942</v>
      </c>
      <c r="R23" s="122" t="str">
        <f ca="1">IF($C23="S",REFERENCIA.Descricao,"(digite a descrição aqui)")</f>
        <v>(abra o arquivo 'Referência 04-2026.xlsm)</v>
      </c>
      <c r="S23" s="123" t="str">
        <f ca="1">REFERENCIA.Unidade</f>
        <v>-</v>
      </c>
      <c r="T23" s="124">
        <f ca="1">OFFSET(CÁLCULO!H$15,ROW($T23)-ROW(T$15),0)</f>
        <v>11</v>
      </c>
      <c r="U23" s="125">
        <f t="shared" ca="1" si="17"/>
        <v>0</v>
      </c>
      <c r="V23" s="126" t="s">
        <v>155</v>
      </c>
      <c r="W23" s="124">
        <f ca="1">IF($C23="S",ROUND(IF(TIPOORCAMENTO="Proposto",ORÇAMENTO.CustoUnitario*(1+$AH23),ORÇAMENTO.PrecoUnitarioLicitado),15-13*$AF$10),0)</f>
        <v>0</v>
      </c>
      <c r="X23" s="127">
        <f ca="1">IF($C23="S",IF(OR(Import.TipoArredondamento&lt;&gt;"TransfereGOV",ACOMPANHAMENTO="BM"),VTOTAL1,SUM(OFFSET(CÁLCULO!$AA$15,ROW($X23)-ROW($X$15),1):OFFSET(CÁLCULO!$AL$15,ROW($X23)-ROW($X$15),-1))),IF($C23=0,0,ROUND(SomaAgrup,15-13*$AF$11)))</f>
        <v>0</v>
      </c>
      <c r="Y23" s="128" t="s">
        <v>243</v>
      </c>
      <c r="Z23" t="str">
        <f t="shared" ca="1" si="13"/>
        <v/>
      </c>
      <c r="AA23" s="129">
        <f ca="1">IF($C23="S",IF($Z23="CP",$X23,IF($Z23="RA",(($X23)*QCI!$AA$3),0)),SomaAgrup)</f>
        <v>0</v>
      </c>
      <c r="AB23" s="130">
        <f t="shared" ca="1" si="14"/>
        <v>0</v>
      </c>
      <c r="AC23" s="619" t="str">
        <f ca="1">IF($N23=""," ",
IF(AND($C23="S",OR($Q23&lt;&gt;0,$T23&gt;0,$U23&gt;0),$P23=0),"FONTE",
IF(AND($C23="S",$P23&lt;&gt;0,OR($T23&gt;0,$U23&gt;0),$Q23=0),"CÓDIGO",
IF(AND(OR($R23="",$R23="(digite a descrição aqui)"),OR($C23&lt;&gt;"S",AND($C23="S",OR($Q23&lt;&gt;0,$T23&gt;0,$U23&gt;0)))),"DESCRIÇÃO",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SEM CUSTO</v>
      </c>
      <c r="AD23" t="str">
        <f ca="1">IF(C23&lt;=CRONO.NivelExibicao,MAX($AD$15:OFFSET(AD23,-1,0))+IF($C23&lt;&gt;1,1,MAX(1,COUNTIF(QCI!$A$13:$A$24,OFFSET($E23,-1,0)))),"")</f>
        <v/>
      </c>
      <c r="AE23" s="7" t="str">
        <f ca="1">IF(AND($C23="S",ORÇAMENTO.CodBarra&lt;&gt;""),IF(ORÇAMENTO.Fonte="",ORÇAMENTO.CodBarra,CONCATENATE(ORÇAMENTO.Fonte," ",ORÇAMENTO.CodBarra)))</f>
        <v>Composição COMP-02</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04-2026.xlsm)</v>
      </c>
      <c r="AG23" s="453">
        <f ca="1">ROUND(IF(DESONERACAO="sim",REFERENCIA.Desonerado,REFERENCIA.NaoDesonerado),2)</f>
        <v>0</v>
      </c>
      <c r="AH23" s="454">
        <f t="shared" ca="1" si="15"/>
        <v>0.26329999999999998</v>
      </c>
      <c r="AJ23" s="456"/>
      <c r="AL23" s="471"/>
      <c r="AM23" s="348">
        <f t="shared" ca="1" si="0"/>
        <v>0</v>
      </c>
      <c r="AN23" s="504">
        <f t="shared" ca="1" si="16"/>
        <v>0</v>
      </c>
    </row>
    <row r="24" spans="1:40" ht="38.2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9"/>
        <v>0</v>
      </c>
      <c r="K24">
        <f ca="1">IF(OR($C24="S",$C24=0),0,MATCH(OFFSET($D24,0,$C24)+IF($C24&lt;&gt;1,1,COUNTIF(QCI!$A$13:$A$24,ORÇAMENTO!E24)),OFFSET($D24,1,$C24,ROW($C$89)-ROW($C24)),0))</f>
        <v>0</v>
      </c>
      <c r="L24" s="116" t="str">
        <f t="shared" ca="1" si="10"/>
        <v/>
      </c>
      <c r="M24" s="117" t="s">
        <v>197</v>
      </c>
      <c r="N24" s="118" t="str">
        <f t="shared" ca="1" si="11"/>
        <v>Serviço</v>
      </c>
      <c r="O24" s="119" t="str">
        <f t="shared" ca="1" si="12"/>
        <v>-</v>
      </c>
      <c r="P24" s="120" t="s">
        <v>939</v>
      </c>
      <c r="Q24" s="121" t="s">
        <v>943</v>
      </c>
      <c r="R24" s="122" t="str">
        <f ca="1">IF($C24="S",REFERENCIA.Descricao,"(digite a descrição aqui)")</f>
        <v>(abra o arquivo 'Referência 04-2026.xlsm)</v>
      </c>
      <c r="S24" s="123" t="str">
        <f ca="1">REFERENCIA.Unidade</f>
        <v>-</v>
      </c>
      <c r="T24" s="124">
        <f ca="1">OFFSET(CÁLCULO!H$15,ROW($T24)-ROW(T$15),0)</f>
        <v>11</v>
      </c>
      <c r="U24" s="125">
        <f t="shared" ca="1" si="17"/>
        <v>0</v>
      </c>
      <c r="V24" s="126" t="s">
        <v>155</v>
      </c>
      <c r="W24" s="124">
        <f ca="1">IF($C24="S",ROUND(IF(TIPOORCAMENTO="Proposto",ORÇAMENTO.CustoUnitario*(1+$AH24),ORÇAMENTO.PrecoUnitarioLicitado),15-13*$AF$10),0)</f>
        <v>0</v>
      </c>
      <c r="X24" s="127">
        <f ca="1">IF($C24="S",IF(OR(Import.TipoArredondamento&lt;&gt;"TransfereGOV",ACOMPANHAMENTO="BM"),VTOTAL1,SUM(OFFSET(CÁLCULO!$AA$15,ROW($X24)-ROW($X$15),1):OFFSET(CÁLCULO!$AL$15,ROW($X24)-ROW($X$15),-1))),IF($C24=0,0,ROUND(SomaAgrup,15-13*$AF$11)))</f>
        <v>0</v>
      </c>
      <c r="Y24" s="128" t="s">
        <v>243</v>
      </c>
      <c r="Z24" t="str">
        <f t="shared" ca="1" si="13"/>
        <v/>
      </c>
      <c r="AA24" s="129">
        <f ca="1">IF($C24="S",IF($Z24="CP",$X24,IF($Z24="RA",(($X24)*QCI!$AA$3),0)),SomaAgrup)</f>
        <v>0</v>
      </c>
      <c r="AB24" s="130">
        <f t="shared" ca="1" si="14"/>
        <v>0</v>
      </c>
      <c r="AC24" s="619" t="str">
        <f ca="1">IF($N24=""," ",
IF(AND($C24="S",OR($Q24&lt;&gt;0,$T24&gt;0,$U24&gt;0),$P24=0),"FONTE",
IF(AND($C24="S",$P24&lt;&gt;0,OR($T24&gt;0,$U24&gt;0),$Q24=0),"CÓDIGO",
IF(AND(OR($R24="",$R24="(digite a descrição aqui)"),OR($C24&lt;&gt;"S",AND($C24="S",OR($Q24&lt;&gt;0,$T24&gt;0,$U24&gt;0)))),"DESCRIÇÃO",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SEM CUSTO</v>
      </c>
      <c r="AD24" t="str">
        <f ca="1">IF(C24&lt;=CRONO.NivelExibicao,MAX($AD$15:OFFSET(AD24,-1,0))+IF($C24&lt;&gt;1,1,MAX(1,COUNTIF(QCI!$A$13:$A$24,OFFSET($E24,-1,0)))),"")</f>
        <v/>
      </c>
      <c r="AE24" s="7" t="str">
        <f ca="1">IF(AND($C24="S",ORÇAMENTO.CodBarra&lt;&gt;""),IF(ORÇAMENTO.Fonte="",ORÇAMENTO.CodBarra,CONCATENATE(ORÇAMENTO.Fonte," ",ORÇAMENTO.CodBarra)))</f>
        <v>Composição COMP-03</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04-2026.xlsm)</v>
      </c>
      <c r="AG24" s="453">
        <f ca="1">ROUND(IF(DESONERACAO="sim",REFERENCIA.Desonerado,REFERENCIA.NaoDesonerado),2)</f>
        <v>0</v>
      </c>
      <c r="AH24" s="454">
        <f t="shared" ca="1" si="15"/>
        <v>0.26329999999999998</v>
      </c>
      <c r="AJ24" s="456"/>
      <c r="AL24" s="471"/>
      <c r="AM24" s="348">
        <f t="shared" ca="1" si="0"/>
        <v>0</v>
      </c>
      <c r="AN24" s="504">
        <f t="shared" ca="1" si="16"/>
        <v>0</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IF(OR($C25="S",$C25=0),0,MATCH(OFFSET($D25,0,$C25)+IF($C25&lt;&gt;1,1,COUNTIF(QCI!$A$13:$A$24,ORÇAMENTO!E25)),OFFSET($D25,1,$C25,ROW($C$89)-ROW($C25)),0))</f>
        <v>0</v>
      </c>
      <c r="L25" s="116" t="str">
        <f t="shared" ca="1" si="10"/>
        <v/>
      </c>
      <c r="M25" s="117" t="s">
        <v>197</v>
      </c>
      <c r="N25" s="118" t="str">
        <f t="shared" ca="1" si="11"/>
        <v>Serviço</v>
      </c>
      <c r="O25" s="119" t="str">
        <f t="shared" ca="1" si="12"/>
        <v>-</v>
      </c>
      <c r="P25" s="120" t="s">
        <v>245</v>
      </c>
      <c r="Q25" s="121" t="s">
        <v>944</v>
      </c>
      <c r="R25" s="122" t="str">
        <f ca="1">IF($C25="S",REFERENCIA.Descricao,"(digite a descrição aqui)")</f>
        <v>(abra o arquivo 'Referência 04-2026.xlsm)</v>
      </c>
      <c r="S25" s="123" t="str">
        <f ca="1">REFERENCIA.Unidade</f>
        <v>-</v>
      </c>
      <c r="T25" s="124">
        <f ca="1">OFFSET(CÁLCULO!H$15,ROW($T25)-ROW(T$15),0)</f>
        <v>26.4</v>
      </c>
      <c r="U25" s="125">
        <f t="shared" ca="1" si="17"/>
        <v>0</v>
      </c>
      <c r="V25" s="126" t="s">
        <v>155</v>
      </c>
      <c r="W25" s="124">
        <f ca="1">IF($C25="S",ROUND(IF(TIPOORCAMENTO="Proposto",ORÇAMENTO.CustoUnitario*(1+$AH25),ORÇAMENTO.PrecoUnitarioLicitado),15-13*$AF$10),0)</f>
        <v>0</v>
      </c>
      <c r="X25" s="127">
        <f ca="1">IF($C25="S",IF(OR(Import.TipoArredondamento&lt;&gt;"TransfereGOV",ACOMPANHAMENTO="BM"),VTOTAL1,SUM(OFFSET(CÁLCULO!$AA$15,ROW($X25)-ROW($X$15),1):OFFSET(CÁLCULO!$AL$15,ROW($X25)-ROW($X$15),-1))),IF($C25=0,0,ROUND(SomaAgrup,15-13*$AF$11)))</f>
        <v>0</v>
      </c>
      <c r="Y25" s="128" t="s">
        <v>243</v>
      </c>
      <c r="Z25" t="str">
        <f t="shared" ca="1" si="13"/>
        <v/>
      </c>
      <c r="AA25" s="129">
        <f ca="1">IF($C25="S",IF($Z25="CP",$X25,IF($Z25="RA",(($X25)*QCI!$AA$3),0)),SomaAgrup)</f>
        <v>0</v>
      </c>
      <c r="AB25" s="130">
        <f t="shared" ca="1" si="14"/>
        <v>0</v>
      </c>
      <c r="AC25" s="619" t="str">
        <f ca="1">IF($N25=""," ",
IF(AND($C25="S",OR($Q25&lt;&gt;0,$T25&gt;0,$U25&gt;0),$P25=0),"FONTE",
IF(AND($C25="S",$P25&lt;&gt;0,OR($T25&gt;0,$U25&gt;0),$Q25=0),"CÓDIGO",
IF(AND(OR($R25="",$R25="(digite a descrição aqui)"),OR($C25&lt;&gt;"S",AND($C25="S",OR($Q25&lt;&gt;0,$T25&gt;0,$U25&gt;0)))),"DESCRIÇÃO",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SEM CUSTO</v>
      </c>
      <c r="AD25" t="str">
        <f ca="1">IF(C25&lt;=CRONO.NivelExibicao,MAX($AD$15:OFFSET(AD25,-1,0))+IF($C25&lt;&gt;1,1,MAX(1,COUNTIF(QCI!$A$13:$A$24,OFFSET($E25,-1,0)))),"")</f>
        <v/>
      </c>
      <c r="AE25" s="7" t="str">
        <f ca="1">IF(AND($C25="S",ORÇAMENTO.CodBarra&lt;&gt;""),IF(ORÇAMENTO.Fonte="",ORÇAMENTO.CodBarra,CONCATENATE(ORÇAMENTO.Fonte," ",ORÇAMENTO.CodBarra)))</f>
        <v>SINAPI 92413</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04-2026.xlsm)</v>
      </c>
      <c r="AG25" s="453">
        <f ca="1">ROUND(IF(DESONERACAO="sim",REFERENCIA.Desonerado,REFERENCIA.NaoDesonerado),2)</f>
        <v>0</v>
      </c>
      <c r="AH25" s="454">
        <f t="shared" ca="1" si="15"/>
        <v>0.26329999999999998</v>
      </c>
      <c r="AJ25" s="456"/>
      <c r="AL25" s="471"/>
      <c r="AM25" s="348">
        <f t="shared" ca="1" si="0"/>
        <v>0</v>
      </c>
      <c r="AN25" s="504">
        <f t="shared" ca="1" si="16"/>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IF(OR($C26="S",$C26=0),0,MATCH(OFFSET($D26,0,$C26)+IF($C26&lt;&gt;1,1,COUNTIF(QCI!$A$13:$A$24,ORÇAMENTO!E26)),OFFSET($D26,1,$C26,ROW($C$89)-ROW($C26)),0))</f>
        <v>0</v>
      </c>
      <c r="L26" s="116" t="str">
        <f t="shared" ca="1" si="10"/>
        <v/>
      </c>
      <c r="M26" s="117" t="s">
        <v>197</v>
      </c>
      <c r="N26" s="118" t="str">
        <f t="shared" ca="1" si="11"/>
        <v>Serviço</v>
      </c>
      <c r="O26" s="119" t="str">
        <f t="shared" ca="1" si="12"/>
        <v>-</v>
      </c>
      <c r="P26" s="120" t="s">
        <v>245</v>
      </c>
      <c r="Q26" s="121" t="s">
        <v>945</v>
      </c>
      <c r="R26" s="122" t="str">
        <f ca="1">IF($C26="S",REFERENCIA.Descricao,"(digite a descrição aqui)")</f>
        <v>(abra o arquivo 'Referência 04-2026.xlsm)</v>
      </c>
      <c r="S26" s="123" t="str">
        <f ca="1">REFERENCIA.Unidade</f>
        <v>-</v>
      </c>
      <c r="T26" s="124">
        <f ca="1">OFFSET(CÁLCULO!H$15,ROW($T26)-ROW(T$15),0)</f>
        <v>1.76</v>
      </c>
      <c r="U26" s="125">
        <f t="shared" ca="1" si="17"/>
        <v>0</v>
      </c>
      <c r="V26" s="126" t="s">
        <v>155</v>
      </c>
      <c r="W26" s="124">
        <f ca="1">IF($C26="S",ROUND(IF(TIPOORCAMENTO="Proposto",ORÇAMENTO.CustoUnitario*(1+$AH26),ORÇAMENTO.PrecoUnitarioLicitado),15-13*$AF$10),0)</f>
        <v>0</v>
      </c>
      <c r="X26" s="127">
        <f ca="1">IF($C26="S",IF(OR(Import.TipoArredondamento&lt;&gt;"TransfereGOV",ACOMPANHAMENTO="BM"),VTOTAL1,SUM(OFFSET(CÁLCULO!$AA$15,ROW($X26)-ROW($X$15),1):OFFSET(CÁLCULO!$AL$15,ROW($X26)-ROW($X$15),-1))),IF($C26=0,0,ROUND(SomaAgrup,15-13*$AF$11)))</f>
        <v>0</v>
      </c>
      <c r="Y26" s="128" t="s">
        <v>243</v>
      </c>
      <c r="Z26" t="str">
        <f t="shared" ca="1" si="13"/>
        <v/>
      </c>
      <c r="AA26" s="129">
        <f ca="1">IF($C26="S",IF($Z26="CP",$X26,IF($Z26="RA",(($X26)*QCI!$AA$3),0)),SomaAgrup)</f>
        <v>0</v>
      </c>
      <c r="AB26" s="130">
        <f t="shared" ca="1" si="14"/>
        <v>0</v>
      </c>
      <c r="AC26" s="619" t="str">
        <f ca="1">IF($N26=""," ",
IF(AND($C26="S",OR($Q26&lt;&gt;0,$T26&gt;0,$U26&gt;0),$P26=0),"FONTE",
IF(AND($C26="S",$P26&lt;&gt;0,OR($T26&gt;0,$U26&gt;0),$Q26=0),"CÓDIGO",
IF(AND(OR($R26="",$R26="(digite a descrição aqui)"),OR($C26&lt;&gt;"S",AND($C26="S",OR($Q26&lt;&gt;0,$T26&gt;0,$U26&gt;0)))),"DESCRIÇÃO",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SEM CUSTO</v>
      </c>
      <c r="AD26" t="str">
        <f ca="1">IF(C26&lt;=CRONO.NivelExibicao,MAX($AD$15:OFFSET(AD26,-1,0))+IF($C26&lt;&gt;1,1,MAX(1,COUNTIF(QCI!$A$13:$A$24,OFFSET($E26,-1,0)))),"")</f>
        <v/>
      </c>
      <c r="AE26" s="7" t="str">
        <f ca="1">IF(AND($C26="S",ORÇAMENTO.CodBarra&lt;&gt;""),IF(ORÇAMENTO.Fonte="",ORÇAMENTO.CodBarra,CONCATENATE(ORÇAMENTO.Fonte," ",ORÇAMENTO.CodBarra)))</f>
        <v>SINAPI 103669</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04-2026.xlsm)</v>
      </c>
      <c r="AG26" s="453">
        <f ca="1">ROUND(IF(DESONERACAO="sim",REFERENCIA.Desonerado,REFERENCIA.NaoDesonerado),2)</f>
        <v>0</v>
      </c>
      <c r="AH26" s="454">
        <f t="shared" ca="1" si="15"/>
        <v>0.26329999999999998</v>
      </c>
      <c r="AJ26" s="456"/>
      <c r="AL26" s="471"/>
      <c r="AM26" s="348">
        <f t="shared" ca="1" si="0"/>
        <v>0</v>
      </c>
      <c r="AN26" s="504">
        <f t="shared" ca="1" si="16"/>
        <v>0</v>
      </c>
    </row>
    <row r="27" spans="1:40" ht="51" x14ac:dyDescent="0.2">
      <c r="A27" t="str">
        <f>CHOOSE(1+LOG(1+2*(ORÇAMENTO.Nivel="Meta")+4*(ORÇAMENTO.Nivel="Nível 2")+8*(ORÇAMENTO.Nivel="Nível 3")+16*(ORÇAMENTO.Nivel="Nível 4")+32*(ORÇAMENTO.Nivel="Serviço"),2),0,1,2,3,4,"S")</f>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2</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IF(OR($C27="S",$C27=0),0,MATCH(OFFSET($D27,0,$C27)+IF($C27&lt;&gt;1,1,COUNTIF(QCI!$A$13:$A$24,ORÇAMENTO!E27)),OFFSET($D27,1,$C27,ROW($C$89)-ROW($C27)),0))</f>
        <v>0</v>
      </c>
      <c r="L27" s="116" t="str">
        <f ca="1">IF(OR($X27&gt;0,$C27=1,$C27=2,$C27=3,$C27=4),"F","")</f>
        <v/>
      </c>
      <c r="M27" s="117" t="s">
        <v>197</v>
      </c>
      <c r="N27" s="118" t="str">
        <f ca="1">CHOOSE(1+LOG(1+2*(C27=1)+4*(C27=2)+8*(C27=3)+16*(C27=4)+32*(C27="S"),2),"","Meta","Nível 2","Nível 3","Nível 4","Serviço")</f>
        <v>Serviço</v>
      </c>
      <c r="O27" s="119" t="str">
        <f ca="1">IF(OR($C27=0,$L27=""),"-",CONCATENATE(E27&amp;".",IF(AND($A$5&gt;=2,$C27&gt;=2),F27&amp;".",""),IF(AND($A$5&gt;=3,$C27&gt;=3),G27&amp;".",""),IF(AND($A$5&gt;=4,$C27&gt;=4),H27&amp;".",""),IF($C27="S",I27&amp;".","")))</f>
        <v>-</v>
      </c>
      <c r="P27" s="120" t="s">
        <v>245</v>
      </c>
      <c r="Q27" s="121" t="s">
        <v>966</v>
      </c>
      <c r="R27" s="122" t="str">
        <f ca="1">IF($C27="S",REFERENCIA.Descricao,"(digite a descrição aqui)")</f>
        <v>(abra o arquivo 'Referência 04-2026.xlsm)</v>
      </c>
      <c r="S27" s="123" t="str">
        <f ca="1">REFERENCIA.Unidade</f>
        <v>-</v>
      </c>
      <c r="T27" s="124">
        <f ca="1">OFFSET(CÁLCULO!H$15,ROW($T27)-ROW(T$15),0)</f>
        <v>16.5</v>
      </c>
      <c r="U27" s="125">
        <f t="shared" ca="1" si="17"/>
        <v>0</v>
      </c>
      <c r="V27" s="126" t="s">
        <v>155</v>
      </c>
      <c r="W27" s="124">
        <f ca="1">IF($C27="S",ROUND(IF(TIPOORCAMENTO="Proposto",ORÇAMENTO.CustoUnitario*(1+$AH27),ORÇAMENTO.PrecoUnitarioLicitado),15-13*$AF$10),0)</f>
        <v>0</v>
      </c>
      <c r="X27" s="127">
        <f ca="1">IF($C27="S",IF(OR(Import.TipoArredondamento&lt;&gt;"TransfereGOV",ACOMPANHAMENTO="BM"),VTOTAL1,SUM(OFFSET(CÁLCULO!$AA$15,ROW($X27)-ROW($X$15),1):OFFSET(CÁLCULO!$AL$15,ROW($X27)-ROW($X$15),-1))),IF($C27=0,0,ROUND(SomaAgrup,15-13*$AF$11)))</f>
        <v>0</v>
      </c>
      <c r="Y27" s="128" t="s">
        <v>243</v>
      </c>
      <c r="Z27" t="str">
        <f ca="1">IF(AND($C27="S",$X27&gt;0),IF(ISBLANK($Y27),"RA",LEFT($Y27,2)),"")</f>
        <v/>
      </c>
      <c r="AA27" s="129">
        <f ca="1">IF($C27="S",IF($Z27="CP",$X27,IF($Z27="RA",(($X27)*QCI!$AA$3),0)),SomaAgrup)</f>
        <v>0</v>
      </c>
      <c r="AB27" s="130">
        <f ca="1">IF($C27="S",IF($Z27="OU",ROUND($X27,2),0),SomaAgrup)</f>
        <v>0</v>
      </c>
      <c r="AC27" s="619" t="str">
        <f ca="1">IF($N27=""," ",
IF(AND($C27="S",OR($Q27&lt;&gt;0,$T27&gt;0,$U27&gt;0),$P27=0),"FONTE",
IF(AND($C27="S",$P27&lt;&gt;0,OR($T27&gt;0,$U27&gt;0),$Q27=0),"CÓDIGO",
IF(AND(OR($R27="",$R27="(digite a descrição aqui)"),OR($C27&lt;&gt;"S",AND($C27="S",OR($Q27&lt;&gt;0,$T27&gt;0,$U27&gt;0)))),"DESCRIÇÃO",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SEM CUSTO</v>
      </c>
      <c r="AD27" t="str">
        <f ca="1">IF(C27&lt;=CRONO.NivelExibicao,MAX($AD$15:OFFSET(AD27,-1,0))+IF($C27&lt;&gt;1,1,MAX(1,COUNTIF(QCI!$A$13:$A$24,OFFSET($E27,-1,0)))),"")</f>
        <v/>
      </c>
      <c r="AE27" s="7" t="str">
        <f ca="1">IF(AND($C27="S",ORÇAMENTO.CodBarra&lt;&gt;""),IF(ORÇAMENTO.Fonte="",ORÇAMENTO.CodBarra,CONCATENATE(ORÇAMENTO.Fonte," ",ORÇAMENTO.CodBarra)))</f>
        <v>SINAPI 103355</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04-2026.xlsm)</v>
      </c>
      <c r="AG27" s="453">
        <f ca="1">ROUND(IF(DESONERACAO="sim",REFERENCIA.Desonerado,REFERENCIA.NaoDesonerado),2)</f>
        <v>0</v>
      </c>
      <c r="AH27" s="454">
        <f ca="1">ROUND(IF(ISNUMBER(ORÇAMENTO.OpcaoBDI),ORÇAMENTO.OpcaoBDI,IF(LEFT(ORÇAMENTO.OpcaoBDI,3)="BDI",HLOOKUP(ORÇAMENTO.OpcaoBDI,$F$4:$H$5,2,FALSE),0)),15-11*$AF$9)</f>
        <v>0.26329999999999998</v>
      </c>
      <c r="AJ27" s="456"/>
      <c r="AL27" s="471"/>
      <c r="AM27" s="348">
        <f t="shared" ca="1" si="0"/>
        <v>0</v>
      </c>
      <c r="AN27" s="504">
        <f ca="1">ROUND(ORÇAMENTO.CustoUnitario*(1+$AH27),2)</f>
        <v>0</v>
      </c>
    </row>
    <row r="28" spans="1:40" ht="25.5" x14ac:dyDescent="0.2">
      <c r="A28" t="str">
        <f>CHOOSE(1+LOG(1+2*(ORÇAMENTO.Nivel="Meta")+4*(ORÇAMENTO.Nivel="Nível 2")+8*(ORÇAMENTO.Nivel="Nível 3")+16*(ORÇAMENTO.Nivel="Nível 4")+32*(ORÇAMENTO.Nivel="Serviço"),2),0,1,2,3,4,"S")</f>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2</v>
      </c>
      <c r="G28">
        <f ca="1">IF(AND($C28&lt;=2,$C28&lt;&gt;0),0,IF($C28=3,OFFSET(G28,-1,0)+1,OFFSET(G28,-1,0)))</f>
        <v>0</v>
      </c>
      <c r="H28">
        <f ca="1">IF(AND($C28&lt;=3,$C28&lt;&gt;0),0,IF($C28=4,OFFSET(H28,-1,0)+1,OFFSET(H28,-1,0)))</f>
        <v>0</v>
      </c>
      <c r="I28">
        <f ca="1">IF(AND($C28&lt;=4,$C28&lt;&gt;0),0,IF(AND($C28="S",$X28&gt;0),OFFSET(I28,-1,0)+1,OFFSET(I28,-1,0)))</f>
        <v>0</v>
      </c>
      <c r="J28">
        <f t="shared" ca="1" si="9"/>
        <v>0</v>
      </c>
      <c r="K28">
        <f ca="1">IF(OR($C28="S",$C28=0),0,MATCH(OFFSET($D28,0,$C28)+IF($C28&lt;&gt;1,1,COUNTIF(QCI!$A$13:$A$24,ORÇAMENTO!E28)),OFFSET($D28,1,$C28,ROW($C$89)-ROW($C28)),0))</f>
        <v>0</v>
      </c>
      <c r="L28" s="116" t="str">
        <f ca="1">IF(OR($X28&gt;0,$C28=1,$C28=2,$C28=3,$C28=4),"F","")</f>
        <v/>
      </c>
      <c r="M28" s="117" t="s">
        <v>197</v>
      </c>
      <c r="N28" s="118" t="str">
        <f ca="1">CHOOSE(1+LOG(1+2*(C28=1)+4*(C28=2)+8*(C28=3)+16*(C28=4)+32*(C28="S"),2),"","Meta","Nível 2","Nível 3","Nível 4","Serviço")</f>
        <v>Serviço</v>
      </c>
      <c r="O28" s="119" t="str">
        <f ca="1">IF(OR($C28=0,$L28=""),"-",CONCATENATE(E28&amp;".",IF(AND($A$5&gt;=2,$C28&gt;=2),F28&amp;".",""),IF(AND($A$5&gt;=3,$C28&gt;=3),G28&amp;".",""),IF(AND($A$5&gt;=4,$C28&gt;=4),H28&amp;".",""),IF($C28="S",I28&amp;".","")))</f>
        <v>-</v>
      </c>
      <c r="P28" s="120" t="s">
        <v>245</v>
      </c>
      <c r="Q28" s="121" t="s">
        <v>967</v>
      </c>
      <c r="R28" s="122" t="str">
        <f ca="1">IF($C28="S",REFERENCIA.Descricao,"(digite a descrição aqui)")</f>
        <v>(abra o arquivo 'Referência 04-2026.xlsm)</v>
      </c>
      <c r="S28" s="123" t="str">
        <f ca="1">REFERENCIA.Unidade</f>
        <v>-</v>
      </c>
      <c r="T28" s="124">
        <f ca="1">OFFSET(CÁLCULO!H$15,ROW($T28)-ROW(T$15),0)</f>
        <v>4</v>
      </c>
      <c r="U28" s="125">
        <f t="shared" ca="1" si="17"/>
        <v>0</v>
      </c>
      <c r="V28" s="126" t="s">
        <v>155</v>
      </c>
      <c r="W28" s="124">
        <f ca="1">IF($C28="S",ROUND(IF(TIPOORCAMENTO="Proposto",ORÇAMENTO.CustoUnitario*(1+$AH28),ORÇAMENTO.PrecoUnitarioLicitado),15-13*$AF$10),0)</f>
        <v>0</v>
      </c>
      <c r="X28" s="127">
        <f ca="1">IF($C28="S",IF(OR(Import.TipoArredondamento&lt;&gt;"TransfereGOV",ACOMPANHAMENTO="BM"),VTOTAL1,SUM(OFFSET(CÁLCULO!$AA$15,ROW($X28)-ROW($X$15),1):OFFSET(CÁLCULO!$AL$15,ROW($X28)-ROW($X$15),-1))),IF($C28=0,0,ROUND(SomaAgrup,15-13*$AF$11)))</f>
        <v>0</v>
      </c>
      <c r="Y28" s="128" t="s">
        <v>243</v>
      </c>
      <c r="Z28" t="str">
        <f ca="1">IF(AND($C28="S",$X28&gt;0),IF(ISBLANK($Y28),"RA",LEFT($Y28,2)),"")</f>
        <v/>
      </c>
      <c r="AA28" s="129">
        <f ca="1">IF($C28="S",IF($Z28="CP",$X28,IF($Z28="RA",(($X28)*QCI!$AA$3),0)),SomaAgrup)</f>
        <v>0</v>
      </c>
      <c r="AB28" s="130">
        <f ca="1">IF($C28="S",IF($Z28="OU",ROUND($X28,2),0),SomaAgrup)</f>
        <v>0</v>
      </c>
      <c r="AC28" s="619" t="str">
        <f ca="1">IF($N28=""," ",
IF(AND($C28="S",OR($Q28&lt;&gt;0,$T28&gt;0,$U28&gt;0),$P28=0),"FONTE",
IF(AND($C28="S",$P28&lt;&gt;0,OR($T28&gt;0,$U28&gt;0),$Q28=0),"CÓDIGO",
IF(AND(OR($R28="",$R28="(digite a descrição aqui)"),OR($C28&lt;&gt;"S",AND($C28="S",OR($Q28&lt;&gt;0,$T28&gt;0,$U28&gt;0)))),"DESCRIÇÃO",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SEM CUSTO</v>
      </c>
      <c r="AD28" t="str">
        <f ca="1">IF(C28&lt;=CRONO.NivelExibicao,MAX($AD$15:OFFSET(AD28,-1,0))+IF($C28&lt;&gt;1,1,MAX(1,COUNTIF(QCI!$A$13:$A$24,OFFSET($E28,-1,0)))),"")</f>
        <v/>
      </c>
      <c r="AE28" s="7" t="str">
        <f ca="1">IF(AND($C28="S",ORÇAMENTO.CodBarra&lt;&gt;""),IF(ORÇAMENTO.Fonte="",ORÇAMENTO.CodBarra,CONCATENATE(ORÇAMENTO.Fonte," ",ORÇAMENTO.CodBarra)))</f>
        <v>SINAPI 102491</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04-2026.xlsm)</v>
      </c>
      <c r="AG28" s="453">
        <f ca="1">ROUND(IF(DESONERACAO="sim",REFERENCIA.Desonerado,REFERENCIA.NaoDesonerado),2)</f>
        <v>0</v>
      </c>
      <c r="AH28" s="454">
        <f ca="1">ROUND(IF(ISNUMBER(ORÇAMENTO.OpcaoBDI),ORÇAMENTO.OpcaoBDI,IF(LEFT(ORÇAMENTO.OpcaoBDI,3)="BDI",HLOOKUP(ORÇAMENTO.OpcaoBDI,$F$4:$H$5,2,FALSE),0)),15-11*$AF$9)</f>
        <v>0.26329999999999998</v>
      </c>
      <c r="AJ28" s="456"/>
      <c r="AL28" s="471"/>
      <c r="AM28" s="348">
        <f t="shared" ca="1" si="0"/>
        <v>0</v>
      </c>
      <c r="AN28" s="504">
        <f ca="1">ROUND(ORÇAMENTO.CustoUnitario*(1+$AH28),2)</f>
        <v>0</v>
      </c>
    </row>
    <row r="29" spans="1:40" x14ac:dyDescent="0.2">
      <c r="A29">
        <f t="shared" si="1"/>
        <v>1</v>
      </c>
      <c r="B29">
        <f t="shared" ca="1" si="2"/>
        <v>1</v>
      </c>
      <c r="C29">
        <f t="shared" ca="1" si="3"/>
        <v>1</v>
      </c>
      <c r="D29">
        <f t="shared" ca="1" si="4"/>
        <v>60</v>
      </c>
      <c r="E29">
        <f ca="1">IF($C29=1,OFFSET(E29,-1,0)+MAX(1,COUNTIF(QCI!$A$13:$A$24,OFFSET(ORÇAMENTO!E29,-1,0))),OFFSET(E29,-1,0))</f>
        <v>2</v>
      </c>
      <c r="F29">
        <f t="shared" ca="1" si="5"/>
        <v>0</v>
      </c>
      <c r="G29">
        <f t="shared" ca="1" si="6"/>
        <v>0</v>
      </c>
      <c r="H29">
        <f t="shared" ca="1" si="7"/>
        <v>0</v>
      </c>
      <c r="I29">
        <f t="shared" ca="1" si="8"/>
        <v>0</v>
      </c>
      <c r="J29">
        <f t="shared" ca="1" si="9"/>
        <v>60</v>
      </c>
      <c r="K29" t="e">
        <f ca="1">IF(OR($C29="S",$C29=0),0,MATCH(OFFSET($D29,0,$C29)+IF($C29&lt;&gt;1,1,COUNTIF(QCI!$A$13:$A$24,ORÇAMENTO!E29)),OFFSET($D29,1,$C29,ROW($C$89)-ROW($C29)),0))</f>
        <v>#N/A</v>
      </c>
      <c r="L29" s="116" t="str">
        <f t="shared" ca="1" si="10"/>
        <v>F</v>
      </c>
      <c r="M29" s="117" t="s">
        <v>193</v>
      </c>
      <c r="N29" s="118" t="str">
        <f t="shared" ca="1" si="11"/>
        <v>Meta</v>
      </c>
      <c r="O29" s="119" t="str">
        <f t="shared" ca="1" si="12"/>
        <v>2.</v>
      </c>
      <c r="P29" s="120" t="s">
        <v>245</v>
      </c>
      <c r="Q29" s="121"/>
      <c r="R29" s="122" t="s">
        <v>962</v>
      </c>
      <c r="S29" s="123" t="str">
        <f ca="1">REFERENCIA.Unidade</f>
        <v>-</v>
      </c>
      <c r="T29" s="124">
        <f ca="1">OFFSET(CÁLCULO!H$15,ROW($T29)-ROW(T$15),0)</f>
        <v>0</v>
      </c>
      <c r="U29" s="125">
        <f t="shared" ca="1" si="17"/>
        <v>0</v>
      </c>
      <c r="V29" s="126" t="s">
        <v>155</v>
      </c>
      <c r="W29" s="124">
        <f ca="1">IF($C29="S",ROUND(IF(TIPOORCAMENTO="Proposto",ORÇAMENTO.CustoUnitario*(1+$AH29),ORÇAMENTO.PrecoUnitarioLicitado),15-13*$AF$10),0)</f>
        <v>0</v>
      </c>
      <c r="X29" s="127">
        <f ca="1">IF($C29="S",IF(OR(Import.TipoArredondamento&lt;&gt;"TransfereGOV",ACOMPANHAMENTO="BM"),VTOTAL1,SUM(OFFSET(CÁLCULO!$AA$15,ROW($X29)-ROW($X$15),1):OFFSET(CÁLCULO!$AL$15,ROW($X29)-ROW($X$15),-1))),IF($C29=0,0,ROUND(SomaAgrup,15-13*$AF$11)))</f>
        <v>0</v>
      </c>
      <c r="Y29" s="128" t="s">
        <v>243</v>
      </c>
      <c r="Z29" t="str">
        <f t="shared" ca="1" si="13"/>
        <v/>
      </c>
      <c r="AA29" s="129">
        <f ca="1">IF($C29="S",IF($Z29="CP",$X29,IF($Z29="RA",(($X29)*QCI!$AA$3),0)),SomaAgrup)</f>
        <v>0</v>
      </c>
      <c r="AB29" s="130">
        <f t="shared" ca="1" si="14"/>
        <v>0</v>
      </c>
      <c r="AC29" s="619" t="str">
        <f ca="1">IF($N29=""," ",
IF(AND($C29="S",OR($Q29&lt;&gt;0,$T29&gt;0,$U29&gt;0),$P29=0),"FONTE",
IF(AND($C29="S",$P29&lt;&gt;0,OR($T29&gt;0,$U29&gt;0),$Q29=0),"CÓDIGO",
IF(AND(OR($R29="",$R29="(digite a descrição aqui)"),OR($C29&lt;&gt;"S",AND($C29="S",OR($Q29&lt;&gt;0,$T29&gt;0,$U29&gt;0)))),"DESCRIÇÃO",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4</v>
      </c>
      <c r="AE29" s="7" t="b">
        <f ca="1">IF(AND($C29="S",ORÇAMENTO.CodBarra&lt;&gt;""),IF(ORÇAMENTO.Fonte="",ORÇAMENTO.CodBarra,CONCATENATE(ORÇAMENTO.Fonte," ",ORÇAMENTO.CodBarra)))</f>
        <v>0</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04-2026.xlsm)</v>
      </c>
      <c r="AG29" s="453">
        <f ca="1">ROUND(IF(DESONERACAO="sim",REFERENCIA.Desonerado,REFERENCIA.NaoDesonerado),2)</f>
        <v>0</v>
      </c>
      <c r="AH29" s="454">
        <f t="shared" ca="1" si="15"/>
        <v>0.26329999999999998</v>
      </c>
      <c r="AJ29" s="456"/>
      <c r="AL29" s="471"/>
      <c r="AM29" s="348">
        <f t="shared" ca="1" si="0"/>
        <v>0</v>
      </c>
      <c r="AN29" s="504">
        <f t="shared" ca="1" si="16"/>
        <v>0</v>
      </c>
    </row>
    <row r="30" spans="1:40" x14ac:dyDescent="0.2">
      <c r="A30">
        <f t="shared" si="1"/>
        <v>2</v>
      </c>
      <c r="B30">
        <f t="shared" ca="1" si="2"/>
        <v>2</v>
      </c>
      <c r="C30">
        <f t="shared" ca="1" si="3"/>
        <v>2</v>
      </c>
      <c r="D30">
        <f t="shared" ca="1" si="4"/>
        <v>7</v>
      </c>
      <c r="E30">
        <f ca="1">IF($C30=1,OFFSET(E30,-1,0)+MAX(1,COUNTIF(QCI!$A$13:$A$24,OFFSET(ORÇAMENTO!E30,-1,0))),OFFSET(E30,-1,0))</f>
        <v>2</v>
      </c>
      <c r="F30">
        <f t="shared" ca="1" si="5"/>
        <v>1</v>
      </c>
      <c r="G30">
        <f t="shared" ca="1" si="6"/>
        <v>0</v>
      </c>
      <c r="H30">
        <f t="shared" ca="1" si="7"/>
        <v>0</v>
      </c>
      <c r="I30">
        <f t="shared" ca="1" si="8"/>
        <v>0</v>
      </c>
      <c r="J30">
        <f t="shared" ca="1" si="9"/>
        <v>59</v>
      </c>
      <c r="K30">
        <f ca="1">IF(OR($C30="S",$C30=0),0,MATCH(OFFSET($D30,0,$C30)+IF($C30&lt;&gt;1,1,COUNTIF(QCI!$A$13:$A$24,ORÇAMENTO!E30)),OFFSET($D30,1,$C30,ROW($C$89)-ROW($C30)),0))</f>
        <v>7</v>
      </c>
      <c r="L30" s="116" t="str">
        <f t="shared" ca="1" si="10"/>
        <v>F</v>
      </c>
      <c r="M30" s="117" t="s">
        <v>194</v>
      </c>
      <c r="N30" s="118" t="str">
        <f t="shared" ca="1" si="11"/>
        <v>Nível 2</v>
      </c>
      <c r="O30" s="119" t="str">
        <f t="shared" ca="1" si="12"/>
        <v>2.1.</v>
      </c>
      <c r="P30" s="120" t="s">
        <v>245</v>
      </c>
      <c r="Q30" s="121"/>
      <c r="R30" s="122" t="s">
        <v>963</v>
      </c>
      <c r="S30" s="123" t="str">
        <f ca="1">REFERENCIA.Unidade</f>
        <v>-</v>
      </c>
      <c r="T30" s="124">
        <f ca="1">OFFSET(CÁLCULO!H$15,ROW($T30)-ROW(T$15),0)</f>
        <v>0</v>
      </c>
      <c r="U30" s="125">
        <f t="shared" ca="1" si="17"/>
        <v>0</v>
      </c>
      <c r="V30" s="126" t="s">
        <v>155</v>
      </c>
      <c r="W30" s="124">
        <f ca="1">IF($C30="S",ROUND(IF(TIPOORCAMENTO="Proposto",ORÇAMENTO.CustoUnitario*(1+$AH30),ORÇAMENTO.PrecoUnitarioLicitado),15-13*$AF$10),0)</f>
        <v>0</v>
      </c>
      <c r="X30" s="127">
        <f ca="1">IF($C30="S",IF(OR(Import.TipoArredondamento&lt;&gt;"TransfereGOV",ACOMPANHAMENTO="BM"),VTOTAL1,SUM(OFFSET(CÁLCULO!$AA$15,ROW($X30)-ROW($X$15),1):OFFSET(CÁLCULO!$AL$15,ROW($X30)-ROW($X$15),-1))),IF($C30=0,0,ROUND(SomaAgrup,15-13*$AF$11)))</f>
        <v>0</v>
      </c>
      <c r="Y30" s="128" t="s">
        <v>243</v>
      </c>
      <c r="Z30" t="str">
        <f t="shared" ca="1" si="13"/>
        <v/>
      </c>
      <c r="AA30" s="129">
        <f ca="1">IF($C30="S",IF($Z30="CP",$X30,IF($Z30="RA",(($X30)*QCI!$AA$3),0)),SomaAgrup)</f>
        <v>0</v>
      </c>
      <c r="AB30" s="130">
        <f t="shared" ca="1" si="14"/>
        <v>0</v>
      </c>
      <c r="AC30" s="619" t="str">
        <f ca="1">IF($N30=""," ",
IF(AND($C30="S",OR($Q30&lt;&gt;0,$T30&gt;0,$U30&gt;0),$P30=0),"FONTE",
IF(AND($C30="S",$P30&lt;&gt;0,OR($T30&gt;0,$U30&gt;0),$Q30=0),"CÓDIGO",
IF(AND(OR($R30="",$R30="(digite a descrição aqui)"),OR($C30&lt;&gt;"S",AND($C30="S",OR($Q30&lt;&gt;0,$T30&gt;0,$U30&gt;0)))),"DESCRIÇÃO",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IF(C30&lt;=CRONO.NivelExibicao,MAX($AD$15:OFFSET(AD30,-1,0))+IF($C30&lt;&gt;1,1,MAX(1,COUNTIF(QCI!$A$13:$A$24,OFFSET($E30,-1,0)))),"")</f>
        <v>5</v>
      </c>
      <c r="AE30" s="7" t="b">
        <f ca="1">IF(AND($C30="S",ORÇAMENTO.CodBarra&lt;&gt;""),IF(ORÇAMENTO.Fonte="",ORÇAMENTO.CodBarra,CONCATENATE(ORÇAMENTO.Fonte," ",ORÇAMENTO.CodBarra)))</f>
        <v>0</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04-2026.xlsm)</v>
      </c>
      <c r="AG30" s="453">
        <f ca="1">ROUND(IF(DESONERACAO="sim",REFERENCIA.Desonerado,REFERENCIA.NaoDesonerado),2)</f>
        <v>0</v>
      </c>
      <c r="AH30" s="454">
        <f t="shared" ca="1" si="15"/>
        <v>0.26329999999999998</v>
      </c>
      <c r="AJ30" s="456"/>
      <c r="AL30" s="471"/>
      <c r="AM30" s="348">
        <f t="shared" ca="1" si="0"/>
        <v>0</v>
      </c>
      <c r="AN30" s="504">
        <f t="shared" ca="1" si="16"/>
        <v>0</v>
      </c>
    </row>
    <row r="31" spans="1:40" ht="38.25" x14ac:dyDescent="0.2">
      <c r="A31" t="str">
        <f t="shared" si="1"/>
        <v>S</v>
      </c>
      <c r="B31">
        <f t="shared" ca="1" si="2"/>
        <v>2</v>
      </c>
      <c r="C31" t="str">
        <f t="shared" ca="1" si="3"/>
        <v>S</v>
      </c>
      <c r="D31">
        <f t="shared" ca="1" si="4"/>
        <v>0</v>
      </c>
      <c r="E31">
        <f ca="1">IF($C31=1,OFFSET(E31,-1,0)+MAX(1,COUNTIF(QCI!$A$13:$A$24,OFFSET(ORÇAMENTO!E31,-1,0))),OFFSET(E31,-1,0))</f>
        <v>2</v>
      </c>
      <c r="F31">
        <f t="shared" ca="1" si="5"/>
        <v>1</v>
      </c>
      <c r="G31">
        <f t="shared" ca="1" si="6"/>
        <v>0</v>
      </c>
      <c r="H31">
        <f t="shared" ca="1" si="7"/>
        <v>0</v>
      </c>
      <c r="I31">
        <f t="shared" ca="1" si="8"/>
        <v>0</v>
      </c>
      <c r="J31">
        <f t="shared" ca="1" si="9"/>
        <v>0</v>
      </c>
      <c r="K31">
        <f ca="1">IF(OR($C31="S",$C31=0),0,MATCH(OFFSET($D31,0,$C31)+IF($C31&lt;&gt;1,1,COUNTIF(QCI!$A$13:$A$24,ORÇAMENTO!E31)),OFFSET($D31,1,$C31,ROW($C$89)-ROW($C31)),0))</f>
        <v>0</v>
      </c>
      <c r="L31" s="116" t="str">
        <f t="shared" ca="1" si="10"/>
        <v/>
      </c>
      <c r="M31" s="117" t="s">
        <v>197</v>
      </c>
      <c r="N31" s="118" t="str">
        <f t="shared" ca="1" si="11"/>
        <v>Serviço</v>
      </c>
      <c r="O31" s="119" t="str">
        <f t="shared" ca="1" si="12"/>
        <v>-</v>
      </c>
      <c r="P31" s="120" t="s">
        <v>245</v>
      </c>
      <c r="Q31" s="121" t="s">
        <v>979</v>
      </c>
      <c r="R31" s="122" t="str">
        <f ca="1">IF($C31="S",REFERENCIA.Descricao,"(digite a descrição aqui)")</f>
        <v>(abra o arquivo 'Referência 04-2026.xlsm)</v>
      </c>
      <c r="S31" s="123" t="str">
        <f ca="1">REFERENCIA.Unidade</f>
        <v>-</v>
      </c>
      <c r="T31" s="124">
        <f ca="1">OFFSET(CÁLCULO!H$15,ROW($T31)-ROW(T$15),0)</f>
        <v>27</v>
      </c>
      <c r="U31" s="125">
        <f t="shared" ca="1" si="17"/>
        <v>0</v>
      </c>
      <c r="V31" s="126" t="s">
        <v>155</v>
      </c>
      <c r="W31" s="124">
        <f ca="1">IF($C31="S",ROUND(IF(TIPOORCAMENTO="Proposto",ORÇAMENTO.CustoUnitario*(1+$AH31),ORÇAMENTO.PrecoUnitarioLicitado),15-13*$AF$10),0)</f>
        <v>0</v>
      </c>
      <c r="X31" s="127">
        <f ca="1">IF($C31="S",IF(OR(Import.TipoArredondamento&lt;&gt;"TransfereGOV",ACOMPANHAMENTO="BM"),VTOTAL1,SUM(OFFSET(CÁLCULO!$AA$15,ROW($X31)-ROW($X$15),1):OFFSET(CÁLCULO!$AL$15,ROW($X31)-ROW($X$15),-1))),IF($C31=0,0,ROUND(SomaAgrup,15-13*$AF$11)))</f>
        <v>0</v>
      </c>
      <c r="Y31" s="128" t="s">
        <v>243</v>
      </c>
      <c r="Z31" t="str">
        <f t="shared" ca="1" si="13"/>
        <v/>
      </c>
      <c r="AA31" s="129">
        <f ca="1">IF($C31="S",IF($Z31="CP",$X31,IF($Z31="RA",(($X31)*QCI!$AA$3),0)),SomaAgrup)</f>
        <v>0</v>
      </c>
      <c r="AB31" s="130">
        <f t="shared" ca="1" si="14"/>
        <v>0</v>
      </c>
      <c r="AC31" s="619" t="str">
        <f ca="1">IF($N31=""," ",
IF(AND($C31="S",OR($Q31&lt;&gt;0,$T31&gt;0,$U31&gt;0),$P31=0),"FONTE",
IF(AND($C31="S",$P31&lt;&gt;0,OR($T31&gt;0,$U31&gt;0),$Q31=0),"CÓDIGO",
IF(AND(OR($R31="",$R31="(digite a descrição aqui)"),OR($C31&lt;&gt;"S",AND($C31="S",OR($Q31&lt;&gt;0,$T31&gt;0,$U31&gt;0)))),"DESCRIÇÃO",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SEM CUSTO</v>
      </c>
      <c r="AD31" t="str">
        <f ca="1">IF(C31&lt;=CRONO.NivelExibicao,MAX($AD$15:OFFSET(AD31,-1,0))+IF($C31&lt;&gt;1,1,MAX(1,COUNTIF(QCI!$A$13:$A$24,OFFSET($E31,-1,0)))),"")</f>
        <v/>
      </c>
      <c r="AE31" s="7" t="str">
        <f ca="1">IF(AND($C31="S",ORÇAMENTO.CodBarra&lt;&gt;""),IF(ORÇAMENTO.Fonte="",ORÇAMENTO.CodBarra,CONCATENATE(ORÇAMENTO.Fonte," ",ORÇAMENTO.CodBarra)))</f>
        <v>SINAPI 96533</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04-2026.xlsm)</v>
      </c>
      <c r="AG31" s="453">
        <f ca="1">ROUND(IF(DESONERACAO="sim",REFERENCIA.Desonerado,REFERENCIA.NaoDesonerado),2)</f>
        <v>0</v>
      </c>
      <c r="AH31" s="454">
        <f t="shared" ca="1" si="15"/>
        <v>0.26329999999999998</v>
      </c>
      <c r="AJ31" s="456"/>
      <c r="AL31" s="471"/>
      <c r="AM31" s="348">
        <f t="shared" ca="1" si="0"/>
        <v>0</v>
      </c>
      <c r="AN31" s="504">
        <f t="shared" ca="1" si="16"/>
        <v>0</v>
      </c>
    </row>
    <row r="32" spans="1:40" ht="38.25" x14ac:dyDescent="0.2">
      <c r="A32" t="str">
        <f t="shared" si="1"/>
        <v>S</v>
      </c>
      <c r="B32">
        <f t="shared" ca="1" si="2"/>
        <v>2</v>
      </c>
      <c r="C32" t="str">
        <f t="shared" ca="1" si="3"/>
        <v>S</v>
      </c>
      <c r="D32">
        <f t="shared" ca="1" si="4"/>
        <v>0</v>
      </c>
      <c r="E32">
        <f ca="1">IF($C32=1,OFFSET(E32,-1,0)+MAX(1,COUNTIF(QCI!$A$13:$A$24,OFFSET(ORÇAMENTO!E32,-1,0))),OFFSET(E32,-1,0))</f>
        <v>2</v>
      </c>
      <c r="F32">
        <f t="shared" ca="1" si="5"/>
        <v>1</v>
      </c>
      <c r="G32">
        <f t="shared" ca="1" si="6"/>
        <v>0</v>
      </c>
      <c r="H32">
        <f t="shared" ca="1" si="7"/>
        <v>0</v>
      </c>
      <c r="I32">
        <f t="shared" ca="1" si="8"/>
        <v>0</v>
      </c>
      <c r="J32">
        <f t="shared" ca="1" si="9"/>
        <v>0</v>
      </c>
      <c r="K32">
        <f ca="1">IF(OR($C32="S",$C32=0),0,MATCH(OFFSET($D32,0,$C32)+IF($C32&lt;&gt;1,1,COUNTIF(QCI!$A$13:$A$24,ORÇAMENTO!E32)),OFFSET($D32,1,$C32,ROW($C$89)-ROW($C32)),0))</f>
        <v>0</v>
      </c>
      <c r="L32" s="116" t="str">
        <f t="shared" ca="1" si="10"/>
        <v/>
      </c>
      <c r="M32" s="117" t="s">
        <v>197</v>
      </c>
      <c r="N32" s="118" t="str">
        <f t="shared" ca="1" si="11"/>
        <v>Serviço</v>
      </c>
      <c r="O32" s="119" t="str">
        <f t="shared" ca="1" si="12"/>
        <v>-</v>
      </c>
      <c r="P32" s="120" t="s">
        <v>245</v>
      </c>
      <c r="Q32" s="121" t="s">
        <v>946</v>
      </c>
      <c r="R32" s="122" t="str">
        <f ca="1">IF($C32="S",REFERENCIA.Descricao,"(digite a descrição aqui)")</f>
        <v>(abra o arquivo 'Referência 04-2026.xlsm)</v>
      </c>
      <c r="S32" s="123" t="str">
        <f ca="1">REFERENCIA.Unidade</f>
        <v>-</v>
      </c>
      <c r="T32" s="124">
        <f ca="1">OFFSET(CÁLCULO!H$15,ROW($T32)-ROW(T$15),0)</f>
        <v>71.099999999999994</v>
      </c>
      <c r="U32" s="125">
        <f t="shared" ca="1" si="17"/>
        <v>0</v>
      </c>
      <c r="V32" s="126" t="s">
        <v>155</v>
      </c>
      <c r="W32" s="124">
        <f ca="1">IF($C32="S",ROUND(IF(TIPOORCAMENTO="Proposto",ORÇAMENTO.CustoUnitario*(1+$AH32),ORÇAMENTO.PrecoUnitarioLicitado),15-13*$AF$10),0)</f>
        <v>0</v>
      </c>
      <c r="X32" s="127">
        <f ca="1">IF($C32="S",IF(OR(Import.TipoArredondamento&lt;&gt;"TransfereGOV",ACOMPANHAMENTO="BM"),VTOTAL1,SUM(OFFSET(CÁLCULO!$AA$15,ROW($X32)-ROW($X$15),1):OFFSET(CÁLCULO!$AL$15,ROW($X32)-ROW($X$15),-1))),IF($C32=0,0,ROUND(SomaAgrup,15-13*$AF$11)))</f>
        <v>0</v>
      </c>
      <c r="Y32" s="128" t="s">
        <v>243</v>
      </c>
      <c r="Z32" t="str">
        <f t="shared" ca="1" si="13"/>
        <v/>
      </c>
      <c r="AA32" s="129">
        <f ca="1">IF($C32="S",IF($Z32="CP",$X32,IF($Z32="RA",(($X32)*QCI!$AA$3),0)),SomaAgrup)</f>
        <v>0</v>
      </c>
      <c r="AB32" s="130">
        <f t="shared" ca="1" si="14"/>
        <v>0</v>
      </c>
      <c r="AC32" s="619" t="str">
        <f ca="1">IF($N32=""," ",
IF(AND($C32="S",OR($Q32&lt;&gt;0,$T32&gt;0,$U32&gt;0),$P32=0),"FONTE",
IF(AND($C32="S",$P32&lt;&gt;0,OR($T32&gt;0,$U32&gt;0),$Q32=0),"CÓDIGO",
IF(AND(OR($R32="",$R32="(digite a descrição aqui)"),OR($C32&lt;&gt;"S",AND($C32="S",OR($Q32&lt;&gt;0,$T32&gt;0,$U32&gt;0)))),"DESCRIÇÃO",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SEM CUSTO</v>
      </c>
      <c r="AD32" t="str">
        <f ca="1">IF(C32&lt;=CRONO.NivelExibicao,MAX($AD$15:OFFSET(AD32,-1,0))+IF($C32&lt;&gt;1,1,MAX(1,COUNTIF(QCI!$A$13:$A$24,OFFSET($E32,-1,0)))),"")</f>
        <v/>
      </c>
      <c r="AE32" s="7" t="str">
        <f ca="1">IF(AND($C32="S",ORÇAMENTO.CodBarra&lt;&gt;""),IF(ORÇAMENTO.Fonte="",ORÇAMENTO.CodBarra,CONCATENATE(ORÇAMENTO.Fonte," ",ORÇAMENTO.CodBarra)))</f>
        <v>SINAPI 92919</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04-2026.xlsm)</v>
      </c>
      <c r="AG32" s="453">
        <f ca="1">ROUND(IF(DESONERACAO="sim",REFERENCIA.Desonerado,REFERENCIA.NaoDesonerado),2)</f>
        <v>0</v>
      </c>
      <c r="AH32" s="454">
        <f t="shared" ca="1" si="15"/>
        <v>0.26329999999999998</v>
      </c>
      <c r="AJ32" s="456"/>
      <c r="AL32" s="471"/>
      <c r="AM32" s="348">
        <f t="shared" ca="1" si="0"/>
        <v>0</v>
      </c>
      <c r="AN32" s="504">
        <f t="shared" ca="1" si="16"/>
        <v>0</v>
      </c>
    </row>
    <row r="33" spans="1:40" ht="38.25" x14ac:dyDescent="0.2">
      <c r="A33" t="str">
        <f t="shared" si="1"/>
        <v>S</v>
      </c>
      <c r="B33">
        <f t="shared" ca="1" si="2"/>
        <v>2</v>
      </c>
      <c r="C33" t="str">
        <f t="shared" ca="1" si="3"/>
        <v>S</v>
      </c>
      <c r="D33">
        <f t="shared" ca="1" si="4"/>
        <v>0</v>
      </c>
      <c r="E33">
        <f ca="1">IF($C33=1,OFFSET(E33,-1,0)+MAX(1,COUNTIF(QCI!$A$13:$A$24,OFFSET(ORÇAMENTO!E33,-1,0))),OFFSET(E33,-1,0))</f>
        <v>2</v>
      </c>
      <c r="F33">
        <f t="shared" ca="1" si="5"/>
        <v>1</v>
      </c>
      <c r="G33">
        <f t="shared" ca="1" si="6"/>
        <v>0</v>
      </c>
      <c r="H33">
        <f t="shared" ca="1" si="7"/>
        <v>0</v>
      </c>
      <c r="I33">
        <f t="shared" ca="1" si="8"/>
        <v>0</v>
      </c>
      <c r="J33">
        <f t="shared" ca="1" si="9"/>
        <v>0</v>
      </c>
      <c r="K33">
        <f ca="1">IF(OR($C33="S",$C33=0),0,MATCH(OFFSET($D33,0,$C33)+IF($C33&lt;&gt;1,1,COUNTIF(QCI!$A$13:$A$24,ORÇAMENTO!E33)),OFFSET($D33,1,$C33,ROW($C$89)-ROW($C33)),0))</f>
        <v>0</v>
      </c>
      <c r="L33" s="116" t="str">
        <f t="shared" ca="1" si="10"/>
        <v/>
      </c>
      <c r="M33" s="117" t="s">
        <v>197</v>
      </c>
      <c r="N33" s="118" t="str">
        <f t="shared" ca="1" si="11"/>
        <v>Serviço</v>
      </c>
      <c r="O33" s="119" t="str">
        <f t="shared" ca="1" si="12"/>
        <v>-</v>
      </c>
      <c r="P33" s="120" t="s">
        <v>245</v>
      </c>
      <c r="Q33" s="121" t="s">
        <v>947</v>
      </c>
      <c r="R33" s="122" t="str">
        <f ca="1">IF($C33="S",REFERENCIA.Descricao,"(digite a descrição aqui)")</f>
        <v>(abra o arquivo 'Referência 04-2026.xlsm)</v>
      </c>
      <c r="S33" s="123" t="str">
        <f ca="1">REFERENCIA.Unidade</f>
        <v>-</v>
      </c>
      <c r="T33" s="124">
        <f ca="1">OFFSET(CÁLCULO!H$15,ROW($T33)-ROW(T$15),0)</f>
        <v>36.04</v>
      </c>
      <c r="U33" s="125">
        <f t="shared" ca="1" si="17"/>
        <v>0</v>
      </c>
      <c r="V33" s="126" t="s">
        <v>155</v>
      </c>
      <c r="W33" s="124">
        <f ca="1">IF($C33="S",ROUND(IF(TIPOORCAMENTO="Proposto",ORÇAMENTO.CustoUnitario*(1+$AH33),ORÇAMENTO.PrecoUnitarioLicitado),15-13*$AF$10),0)</f>
        <v>0</v>
      </c>
      <c r="X33" s="127">
        <f ca="1">IF($C33="S",IF(OR(Import.TipoArredondamento&lt;&gt;"TransfereGOV",ACOMPANHAMENTO="BM"),VTOTAL1,SUM(OFFSET(CÁLCULO!$AA$15,ROW($X33)-ROW($X$15),1):OFFSET(CÁLCULO!$AL$15,ROW($X33)-ROW($X$15),-1))),IF($C33=0,0,ROUND(SomaAgrup,15-13*$AF$11)))</f>
        <v>0</v>
      </c>
      <c r="Y33" s="128" t="s">
        <v>243</v>
      </c>
      <c r="Z33" t="str">
        <f t="shared" ca="1" si="13"/>
        <v/>
      </c>
      <c r="AA33" s="129">
        <f ca="1">IF($C33="S",IF($Z33="CP",$X33,IF($Z33="RA",(($X33)*QCI!$AA$3),0)),SomaAgrup)</f>
        <v>0</v>
      </c>
      <c r="AB33" s="130">
        <f t="shared" ca="1" si="14"/>
        <v>0</v>
      </c>
      <c r="AC33" s="619" t="str">
        <f ca="1">IF($N33=""," ",
IF(AND($C33="S",OR($Q33&lt;&gt;0,$T33&gt;0,$U33&gt;0),$P33=0),"FONTE",
IF(AND($C33="S",$P33&lt;&gt;0,OR($T33&gt;0,$U33&gt;0),$Q33=0),"CÓDIGO",
IF(AND(OR($R33="",$R33="(digite a descrição aqui)"),OR($C33&lt;&gt;"S",AND($C33="S",OR($Q33&lt;&gt;0,$T33&gt;0,$U33&gt;0)))),"DESCRIÇÃO",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SEM CUSTO</v>
      </c>
      <c r="AD33" t="str">
        <f ca="1">IF(C33&lt;=CRONO.NivelExibicao,MAX($AD$15:OFFSET(AD33,-1,0))+IF($C33&lt;&gt;1,1,MAX(1,COUNTIF(QCI!$A$13:$A$24,OFFSET($E33,-1,0)))),"")</f>
        <v/>
      </c>
      <c r="AE33" s="7" t="str">
        <f ca="1">IF(AND($C33="S",ORÇAMENTO.CodBarra&lt;&gt;""),IF(ORÇAMENTO.Fonte="",ORÇAMENTO.CodBarra,CONCATENATE(ORÇAMENTO.Fonte," ",ORÇAMENTO.CodBarra)))</f>
        <v>SINAPI 92915</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04-2026.xlsm)</v>
      </c>
      <c r="AG33" s="453">
        <f ca="1">ROUND(IF(DESONERACAO="sim",REFERENCIA.Desonerado,REFERENCIA.NaoDesonerado),2)</f>
        <v>0</v>
      </c>
      <c r="AH33" s="454">
        <f t="shared" ca="1" si="15"/>
        <v>0.26329999999999998</v>
      </c>
      <c r="AJ33" s="456"/>
      <c r="AL33" s="471"/>
      <c r="AM33" s="348">
        <f t="shared" ca="1" si="0"/>
        <v>0</v>
      </c>
      <c r="AN33" s="504">
        <f t="shared" ca="1" si="16"/>
        <v>0</v>
      </c>
    </row>
    <row r="34" spans="1:40" ht="38.25" x14ac:dyDescent="0.2">
      <c r="A34" t="str">
        <f t="shared" si="1"/>
        <v>S</v>
      </c>
      <c r="B34">
        <f t="shared" ca="1" si="2"/>
        <v>2</v>
      </c>
      <c r="C34" t="str">
        <f t="shared" ca="1" si="3"/>
        <v>S</v>
      </c>
      <c r="D34">
        <f t="shared" ca="1" si="4"/>
        <v>0</v>
      </c>
      <c r="E34">
        <f ca="1">IF($C34=1,OFFSET(E34,-1,0)+MAX(1,COUNTIF(QCI!$A$13:$A$24,OFFSET(ORÇAMENTO!E34,-1,0))),OFFSET(E34,-1,0))</f>
        <v>2</v>
      </c>
      <c r="F34">
        <f t="shared" ca="1" si="5"/>
        <v>1</v>
      </c>
      <c r="G34">
        <f t="shared" ca="1" si="6"/>
        <v>0</v>
      </c>
      <c r="H34">
        <f t="shared" ca="1" si="7"/>
        <v>0</v>
      </c>
      <c r="I34">
        <f t="shared" ca="1" si="8"/>
        <v>0</v>
      </c>
      <c r="J34">
        <f t="shared" ca="1" si="9"/>
        <v>0</v>
      </c>
      <c r="K34">
        <f ca="1">IF(OR($C34="S",$C34=0),0,MATCH(OFFSET($D34,0,$C34)+IF($C34&lt;&gt;1,1,COUNTIF(QCI!$A$13:$A$24,ORÇAMENTO!E34)),OFFSET($D34,1,$C34,ROW($C$89)-ROW($C34)),0))</f>
        <v>0</v>
      </c>
      <c r="L34" s="116" t="str">
        <f t="shared" ca="1" si="10"/>
        <v/>
      </c>
      <c r="M34" s="117" t="s">
        <v>197</v>
      </c>
      <c r="N34" s="118" t="str">
        <f t="shared" ca="1" si="11"/>
        <v>Serviço</v>
      </c>
      <c r="O34" s="119" t="str">
        <f t="shared" ca="1" si="12"/>
        <v>-</v>
      </c>
      <c r="P34" s="120" t="s">
        <v>245</v>
      </c>
      <c r="Q34" s="121" t="s">
        <v>948</v>
      </c>
      <c r="R34" s="122" t="str">
        <f ca="1">IF($C34="S",REFERENCIA.Descricao,"(digite a descrição aqui)")</f>
        <v>(abra o arquivo 'Referência 04-2026.xlsm)</v>
      </c>
      <c r="S34" s="123" t="str">
        <f ca="1">REFERENCIA.Unidade</f>
        <v>-</v>
      </c>
      <c r="T34" s="124">
        <f ca="1">OFFSET(CÁLCULO!H$15,ROW($T34)-ROW(T$15),0)</f>
        <v>2.25</v>
      </c>
      <c r="U34" s="125">
        <f t="shared" ca="1" si="17"/>
        <v>0</v>
      </c>
      <c r="V34" s="126" t="s">
        <v>155</v>
      </c>
      <c r="W34" s="124">
        <f ca="1">IF($C34="S",ROUND(IF(TIPOORCAMENTO="Proposto",ORÇAMENTO.CustoUnitario*(1+$AH34),ORÇAMENTO.PrecoUnitarioLicitado),15-13*$AF$10),0)</f>
        <v>0</v>
      </c>
      <c r="X34" s="127">
        <f ca="1">IF($C34="S",IF(OR(Import.TipoArredondamento&lt;&gt;"TransfereGOV",ACOMPANHAMENTO="BM"),VTOTAL1,SUM(OFFSET(CÁLCULO!$AA$15,ROW($X34)-ROW($X$15),1):OFFSET(CÁLCULO!$AL$15,ROW($X34)-ROW($X$15),-1))),IF($C34=0,0,ROUND(SomaAgrup,15-13*$AF$11)))</f>
        <v>0</v>
      </c>
      <c r="Y34" s="128" t="s">
        <v>243</v>
      </c>
      <c r="Z34" t="str">
        <f t="shared" ca="1" si="13"/>
        <v/>
      </c>
      <c r="AA34" s="129">
        <f ca="1">IF($C34="S",IF($Z34="CP",$X34,IF($Z34="RA",(($X34)*QCI!$AA$3),0)),SomaAgrup)</f>
        <v>0</v>
      </c>
      <c r="AB34" s="130">
        <f t="shared" ca="1" si="14"/>
        <v>0</v>
      </c>
      <c r="AC34" s="619" t="str">
        <f ca="1">IF($N34=""," ",
IF(AND($C34="S",OR($Q34&lt;&gt;0,$T34&gt;0,$U34&gt;0),$P34=0),"FONTE",
IF(AND($C34="S",$P34&lt;&gt;0,OR($T34&gt;0,$U34&gt;0),$Q34=0),"CÓDIGO",
IF(AND(OR($R34="",$R34="(digite a descrição aqui)"),OR($C34&lt;&gt;"S",AND($C34="S",OR($Q34&lt;&gt;0,$T34&gt;0,$U34&gt;0)))),"DESCRIÇÃO",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SEM CUSTO</v>
      </c>
      <c r="AD34" t="str">
        <f ca="1">IF(C34&lt;=CRONO.NivelExibicao,MAX($AD$15:OFFSET(AD34,-1,0))+IF($C34&lt;&gt;1,1,MAX(1,COUNTIF(QCI!$A$13:$A$24,OFFSET($E34,-1,0)))),"")</f>
        <v/>
      </c>
      <c r="AE34" s="7" t="str">
        <f ca="1">IF(AND($C34="S",ORÇAMENTO.CodBarra&lt;&gt;""),IF(ORÇAMENTO.Fonte="",ORÇAMENTO.CodBarra,CONCATENATE(ORÇAMENTO.Fonte," ",ORÇAMENTO.CodBarra)))</f>
        <v>SINAPI 102476</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04-2026.xlsm)</v>
      </c>
      <c r="AG34" s="453">
        <f ca="1">ROUND(IF(DESONERACAO="sim",REFERENCIA.Desonerado,REFERENCIA.NaoDesonerado),2)</f>
        <v>0</v>
      </c>
      <c r="AH34" s="454">
        <f t="shared" ca="1" si="15"/>
        <v>0.26329999999999998</v>
      </c>
      <c r="AJ34" s="456"/>
      <c r="AL34" s="471"/>
      <c r="AM34" s="348">
        <f t="shared" ca="1" si="0"/>
        <v>0</v>
      </c>
      <c r="AN34" s="504">
        <f t="shared" ca="1" si="16"/>
        <v>0</v>
      </c>
    </row>
    <row r="35" spans="1:40" ht="51" x14ac:dyDescent="0.2">
      <c r="A35" t="str">
        <f t="shared" si="1"/>
        <v>S</v>
      </c>
      <c r="B35">
        <f t="shared" ca="1" si="2"/>
        <v>2</v>
      </c>
      <c r="C35" t="str">
        <f t="shared" ca="1" si="3"/>
        <v>S</v>
      </c>
      <c r="D35">
        <f t="shared" ca="1" si="4"/>
        <v>0</v>
      </c>
      <c r="E35">
        <f ca="1">IF($C35=1,OFFSET(E35,-1,0)+MAX(1,COUNTIF(QCI!$A$13:$A$24,OFFSET(ORÇAMENTO!E35,-1,0))),OFFSET(E35,-1,0))</f>
        <v>2</v>
      </c>
      <c r="F35">
        <f t="shared" ca="1" si="5"/>
        <v>1</v>
      </c>
      <c r="G35">
        <f t="shared" ca="1" si="6"/>
        <v>0</v>
      </c>
      <c r="H35">
        <f t="shared" ca="1" si="7"/>
        <v>0</v>
      </c>
      <c r="I35">
        <f t="shared" ca="1" si="8"/>
        <v>0</v>
      </c>
      <c r="J35">
        <f t="shared" ca="1" si="9"/>
        <v>0</v>
      </c>
      <c r="K35">
        <f ca="1">IF(OR($C35="S",$C35=0),0,MATCH(OFFSET($D35,0,$C35)+IF($C35&lt;&gt;1,1,COUNTIF(QCI!$A$13:$A$24,ORÇAMENTO!E35)),OFFSET($D35,1,$C35,ROW($C$89)-ROW($C35)),0))</f>
        <v>0</v>
      </c>
      <c r="L35" s="116" t="str">
        <f t="shared" ca="1" si="10"/>
        <v/>
      </c>
      <c r="M35" s="117" t="s">
        <v>197</v>
      </c>
      <c r="N35" s="118" t="str">
        <f t="shared" ca="1" si="11"/>
        <v>Serviço</v>
      </c>
      <c r="O35" s="119" t="str">
        <f t="shared" ca="1" si="12"/>
        <v>-</v>
      </c>
      <c r="P35" s="120" t="s">
        <v>245</v>
      </c>
      <c r="Q35" s="121" t="s">
        <v>1061</v>
      </c>
      <c r="R35" s="122" t="str">
        <f ca="1">IF($C35="S",REFERENCIA.Descricao,"(digite a descrição aqui)")</f>
        <v>(abra o arquivo 'Referência 04-2026.xlsm)</v>
      </c>
      <c r="S35" s="123" t="str">
        <f ca="1">REFERENCIA.Unidade</f>
        <v>-</v>
      </c>
      <c r="T35" s="124">
        <f ca="1">OFFSET(CÁLCULO!H$15,ROW($T35)-ROW(T$15),0)</f>
        <v>26.4</v>
      </c>
      <c r="U35" s="125">
        <f t="shared" ca="1" si="17"/>
        <v>0</v>
      </c>
      <c r="V35" s="126" t="s">
        <v>155</v>
      </c>
      <c r="W35" s="124">
        <f ca="1">IF($C35="S",ROUND(IF(TIPOORCAMENTO="Proposto",ORÇAMENTO.CustoUnitario*(1+$AH35),ORÇAMENTO.PrecoUnitarioLicitado),15-13*$AF$10),0)</f>
        <v>0</v>
      </c>
      <c r="X35" s="127">
        <f ca="1">IF($C35="S",IF(OR(Import.TipoArredondamento&lt;&gt;"TransfereGOV",ACOMPANHAMENTO="BM"),VTOTAL1,SUM(OFFSET(CÁLCULO!$AA$15,ROW($X35)-ROW($X$15),1):OFFSET(CÁLCULO!$AL$15,ROW($X35)-ROW($X$15),-1))),IF($C35=0,0,ROUND(SomaAgrup,15-13*$AF$11)))</f>
        <v>0</v>
      </c>
      <c r="Y35" s="128" t="s">
        <v>243</v>
      </c>
      <c r="Z35" t="str">
        <f t="shared" ca="1" si="13"/>
        <v/>
      </c>
      <c r="AA35" s="129">
        <f ca="1">IF($C35="S",IF($Z35="CP",$X35,IF($Z35="RA",(($X35)*QCI!$AA$3),0)),SomaAgrup)</f>
        <v>0</v>
      </c>
      <c r="AB35" s="130">
        <f t="shared" ca="1" si="14"/>
        <v>0</v>
      </c>
      <c r="AC35" s="619" t="str">
        <f ca="1">IF($N35=""," ",
IF(AND($C35="S",OR($Q35&lt;&gt;0,$T35&gt;0,$U35&gt;0),$P35=0),"FONTE",
IF(AND($C35="S",$P35&lt;&gt;0,OR($T35&gt;0,$U35&gt;0),$Q35=0),"CÓDIGO",
IF(AND(OR($R35="",$R35="(digite a descrição aqui)"),OR($C35&lt;&gt;"S",AND($C35="S",OR($Q35&lt;&gt;0,$T35&gt;0,$U35&gt;0)))),"DESCRIÇÃO",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SEM CUSTO</v>
      </c>
      <c r="AD35" t="str">
        <f ca="1">IF(C35&lt;=CRONO.NivelExibicao,MAX($AD$15:OFFSET(AD35,-1,0))+IF($C35&lt;&gt;1,1,MAX(1,COUNTIF(QCI!$A$13:$A$24,OFFSET($E35,-1,0)))),"")</f>
        <v/>
      </c>
      <c r="AE35" s="7" t="str">
        <f ca="1">IF(AND($C35="S",ORÇAMENTO.CodBarra&lt;&gt;""),IF(ORÇAMENTO.Fonte="",ORÇAMENTO.CodBarra,CONCATENATE(ORÇAMENTO.Fonte," ",ORÇAMENTO.CodBarra)))</f>
        <v>SINAPI 100900</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04-2026.xlsm)</v>
      </c>
      <c r="AG35" s="453">
        <f ca="1">ROUND(IF(DESONERACAO="sim",REFERENCIA.Desonerado,REFERENCIA.NaoDesonerado),2)</f>
        <v>0</v>
      </c>
      <c r="AH35" s="454">
        <f t="shared" ca="1" si="15"/>
        <v>0.26329999999999998</v>
      </c>
      <c r="AJ35" s="456"/>
      <c r="AL35" s="471"/>
      <c r="AM35" s="348">
        <f t="shared" ca="1" si="0"/>
        <v>0</v>
      </c>
      <c r="AN35" s="504">
        <f t="shared" ca="1" si="16"/>
        <v>0</v>
      </c>
    </row>
    <row r="36" spans="1:40" ht="25.5" x14ac:dyDescent="0.2">
      <c r="A36" t="str">
        <f>CHOOSE(1+LOG(1+2*(ORÇAMENTO.Nivel="Meta")+4*(ORÇAMENTO.Nivel="Nível 2")+8*(ORÇAMENTO.Nivel="Nível 3")+16*(ORÇAMENTO.Nivel="Nível 4")+32*(ORÇAMENTO.Nivel="Serviço"),2),0,1,2,3,4,"S")</f>
        <v>S</v>
      </c>
      <c r="B36">
        <f ca="1">IF(OR(C36="s",C36=0),OFFSET(B36,-1,0),C36)</f>
        <v>2</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2</v>
      </c>
      <c r="F36">
        <f ca="1">IF($C36=1,0,IF($C36=2,OFFSET(F36,-1,0)+1,OFFSET(F36,-1,0)))</f>
        <v>1</v>
      </c>
      <c r="G36">
        <f ca="1">IF(AND($C36&lt;=2,$C36&lt;&gt;0),0,IF($C36=3,OFFSET(G36,-1,0)+1,OFFSET(G36,-1,0)))</f>
        <v>0</v>
      </c>
      <c r="H36">
        <f ca="1">IF(AND($C36&lt;=3,$C36&lt;&gt;0),0,IF($C36=4,OFFSET(H36,-1,0)+1,OFFSET(H36,-1,0)))</f>
        <v>0</v>
      </c>
      <c r="I36">
        <f ca="1">IF(AND($C36&lt;=4,$C36&lt;&gt;0),0,IF(AND($C36="S",$X36&gt;0),OFFSET(I36,-1,0)+1,OFFSET(I36,-1,0)))</f>
        <v>0</v>
      </c>
      <c r="J36">
        <f t="shared" ca="1" si="9"/>
        <v>0</v>
      </c>
      <c r="K36">
        <f ca="1">IF(OR($C36="S",$C36=0),0,MATCH(OFFSET($D36,0,$C36)+IF($C36&lt;&gt;1,1,COUNTIF(QCI!$A$13:$A$24,ORÇAMENTO!E36)),OFFSET($D36,1,$C36,ROW($C$89)-ROW($C36)),0))</f>
        <v>0</v>
      </c>
      <c r="L36" s="116" t="str">
        <f ca="1">IF(OR($X36&gt;0,$C36=1,$C36=2,$C36=3,$C36=4),"F","")</f>
        <v/>
      </c>
      <c r="M36" s="117" t="s">
        <v>197</v>
      </c>
      <c r="N36" s="118" t="str">
        <f ca="1">CHOOSE(1+LOG(1+2*(C36=1)+4*(C36=2)+8*(C36=3)+16*(C36=4)+32*(C36="S"),2),"","Meta","Nível 2","Nível 3","Nível 4","Serviço")</f>
        <v>Serviço</v>
      </c>
      <c r="O36" s="119" t="str">
        <f ca="1">IF(OR($C36=0,$L36=""),"-",CONCATENATE(E36&amp;".",IF(AND($A$5&gt;=2,$C36&gt;=2),F36&amp;".",""),IF(AND($A$5&gt;=3,$C36&gt;=3),G36&amp;".",""),IF(AND($A$5&gt;=4,$C36&gt;=4),H36&amp;".",""),IF($C36="S",I36&amp;".","")))</f>
        <v>-</v>
      </c>
      <c r="P36" s="120" t="s">
        <v>245</v>
      </c>
      <c r="Q36" s="121" t="s">
        <v>954</v>
      </c>
      <c r="R36" s="122" t="str">
        <f ca="1">IF($C36="S",REFERENCIA.Descricao,"(digite a descrição aqui)")</f>
        <v>(abra o arquivo 'Referência 04-2026.xlsm)</v>
      </c>
      <c r="S36" s="123" t="str">
        <f ca="1">REFERENCIA.Unidade</f>
        <v>-</v>
      </c>
      <c r="T36" s="124">
        <f ca="1">OFFSET(CÁLCULO!H$15,ROW($T36)-ROW(T$15),0)</f>
        <v>24.75</v>
      </c>
      <c r="U36" s="125">
        <f t="shared" ca="1" si="17"/>
        <v>0</v>
      </c>
      <c r="V36" s="126" t="s">
        <v>155</v>
      </c>
      <c r="W36" s="124">
        <f ca="1">IF($C36="S",ROUND(IF(TIPOORCAMENTO="Proposto",ORÇAMENTO.CustoUnitario*(1+$AH36),ORÇAMENTO.PrecoUnitarioLicitado),15-13*$AF$10),0)</f>
        <v>0</v>
      </c>
      <c r="X36" s="127">
        <f ca="1">IF($C36="S",IF(OR(Import.TipoArredondamento&lt;&gt;"TransfereGOV",ACOMPANHAMENTO="BM"),VTOTAL1,SUM(OFFSET(CÁLCULO!$AA$15,ROW($X36)-ROW($X$15),1):OFFSET(CÁLCULO!$AL$15,ROW($X36)-ROW($X$15),-1))),IF($C36=0,0,ROUND(SomaAgrup,15-13*$AF$11)))</f>
        <v>0</v>
      </c>
      <c r="Y36" s="128" t="s">
        <v>243</v>
      </c>
      <c r="Z36" t="str">
        <f ca="1">IF(AND($C36="S",$X36&gt;0),IF(ISBLANK($Y36),"RA",LEFT($Y36,2)),"")</f>
        <v/>
      </c>
      <c r="AA36" s="129">
        <f ca="1">IF($C36="S",IF($Z36="CP",$X36,IF($Z36="RA",(($X36)*QCI!$AA$3),0)),SomaAgrup)</f>
        <v>0</v>
      </c>
      <c r="AB36" s="130">
        <f ca="1">IF($C36="S",IF($Z36="OU",ROUND($X36,2),0),SomaAgrup)</f>
        <v>0</v>
      </c>
      <c r="AC36" s="619" t="str">
        <f ca="1">IF($N36=""," ",
IF(AND($C36="S",OR($Q36&lt;&gt;0,$T36&gt;0,$U36&gt;0),$P36=0),"FONTE",
IF(AND($C36="S",$P36&lt;&gt;0,OR($T36&gt;0,$U36&gt;0),$Q36=0),"CÓDIGO",
IF(AND(OR($R36="",$R36="(digite a descrição aqui)"),OR($C36&lt;&gt;"S",AND($C36="S",OR($Q36&lt;&gt;0,$T36&gt;0,$U36&gt;0)))),"DESCRIÇÃO",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SEM CUSTO</v>
      </c>
      <c r="AD36" t="str">
        <f ca="1">IF(C36&lt;=CRONO.NivelExibicao,MAX($AD$15:OFFSET(AD36,-1,0))+IF($C36&lt;&gt;1,1,MAX(1,COUNTIF(QCI!$A$13:$A$24,OFFSET($E36,-1,0)))),"")</f>
        <v/>
      </c>
      <c r="AE36" s="7" t="str">
        <f ca="1">IF(AND($C36="S",ORÇAMENTO.CodBarra&lt;&gt;""),IF(ORÇAMENTO.Fonte="",ORÇAMENTO.CodBarra,CONCATENATE(ORÇAMENTO.Fonte," ",ORÇAMENTO.CodBarra)))</f>
        <v>SINAPI 98557</v>
      </c>
      <c r="AF36" s="13"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04-2026.xlsm)</v>
      </c>
      <c r="AG36" s="453">
        <f ca="1">ROUND(IF(DESONERACAO="sim",REFERENCIA.Desonerado,REFERENCIA.NaoDesonerado),2)</f>
        <v>0</v>
      </c>
      <c r="AH36" s="454">
        <f ca="1">ROUND(IF(ISNUMBER(ORÇAMENTO.OpcaoBDI),ORÇAMENTO.OpcaoBDI,IF(LEFT(ORÇAMENTO.OpcaoBDI,3)="BDI",HLOOKUP(ORÇAMENTO.OpcaoBDI,$F$4:$H$5,2,FALSE),0)),15-11*$AF$9)</f>
        <v>0.26329999999999998</v>
      </c>
      <c r="AJ36" s="456"/>
      <c r="AL36" s="471"/>
      <c r="AM36" s="348">
        <f t="shared" ca="1" si="0"/>
        <v>0</v>
      </c>
      <c r="AN36" s="504">
        <f ca="1">ROUND(ORÇAMENTO.CustoUnitario*(1+$AH36),2)</f>
        <v>0</v>
      </c>
    </row>
    <row r="37" spans="1:40" x14ac:dyDescent="0.2">
      <c r="A37">
        <f t="shared" si="1"/>
        <v>2</v>
      </c>
      <c r="B37">
        <f t="shared" ca="1" si="2"/>
        <v>2</v>
      </c>
      <c r="C37">
        <f t="shared" ca="1" si="3"/>
        <v>2</v>
      </c>
      <c r="D37">
        <f t="shared" ca="1" si="4"/>
        <v>5</v>
      </c>
      <c r="E37">
        <f ca="1">IF($C37=1,OFFSET(E37,-1,0)+MAX(1,COUNTIF(QCI!$A$13:$A$24,OFFSET(ORÇAMENTO!E37,-1,0))),OFFSET(E37,-1,0))</f>
        <v>2</v>
      </c>
      <c r="F37">
        <f t="shared" ca="1" si="5"/>
        <v>2</v>
      </c>
      <c r="G37">
        <f t="shared" ca="1" si="6"/>
        <v>0</v>
      </c>
      <c r="H37">
        <f t="shared" ca="1" si="7"/>
        <v>0</v>
      </c>
      <c r="I37">
        <f t="shared" ca="1" si="8"/>
        <v>0</v>
      </c>
      <c r="J37">
        <f t="shared" ca="1" si="9"/>
        <v>52</v>
      </c>
      <c r="K37">
        <f ca="1">IF(OR($C37="S",$C37=0),0,MATCH(OFFSET($D37,0,$C37)+IF($C37&lt;&gt;1,1,COUNTIF(QCI!$A$13:$A$24,ORÇAMENTO!E37)),OFFSET($D37,1,$C37,ROW($C$89)-ROW($C37)),0))</f>
        <v>5</v>
      </c>
      <c r="L37" s="116" t="str">
        <f t="shared" ca="1" si="10"/>
        <v>F</v>
      </c>
      <c r="M37" s="117" t="s">
        <v>194</v>
      </c>
      <c r="N37" s="118" t="str">
        <f t="shared" ca="1" si="11"/>
        <v>Nível 2</v>
      </c>
      <c r="O37" s="119" t="str">
        <f t="shared" ca="1" si="12"/>
        <v>2.2.</v>
      </c>
      <c r="P37" s="120" t="s">
        <v>245</v>
      </c>
      <c r="Q37" s="121"/>
      <c r="R37" s="122" t="s">
        <v>964</v>
      </c>
      <c r="S37" s="123" t="str">
        <f ca="1">REFERENCIA.Unidade</f>
        <v>-</v>
      </c>
      <c r="T37" s="124">
        <f ca="1">OFFSET(CÁLCULO!H$15,ROW($T37)-ROW(T$15),0)</f>
        <v>0</v>
      </c>
      <c r="U37" s="125">
        <f t="shared" ca="1" si="17"/>
        <v>0</v>
      </c>
      <c r="V37" s="126" t="s">
        <v>155</v>
      </c>
      <c r="W37" s="124">
        <f ca="1">IF($C37="S",ROUND(IF(TIPOORCAMENTO="Proposto",ORÇAMENTO.CustoUnitario*(1+$AH37),ORÇAMENTO.PrecoUnitarioLicitado),15-13*$AF$10),0)</f>
        <v>0</v>
      </c>
      <c r="X37" s="127">
        <f ca="1">IF($C37="S",IF(OR(Import.TipoArredondamento&lt;&gt;"TransfereGOV",ACOMPANHAMENTO="BM"),VTOTAL1,SUM(OFFSET(CÁLCULO!$AA$15,ROW($X37)-ROW($X$15),1):OFFSET(CÁLCULO!$AL$15,ROW($X37)-ROW($X$15),-1))),IF($C37=0,0,ROUND(SomaAgrup,15-13*$AF$11)))</f>
        <v>0</v>
      </c>
      <c r="Y37" s="128" t="s">
        <v>243</v>
      </c>
      <c r="Z37" t="str">
        <f t="shared" ca="1" si="13"/>
        <v/>
      </c>
      <c r="AA37" s="129">
        <f ca="1">IF($C37="S",IF($Z37="CP",$X37,IF($Z37="RA",(($X37)*QCI!$AA$3),0)),SomaAgrup)</f>
        <v>0</v>
      </c>
      <c r="AB37" s="130">
        <f t="shared" ca="1" si="14"/>
        <v>0</v>
      </c>
      <c r="AC37" s="619" t="str">
        <f ca="1">IF($N37=""," ",
IF(AND($C37="S",OR($Q37&lt;&gt;0,$T37&gt;0,$U37&gt;0),$P37=0),"FONTE",
IF(AND($C37="S",$P37&lt;&gt;0,OR($T37&gt;0,$U37&gt;0),$Q37=0),"CÓDIGO",
IF(AND(OR($R37="",$R37="(digite a descrição aqui)"),OR($C37&lt;&gt;"S",AND($C37="S",OR($Q37&lt;&gt;0,$T37&gt;0,$U37&gt;0)))),"DESCRIÇÃO",
IF(AND($C37="S",$P37&lt;&gt;0,$Q37&lt;&gt;0,$S37=""),"UNIDADE",
IF(AND($C37="S",$P37&lt;&gt;0,$Q37&lt;&gt;0,$U37=0),"SEM CUSTO",
IF(AND(TIPOORCAMENTO="Licitado",$AL37=0,$AN37&gt;0),"SEM PREÇO",
IF(AND($C37="S",$P37&lt;&gt;0,$Q37&lt;&gt;0,$U37&gt;0,$V37=0),"BDI",
IF(OR(AND(TIPOORCAMENTO="Proposto",$AG37&lt;&gt;"",$AG37&gt;0,ORÇAMENTO.CustoUnitario&gt;$AG37),AND(TIPOORCAMENTO="LICITADO",ORÇAMENTO.PrecoUnitarioLicitado&gt;$AN37)),"ACIMA REF.",
IF(AND($C37="S",$P37&lt;&gt;0,$Q37&lt;&gt;0,$T37=0,$U37&gt;0),"QUANT.",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f ca="1">IF(C37&lt;=CRONO.NivelExibicao,MAX($AD$15:OFFSET(AD37,-1,0))+IF($C37&lt;&gt;1,1,MAX(1,COUNTIF(QCI!$A$13:$A$24,OFFSET($E37,-1,0)))),"")</f>
        <v>6</v>
      </c>
      <c r="AE37" s="7" t="b">
        <f ca="1">IF(AND($C37="S",ORÇAMENTO.CodBarra&lt;&gt;""),IF(ORÇAMENTO.Fonte="",ORÇAMENTO.CodBarra,CONCATENATE(ORÇAMENTO.Fonte," ",ORÇAMENTO.CodBarra)))</f>
        <v>0</v>
      </c>
      <c r="AF37" s="13"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04-2026.xlsm)</v>
      </c>
      <c r="AG37" s="453">
        <f ca="1">ROUND(IF(DESONERACAO="sim",REFERENCIA.Desonerado,REFERENCIA.NaoDesonerado),2)</f>
        <v>0</v>
      </c>
      <c r="AH37" s="454">
        <f t="shared" ca="1" si="15"/>
        <v>0.26329999999999998</v>
      </c>
      <c r="AJ37" s="456"/>
      <c r="AL37" s="471"/>
      <c r="AM37" s="348">
        <f t="shared" ca="1" si="0"/>
        <v>0</v>
      </c>
      <c r="AN37" s="504">
        <f t="shared" ca="1" si="16"/>
        <v>0</v>
      </c>
    </row>
    <row r="38" spans="1:40" ht="38.25" x14ac:dyDescent="0.2">
      <c r="A38" t="str">
        <f t="shared" si="1"/>
        <v>S</v>
      </c>
      <c r="B38">
        <f t="shared" ca="1" si="2"/>
        <v>2</v>
      </c>
      <c r="C38" t="str">
        <f t="shared" ca="1" si="3"/>
        <v>S</v>
      </c>
      <c r="D38">
        <f t="shared" ca="1" si="4"/>
        <v>0</v>
      </c>
      <c r="E38">
        <f ca="1">IF($C38=1,OFFSET(E38,-1,0)+MAX(1,COUNTIF(QCI!$A$13:$A$24,OFFSET(ORÇAMENTO!E38,-1,0))),OFFSET(E38,-1,0))</f>
        <v>2</v>
      </c>
      <c r="F38">
        <f t="shared" ca="1" si="5"/>
        <v>2</v>
      </c>
      <c r="G38">
        <f t="shared" ca="1" si="6"/>
        <v>0</v>
      </c>
      <c r="H38">
        <f t="shared" ca="1" si="7"/>
        <v>0</v>
      </c>
      <c r="I38">
        <f t="shared" ca="1" si="8"/>
        <v>0</v>
      </c>
      <c r="J38">
        <f t="shared" ca="1" si="9"/>
        <v>0</v>
      </c>
      <c r="K38">
        <f ca="1">IF(OR($C38="S",$C38=0),0,MATCH(OFFSET($D38,0,$C38)+IF($C38&lt;&gt;1,1,COUNTIF(QCI!$A$13:$A$24,ORÇAMENTO!E38)),OFFSET($D38,1,$C38,ROW($C$89)-ROW($C38)),0))</f>
        <v>0</v>
      </c>
      <c r="L38" s="116" t="str">
        <f t="shared" ca="1" si="10"/>
        <v/>
      </c>
      <c r="M38" s="117" t="s">
        <v>197</v>
      </c>
      <c r="N38" s="118" t="str">
        <f t="shared" ca="1" si="11"/>
        <v>Serviço</v>
      </c>
      <c r="O38" s="119" t="str">
        <f t="shared" ca="1" si="12"/>
        <v>-</v>
      </c>
      <c r="P38" s="120" t="s">
        <v>245</v>
      </c>
      <c r="Q38" s="121" t="s">
        <v>944</v>
      </c>
      <c r="R38" s="122" t="str">
        <f ca="1">IF($C38="S",REFERENCIA.Descricao,"(digite a descrição aqui)")</f>
        <v>(abra o arquivo 'Referência 04-2026.xlsm)</v>
      </c>
      <c r="S38" s="123" t="str">
        <f ca="1">REFERENCIA.Unidade</f>
        <v>-</v>
      </c>
      <c r="T38" s="124">
        <f ca="1">OFFSET(CÁLCULO!H$15,ROW($T38)-ROW(T$15),0)</f>
        <v>10.5</v>
      </c>
      <c r="U38" s="125">
        <f t="shared" ca="1" si="17"/>
        <v>0</v>
      </c>
      <c r="V38" s="126" t="s">
        <v>155</v>
      </c>
      <c r="W38" s="124">
        <f ca="1">IF($C38="S",ROUND(IF(TIPOORCAMENTO="Proposto",ORÇAMENTO.CustoUnitario*(1+$AH38),ORÇAMENTO.PrecoUnitarioLicitado),15-13*$AF$10),0)</f>
        <v>0</v>
      </c>
      <c r="X38" s="127">
        <f ca="1">IF($C38="S",IF(OR(Import.TipoArredondamento&lt;&gt;"TransfereGOV",ACOMPANHAMENTO="BM"),VTOTAL1,SUM(OFFSET(CÁLCULO!$AA$15,ROW($X38)-ROW($X$15),1):OFFSET(CÁLCULO!$AL$15,ROW($X38)-ROW($X$15),-1))),IF($C38=0,0,ROUND(SomaAgrup,15-13*$AF$11)))</f>
        <v>0</v>
      </c>
      <c r="Y38" s="128" t="s">
        <v>243</v>
      </c>
      <c r="Z38" t="str">
        <f t="shared" ca="1" si="13"/>
        <v/>
      </c>
      <c r="AA38" s="129">
        <f ca="1">IF($C38="S",IF($Z38="CP",$X38,IF($Z38="RA",(($X38)*QCI!$AA$3),0)),SomaAgrup)</f>
        <v>0</v>
      </c>
      <c r="AB38" s="130">
        <f t="shared" ca="1" si="14"/>
        <v>0</v>
      </c>
      <c r="AC38" s="619" t="str">
        <f ca="1">IF($N38=""," ",
IF(AND($C38="S",OR($Q38&lt;&gt;0,$T38&gt;0,$U38&gt;0),$P38=0),"FONTE",
IF(AND($C38="S",$P38&lt;&gt;0,OR($T38&gt;0,$U38&gt;0),$Q38=0),"CÓDIGO",
IF(AND(OR($R38="",$R38="(digite a descrição aqui)"),OR($C38&lt;&gt;"S",AND($C38="S",OR($Q38&lt;&gt;0,$T38&gt;0,$U38&gt;0)))),"DESCRIÇÃO",
IF(AND($C38="S",$P38&lt;&gt;0,$Q38&lt;&gt;0,$S38=""),"UNIDADE",
IF(AND($C38="S",$P38&lt;&gt;0,$Q38&lt;&gt;0,$U38=0),"SEM CUSTO",
IF(AND(TIPOORCAMENTO="Licitado",$AL38=0,$AN38&gt;0),"SEM PREÇO",
IF(AND($C38="S",$P38&lt;&gt;0,$Q38&lt;&gt;0,$U38&gt;0,$V38=0),"BDI",
IF(OR(AND(TIPOORCAMENTO="Proposto",$AG38&lt;&gt;"",$AG38&gt;0,ORÇAMENTO.CustoUnitario&gt;$AG38),AND(TIPOORCAMENTO="LICITADO",ORÇAMENTO.PrecoUnitarioLicitado&gt;$AN38)),"ACIMA REF.",
IF(AND($C38="S",$P38&lt;&gt;0,$Q38&lt;&gt;0,$T38=0,$U38&gt;0),"QUANT.",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SEM CUSTO</v>
      </c>
      <c r="AD38" t="str">
        <f ca="1">IF(C38&lt;=CRONO.NivelExibicao,MAX($AD$15:OFFSET(AD38,-1,0))+IF($C38&lt;&gt;1,1,MAX(1,COUNTIF(QCI!$A$13:$A$24,OFFSET($E38,-1,0)))),"")</f>
        <v/>
      </c>
      <c r="AE38" s="7" t="str">
        <f ca="1">IF(AND($C38="S",ORÇAMENTO.CodBarra&lt;&gt;""),IF(ORÇAMENTO.Fonte="",ORÇAMENTO.CodBarra,CONCATENATE(ORÇAMENTO.Fonte," ",ORÇAMENTO.CodBarra)))</f>
        <v>SINAPI 92413</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04-2026.xlsm)</v>
      </c>
      <c r="AG38" s="453">
        <f ca="1">ROUND(IF(DESONERACAO="sim",REFERENCIA.Desonerado,REFERENCIA.NaoDesonerado),2)</f>
        <v>0</v>
      </c>
      <c r="AH38" s="454">
        <f t="shared" ca="1" si="15"/>
        <v>0.26329999999999998</v>
      </c>
      <c r="AJ38" s="456"/>
      <c r="AL38" s="471"/>
      <c r="AM38" s="348">
        <f t="shared" ca="1" si="0"/>
        <v>0</v>
      </c>
      <c r="AN38" s="504">
        <f t="shared" ca="1" si="16"/>
        <v>0</v>
      </c>
    </row>
    <row r="39" spans="1:40" ht="38.25" x14ac:dyDescent="0.2">
      <c r="A39" t="str">
        <f t="shared" si="1"/>
        <v>S</v>
      </c>
      <c r="B39">
        <f t="shared" ca="1" si="2"/>
        <v>2</v>
      </c>
      <c r="C39" t="str">
        <f t="shared" ca="1" si="3"/>
        <v>S</v>
      </c>
      <c r="D39">
        <f t="shared" ca="1" si="4"/>
        <v>0</v>
      </c>
      <c r="E39">
        <f ca="1">IF($C39=1,OFFSET(E39,-1,0)+MAX(1,COUNTIF(QCI!$A$13:$A$24,OFFSET(ORÇAMENTO!E39,-1,0))),OFFSET(E39,-1,0))</f>
        <v>2</v>
      </c>
      <c r="F39">
        <f t="shared" ca="1" si="5"/>
        <v>2</v>
      </c>
      <c r="G39">
        <f t="shared" ca="1" si="6"/>
        <v>0</v>
      </c>
      <c r="H39">
        <f t="shared" ca="1" si="7"/>
        <v>0</v>
      </c>
      <c r="I39">
        <f t="shared" ca="1" si="8"/>
        <v>0</v>
      </c>
      <c r="J39">
        <f t="shared" ca="1" si="9"/>
        <v>0</v>
      </c>
      <c r="K39">
        <f ca="1">IF(OR($C39="S",$C39=0),0,MATCH(OFFSET($D39,0,$C39)+IF($C39&lt;&gt;1,1,COUNTIF(QCI!$A$13:$A$24,ORÇAMENTO!E39)),OFFSET($D39,1,$C39,ROW($C$89)-ROW($C39)),0))</f>
        <v>0</v>
      </c>
      <c r="L39" s="116" t="str">
        <f t="shared" ca="1" si="10"/>
        <v/>
      </c>
      <c r="M39" s="117" t="s">
        <v>197</v>
      </c>
      <c r="N39" s="118" t="str">
        <f t="shared" ca="1" si="11"/>
        <v>Serviço</v>
      </c>
      <c r="O39" s="119" t="str">
        <f t="shared" ca="1" si="12"/>
        <v>-</v>
      </c>
      <c r="P39" s="120" t="s">
        <v>245</v>
      </c>
      <c r="Q39" s="121" t="s">
        <v>949</v>
      </c>
      <c r="R39" s="122" t="str">
        <f ca="1">IF($C39="S",REFERENCIA.Descricao,"(digite a descrição aqui)")</f>
        <v>(abra o arquivo 'Referência 04-2026.xlsm)</v>
      </c>
      <c r="S39" s="123" t="str">
        <f ca="1">REFERENCIA.Unidade</f>
        <v>-</v>
      </c>
      <c r="T39" s="124">
        <f ca="1">OFFSET(CÁLCULO!H$15,ROW($T39)-ROW(T$15),0)</f>
        <v>338.12</v>
      </c>
      <c r="U39" s="125">
        <f t="shared" ca="1" si="17"/>
        <v>0</v>
      </c>
      <c r="V39" s="126" t="s">
        <v>155</v>
      </c>
      <c r="W39" s="124">
        <f ca="1">IF($C39="S",ROUND(IF(TIPOORCAMENTO="Proposto",ORÇAMENTO.CustoUnitario*(1+$AH39),ORÇAMENTO.PrecoUnitarioLicitado),15-13*$AF$10),0)</f>
        <v>0</v>
      </c>
      <c r="X39" s="127">
        <f ca="1">IF($C39="S",IF(OR(Import.TipoArredondamento&lt;&gt;"TransfereGOV",ACOMPANHAMENTO="BM"),VTOTAL1,SUM(OFFSET(CÁLCULO!$AA$15,ROW($X39)-ROW($X$15),1):OFFSET(CÁLCULO!$AL$15,ROW($X39)-ROW($X$15),-1))),IF($C39=0,0,ROUND(SomaAgrup,15-13*$AF$11)))</f>
        <v>0</v>
      </c>
      <c r="Y39" s="128" t="s">
        <v>243</v>
      </c>
      <c r="Z39" t="str">
        <f t="shared" ca="1" si="13"/>
        <v/>
      </c>
      <c r="AA39" s="129">
        <f ca="1">IF($C39="S",IF($Z39="CP",$X39,IF($Z39="RA",(($X39)*QCI!$AA$3),0)),SomaAgrup)</f>
        <v>0</v>
      </c>
      <c r="AB39" s="130">
        <f t="shared" ca="1" si="14"/>
        <v>0</v>
      </c>
      <c r="AC39" s="619" t="str">
        <f ca="1">IF($N39=""," ",
IF(AND($C39="S",OR($Q39&lt;&gt;0,$T39&gt;0,$U39&gt;0),$P39=0),"FONTE",
IF(AND($C39="S",$P39&lt;&gt;0,OR($T39&gt;0,$U39&gt;0),$Q39=0),"CÓDIGO",
IF(AND(OR($R39="",$R39="(digite a descrição aqui)"),OR($C39&lt;&gt;"S",AND($C39="S",OR($Q39&lt;&gt;0,$T39&gt;0,$U39&gt;0)))),"DESCRIÇÃO",
IF(AND($C39="S",$P39&lt;&gt;0,$Q39&lt;&gt;0,$S39=""),"UNIDADE",
IF(AND($C39="S",$P39&lt;&gt;0,$Q39&lt;&gt;0,$U39=0),"SEM CUSTO",
IF(AND(TIPOORCAMENTO="Licitado",$AL39=0,$AN39&gt;0),"SEM PREÇO",
IF(AND($C39="S",$P39&lt;&gt;0,$Q39&lt;&gt;0,$U39&gt;0,$V39=0),"BDI",
IF(OR(AND(TIPOORCAMENTO="Proposto",$AG39&lt;&gt;"",$AG39&gt;0,ORÇAMENTO.CustoUnitario&gt;$AG39),AND(TIPOORCAMENTO="LICITADO",ORÇAMENTO.PrecoUnitarioLicitado&gt;$AN39)),"ACIMA REF.",
IF(AND($C39="S",$P39&lt;&gt;0,$Q39&lt;&gt;0,$T39=0,$U39&gt;0),"QUANT.",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SEM CUSTO</v>
      </c>
      <c r="AD39" t="str">
        <f ca="1">IF(C39&lt;=CRONO.NivelExibicao,MAX($AD$15:OFFSET(AD39,-1,0))+IF($C39&lt;&gt;1,1,MAX(1,COUNTIF(QCI!$A$13:$A$24,OFFSET($E39,-1,0)))),"")</f>
        <v/>
      </c>
      <c r="AE39" s="7" t="str">
        <f ca="1">IF(AND($C39="S",ORÇAMENTO.CodBarra&lt;&gt;""),IF(ORÇAMENTO.Fonte="",ORÇAMENTO.CodBarra,CONCATENATE(ORÇAMENTO.Fonte," ",ORÇAMENTO.CodBarra)))</f>
        <v>SINAPI 92762</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04-2026.xlsm)</v>
      </c>
      <c r="AG39" s="453">
        <f ca="1">ROUND(IF(DESONERACAO="sim",REFERENCIA.Desonerado,REFERENCIA.NaoDesonerado),2)</f>
        <v>0</v>
      </c>
      <c r="AH39" s="454">
        <f t="shared" ca="1" si="15"/>
        <v>0.26329999999999998</v>
      </c>
      <c r="AJ39" s="456"/>
      <c r="AL39" s="471"/>
      <c r="AM39" s="348">
        <f t="shared" ca="1" si="0"/>
        <v>0</v>
      </c>
      <c r="AN39" s="504">
        <f t="shared" ca="1" si="16"/>
        <v>0</v>
      </c>
    </row>
    <row r="40" spans="1:40" ht="38.25" x14ac:dyDescent="0.2">
      <c r="A40" t="str">
        <f t="shared" si="1"/>
        <v>S</v>
      </c>
      <c r="B40">
        <f t="shared" ca="1" si="2"/>
        <v>2</v>
      </c>
      <c r="C40" t="str">
        <f t="shared" ca="1" si="3"/>
        <v>S</v>
      </c>
      <c r="D40">
        <f t="shared" ca="1" si="4"/>
        <v>0</v>
      </c>
      <c r="E40">
        <f ca="1">IF($C40=1,OFFSET(E40,-1,0)+MAX(1,COUNTIF(QCI!$A$13:$A$24,OFFSET(ORÇAMENTO!E40,-1,0))),OFFSET(E40,-1,0))</f>
        <v>2</v>
      </c>
      <c r="F40">
        <f t="shared" ca="1" si="5"/>
        <v>2</v>
      </c>
      <c r="G40">
        <f t="shared" ca="1" si="6"/>
        <v>0</v>
      </c>
      <c r="H40">
        <f t="shared" ca="1" si="7"/>
        <v>0</v>
      </c>
      <c r="I40">
        <f t="shared" ca="1" si="8"/>
        <v>0</v>
      </c>
      <c r="J40">
        <f t="shared" ca="1" si="9"/>
        <v>0</v>
      </c>
      <c r="K40">
        <f ca="1">IF(OR($C40="S",$C40=0),0,MATCH(OFFSET($D40,0,$C40)+IF($C40&lt;&gt;1,1,COUNTIF(QCI!$A$13:$A$24,ORÇAMENTO!E40)),OFFSET($D40,1,$C40,ROW($C$89)-ROW($C40)),0))</f>
        <v>0</v>
      </c>
      <c r="L40" s="116" t="str">
        <f t="shared" ca="1" si="10"/>
        <v/>
      </c>
      <c r="M40" s="117" t="s">
        <v>197</v>
      </c>
      <c r="N40" s="118" t="str">
        <f t="shared" ca="1" si="11"/>
        <v>Serviço</v>
      </c>
      <c r="O40" s="119" t="str">
        <f t="shared" ca="1" si="12"/>
        <v>-</v>
      </c>
      <c r="P40" s="120" t="s">
        <v>245</v>
      </c>
      <c r="Q40" s="121" t="s">
        <v>950</v>
      </c>
      <c r="R40" s="122" t="str">
        <f ca="1">IF($C40="S",REFERENCIA.Descricao,"(digite a descrição aqui)")</f>
        <v>(abra o arquivo 'Referência 04-2026.xlsm)</v>
      </c>
      <c r="S40" s="123" t="str">
        <f ca="1">REFERENCIA.Unidade</f>
        <v>-</v>
      </c>
      <c r="T40" s="124">
        <f ca="1">OFFSET(CÁLCULO!H$15,ROW($T40)-ROW(T$15),0)</f>
        <v>207.9</v>
      </c>
      <c r="U40" s="125">
        <f t="shared" ca="1" si="17"/>
        <v>0</v>
      </c>
      <c r="V40" s="126" t="s">
        <v>155</v>
      </c>
      <c r="W40" s="124">
        <f ca="1">IF($C40="S",ROUND(IF(TIPOORCAMENTO="Proposto",ORÇAMENTO.CustoUnitario*(1+$AH40),ORÇAMENTO.PrecoUnitarioLicitado),15-13*$AF$10),0)</f>
        <v>0</v>
      </c>
      <c r="X40" s="127">
        <f ca="1">IF($C40="S",IF(OR(Import.TipoArredondamento&lt;&gt;"TransfereGOV",ACOMPANHAMENTO="BM"),VTOTAL1,SUM(OFFSET(CÁLCULO!$AA$15,ROW($X40)-ROW($X$15),1):OFFSET(CÁLCULO!$AL$15,ROW($X40)-ROW($X$15),-1))),IF($C40=0,0,ROUND(SomaAgrup,15-13*$AF$11)))</f>
        <v>0</v>
      </c>
      <c r="Y40" s="128" t="s">
        <v>243</v>
      </c>
      <c r="Z40" t="str">
        <f t="shared" ca="1" si="13"/>
        <v/>
      </c>
      <c r="AA40" s="129">
        <f ca="1">IF($C40="S",IF($Z40="CP",$X40,IF($Z40="RA",(($X40)*QCI!$AA$3),0)),SomaAgrup)</f>
        <v>0</v>
      </c>
      <c r="AB40" s="130">
        <f t="shared" ca="1" si="14"/>
        <v>0</v>
      </c>
      <c r="AC40" s="619" t="str">
        <f ca="1">IF($N40=""," ",
IF(AND($C40="S",OR($Q40&lt;&gt;0,$T40&gt;0,$U40&gt;0),$P40=0),"FONTE",
IF(AND($C40="S",$P40&lt;&gt;0,OR($T40&gt;0,$U40&gt;0),$Q40=0),"CÓDIGO",
IF(AND(OR($R40="",$R40="(digite a descrição aqui)"),OR($C40&lt;&gt;"S",AND($C40="S",OR($Q40&lt;&gt;0,$T40&gt;0,$U40&gt;0)))),"DESCRIÇÃO",
IF(AND($C40="S",$P40&lt;&gt;0,$Q40&lt;&gt;0,$S40=""),"UNIDADE",
IF(AND($C40="S",$P40&lt;&gt;0,$Q40&lt;&gt;0,$U40=0),"SEM CUSTO",
IF(AND(TIPOORCAMENTO="Licitado",$AL40=0,$AN40&gt;0),"SEM PREÇO",
IF(AND($C40="S",$P40&lt;&gt;0,$Q40&lt;&gt;0,$U40&gt;0,$V40=0),"BDI",
IF(OR(AND(TIPOORCAMENTO="Proposto",$AG40&lt;&gt;"",$AG40&gt;0,ORÇAMENTO.CustoUnitario&gt;$AG40),AND(TIPOORCAMENTO="LICITADO",ORÇAMENTO.PrecoUnitarioLicitado&gt;$AN40)),"ACIMA REF.",
IF(AND($C40="S",$P40&lt;&gt;0,$Q40&lt;&gt;0,$T40=0,$U40&gt;0),"QUANT.",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SEM CUSTO</v>
      </c>
      <c r="AD40" t="str">
        <f ca="1">IF(C40&lt;=CRONO.NivelExibicao,MAX($AD$15:OFFSET(AD40,-1,0))+IF($C40&lt;&gt;1,1,MAX(1,COUNTIF(QCI!$A$13:$A$24,OFFSET($E40,-1,0)))),"")</f>
        <v/>
      </c>
      <c r="AE40" s="7" t="str">
        <f ca="1">IF(AND($C40="S",ORÇAMENTO.CodBarra&lt;&gt;""),IF(ORÇAMENTO.Fonte="",ORÇAMENTO.CodBarra,CONCATENATE(ORÇAMENTO.Fonte," ",ORÇAMENTO.CodBarra)))</f>
        <v>SINAPI 92759</v>
      </c>
      <c r="AF40" s="13"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04-2026.xlsm)</v>
      </c>
      <c r="AG40" s="453">
        <f ca="1">ROUND(IF(DESONERACAO="sim",REFERENCIA.Desonerado,REFERENCIA.NaoDesonerado),2)</f>
        <v>0</v>
      </c>
      <c r="AH40" s="454">
        <f t="shared" ca="1" si="15"/>
        <v>0.26329999999999998</v>
      </c>
      <c r="AJ40" s="456"/>
      <c r="AL40" s="471"/>
      <c r="AM40" s="348">
        <f t="shared" ca="1" si="0"/>
        <v>0</v>
      </c>
      <c r="AN40" s="504">
        <f t="shared" ca="1" si="16"/>
        <v>0</v>
      </c>
    </row>
    <row r="41" spans="1:40" ht="25.5" x14ac:dyDescent="0.2">
      <c r="A41" t="str">
        <f t="shared" si="1"/>
        <v>S</v>
      </c>
      <c r="B41">
        <f t="shared" ca="1" si="2"/>
        <v>2</v>
      </c>
      <c r="C41" t="str">
        <f t="shared" ca="1" si="3"/>
        <v>S</v>
      </c>
      <c r="D41">
        <f t="shared" ca="1" si="4"/>
        <v>0</v>
      </c>
      <c r="E41">
        <f ca="1">IF($C41=1,OFFSET(E41,-1,0)+MAX(1,COUNTIF(QCI!$A$13:$A$24,OFFSET(ORÇAMENTO!E41,-1,0))),OFFSET(E41,-1,0))</f>
        <v>2</v>
      </c>
      <c r="F41">
        <f t="shared" ca="1" si="5"/>
        <v>2</v>
      </c>
      <c r="G41">
        <f t="shared" ca="1" si="6"/>
        <v>0</v>
      </c>
      <c r="H41">
        <f t="shared" ca="1" si="7"/>
        <v>0</v>
      </c>
      <c r="I41">
        <f t="shared" ca="1" si="8"/>
        <v>0</v>
      </c>
      <c r="J41">
        <f t="shared" ca="1" si="9"/>
        <v>0</v>
      </c>
      <c r="K41">
        <f ca="1">IF(OR($C41="S",$C41=0),0,MATCH(OFFSET($D41,0,$C41)+IF($C41&lt;&gt;1,1,COUNTIF(QCI!$A$13:$A$24,ORÇAMENTO!E41)),OFFSET($D41,1,$C41,ROW($C$89)-ROW($C41)),0))</f>
        <v>0</v>
      </c>
      <c r="L41" s="116" t="str">
        <f t="shared" ca="1" si="10"/>
        <v/>
      </c>
      <c r="M41" s="117" t="s">
        <v>197</v>
      </c>
      <c r="N41" s="118" t="str">
        <f t="shared" ca="1" si="11"/>
        <v>Serviço</v>
      </c>
      <c r="O41" s="119" t="str">
        <f t="shared" ca="1" si="12"/>
        <v>-</v>
      </c>
      <c r="P41" s="120" t="s">
        <v>245</v>
      </c>
      <c r="Q41" s="121" t="s">
        <v>951</v>
      </c>
      <c r="R41" s="122" t="str">
        <f ca="1">IF($C41="S",REFERENCIA.Descricao,"(digite a descrição aqui)")</f>
        <v>(abra o arquivo 'Referência 04-2026.xlsm)</v>
      </c>
      <c r="S41" s="123" t="str">
        <f ca="1">REFERENCIA.Unidade</f>
        <v>-</v>
      </c>
      <c r="T41" s="124">
        <f ca="1">OFFSET(CÁLCULO!H$15,ROW($T41)-ROW(T$15),0)</f>
        <v>3.8</v>
      </c>
      <c r="U41" s="125">
        <f t="shared" ca="1" si="17"/>
        <v>0</v>
      </c>
      <c r="V41" s="126" t="s">
        <v>155</v>
      </c>
      <c r="W41" s="124">
        <f ca="1">IF($C41="S",ROUND(IF(TIPOORCAMENTO="Proposto",ORÇAMENTO.CustoUnitario*(1+$AH41),ORÇAMENTO.PrecoUnitarioLicitado),15-13*$AF$10),0)</f>
        <v>0</v>
      </c>
      <c r="X41" s="127">
        <f ca="1">IF($C41="S",IF(OR(Import.TipoArredondamento&lt;&gt;"TransfereGOV",ACOMPANHAMENTO="BM"),VTOTAL1,SUM(OFFSET(CÁLCULO!$AA$15,ROW($X41)-ROW($X$15),1):OFFSET(CÁLCULO!$AL$15,ROW($X41)-ROW($X$15),-1))),IF($C41=0,0,ROUND(SomaAgrup,15-13*$AF$11)))</f>
        <v>0</v>
      </c>
      <c r="Y41" s="128" t="s">
        <v>243</v>
      </c>
      <c r="Z41" t="str">
        <f t="shared" ca="1" si="13"/>
        <v/>
      </c>
      <c r="AA41" s="129">
        <f ca="1">IF($C41="S",IF($Z41="CP",$X41,IF($Z41="RA",(($X41)*QCI!$AA$3),0)),SomaAgrup)</f>
        <v>0</v>
      </c>
      <c r="AB41" s="130">
        <f t="shared" ca="1" si="14"/>
        <v>0</v>
      </c>
      <c r="AC41" s="619" t="str">
        <f ca="1">IF($N41=""," ",
IF(AND($C41="S",OR($Q41&lt;&gt;0,$T41&gt;0,$U41&gt;0),$P41=0),"FONTE",
IF(AND($C41="S",$P41&lt;&gt;0,OR($T41&gt;0,$U41&gt;0),$Q41=0),"CÓDIGO",
IF(AND(OR($R41="",$R41="(digite a descrição aqui)"),OR($C41&lt;&gt;"S",AND($C41="S",OR($Q41&lt;&gt;0,$T41&gt;0,$U41&gt;0)))),"DESCRIÇÃO",
IF(AND($C41="S",$P41&lt;&gt;0,$Q41&lt;&gt;0,$S41=""),"UNIDADE",
IF(AND($C41="S",$P41&lt;&gt;0,$Q41&lt;&gt;0,$U41=0),"SEM CUSTO",
IF(AND(TIPOORCAMENTO="Licitado",$AL41=0,$AN41&gt;0),"SEM PREÇO",
IF(AND($C41="S",$P41&lt;&gt;0,$Q41&lt;&gt;0,$U41&gt;0,$V41=0),"BDI",
IF(OR(AND(TIPOORCAMENTO="Proposto",$AG41&lt;&gt;"",$AG41&gt;0,ORÇAMENTO.CustoUnitario&gt;$AG41),AND(TIPOORCAMENTO="LICITADO",ORÇAMENTO.PrecoUnitarioLicitado&gt;$AN41)),"ACIMA REF.",
IF(AND($C41="S",$P41&lt;&gt;0,$Q41&lt;&gt;0,$T41=0,$U41&gt;0),"QUANT.",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SEM CUSTO</v>
      </c>
      <c r="AD41" t="str">
        <f ca="1">IF(C41&lt;=CRONO.NivelExibicao,MAX($AD$15:OFFSET(AD41,-1,0))+IF($C41&lt;&gt;1,1,MAX(1,COUNTIF(QCI!$A$13:$A$24,OFFSET($E41,-1,0)))),"")</f>
        <v/>
      </c>
      <c r="AE41" s="7" t="str">
        <f ca="1">IF(AND($C41="S",ORÇAMENTO.CodBarra&lt;&gt;""),IF(ORÇAMENTO.Fonte="",ORÇAMENTO.CodBarra,CONCATENATE(ORÇAMENTO.Fonte," ",ORÇAMENTO.CodBarra)))</f>
        <v>SINAPI 103672</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04-2026.xlsm)</v>
      </c>
      <c r="AG41" s="453">
        <f ca="1">ROUND(IF(DESONERACAO="sim",REFERENCIA.Desonerado,REFERENCIA.NaoDesonerado),2)</f>
        <v>0</v>
      </c>
      <c r="AH41" s="454">
        <f t="shared" ca="1" si="15"/>
        <v>0.26329999999999998</v>
      </c>
      <c r="AJ41" s="456"/>
      <c r="AL41" s="471"/>
      <c r="AM41" s="348">
        <f t="shared" ca="1" si="0"/>
        <v>0</v>
      </c>
      <c r="AN41" s="504">
        <f t="shared" ca="1" si="16"/>
        <v>0</v>
      </c>
    </row>
    <row r="42" spans="1:40" x14ac:dyDescent="0.2">
      <c r="A42">
        <f t="shared" si="1"/>
        <v>2</v>
      </c>
      <c r="B42">
        <f t="shared" ca="1" si="2"/>
        <v>2</v>
      </c>
      <c r="C42">
        <f t="shared" ca="1" si="3"/>
        <v>2</v>
      </c>
      <c r="D42">
        <f t="shared" ca="1" si="4"/>
        <v>5</v>
      </c>
      <c r="E42">
        <f ca="1">IF($C42=1,OFFSET(E42,-1,0)+MAX(1,COUNTIF(QCI!$A$13:$A$24,OFFSET(ORÇAMENTO!E42,-1,0))),OFFSET(E42,-1,0))</f>
        <v>2</v>
      </c>
      <c r="F42">
        <f t="shared" ca="1" si="5"/>
        <v>3</v>
      </c>
      <c r="G42">
        <f t="shared" ca="1" si="6"/>
        <v>0</v>
      </c>
      <c r="H42">
        <f t="shared" ca="1" si="7"/>
        <v>0</v>
      </c>
      <c r="I42">
        <f t="shared" ca="1" si="8"/>
        <v>0</v>
      </c>
      <c r="J42">
        <f t="shared" ca="1" si="9"/>
        <v>47</v>
      </c>
      <c r="K42">
        <f ca="1">IF(OR($C42="S",$C42=0),0,MATCH(OFFSET($D42,0,$C42)+IF($C42&lt;&gt;1,1,COUNTIF(QCI!$A$13:$A$24,ORÇAMENTO!E42)),OFFSET($D42,1,$C42,ROW($C$89)-ROW($C42)),0))</f>
        <v>5</v>
      </c>
      <c r="L42" s="116" t="str">
        <f t="shared" ca="1" si="10"/>
        <v>F</v>
      </c>
      <c r="M42" s="117" t="s">
        <v>194</v>
      </c>
      <c r="N42" s="118" t="str">
        <f t="shared" ca="1" si="11"/>
        <v>Nível 2</v>
      </c>
      <c r="O42" s="119" t="str">
        <f t="shared" ca="1" si="12"/>
        <v>2.3.</v>
      </c>
      <c r="P42" s="120" t="s">
        <v>245</v>
      </c>
      <c r="Q42" s="121"/>
      <c r="R42" s="122" t="s">
        <v>965</v>
      </c>
      <c r="S42" s="123" t="str">
        <f ca="1">REFERENCIA.Unidade</f>
        <v>-</v>
      </c>
      <c r="T42" s="124">
        <f ca="1">OFFSET(CÁLCULO!H$15,ROW($T42)-ROW(T$15),0)</f>
        <v>0</v>
      </c>
      <c r="U42" s="125">
        <f t="shared" ca="1" si="17"/>
        <v>0</v>
      </c>
      <c r="V42" s="126" t="s">
        <v>155</v>
      </c>
      <c r="W42" s="124">
        <f ca="1">IF($C42="S",ROUND(IF(TIPOORCAMENTO="Proposto",ORÇAMENTO.CustoUnitario*(1+$AH42),ORÇAMENTO.PrecoUnitarioLicitado),15-13*$AF$10),0)</f>
        <v>0</v>
      </c>
      <c r="X42" s="127">
        <f ca="1">IF($C42="S",IF(OR(Import.TipoArredondamento&lt;&gt;"TransfereGOV",ACOMPANHAMENTO="BM"),VTOTAL1,SUM(OFFSET(CÁLCULO!$AA$15,ROW($X42)-ROW($X$15),1):OFFSET(CÁLCULO!$AL$15,ROW($X42)-ROW($X$15),-1))),IF($C42=0,0,ROUND(SomaAgrup,15-13*$AF$11)))</f>
        <v>0</v>
      </c>
      <c r="Y42" s="128" t="s">
        <v>243</v>
      </c>
      <c r="Z42" t="str">
        <f t="shared" ca="1" si="13"/>
        <v/>
      </c>
      <c r="AA42" s="129">
        <f ca="1">IF($C42="S",IF($Z42="CP",$X42,IF($Z42="RA",(($X42)*QCI!$AA$3),0)),SomaAgrup)</f>
        <v>0</v>
      </c>
      <c r="AB42" s="130">
        <f t="shared" ca="1" si="14"/>
        <v>0</v>
      </c>
      <c r="AC42" s="619" t="str">
        <f ca="1">IF($N42=""," ",
IF(AND($C42="S",OR($Q42&lt;&gt;0,$T42&gt;0,$U42&gt;0),$P42=0),"FONTE",
IF(AND($C42="S",$P42&lt;&gt;0,OR($T42&gt;0,$U42&gt;0),$Q42=0),"CÓDIGO",
IF(AND(OR($R42="",$R42="(digite a descrição aqui)"),OR($C42&lt;&gt;"S",AND($C42="S",OR($Q42&lt;&gt;0,$T42&gt;0,$U42&gt;0)))),"DESCRIÇÃO",
IF(AND($C42="S",$P42&lt;&gt;0,$Q42&lt;&gt;0,$S42=""),"UNIDADE",
IF(AND($C42="S",$P42&lt;&gt;0,$Q42&lt;&gt;0,$U42=0),"SEM CUSTO",
IF(AND(TIPOORCAMENTO="Licitado",$AL42=0,$AN42&gt;0),"SEM PREÇO",
IF(AND($C42="S",$P42&lt;&gt;0,$Q42&lt;&gt;0,$U42&gt;0,$V42=0),"BDI",
IF(OR(AND(TIPOORCAMENTO="Proposto",$AG42&lt;&gt;"",$AG42&gt;0,ORÇAMENTO.CustoUnitario&gt;$AG42),AND(TIPOORCAMENTO="LICITADO",ORÇAMENTO.PrecoUnitarioLicitado&gt;$AN42)),"ACIMA REF.",
IF(AND($C42="S",$P42&lt;&gt;0,$Q42&lt;&gt;0,$T42=0,$U42&gt;0),"QUANT.",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f ca="1">IF(C42&lt;=CRONO.NivelExibicao,MAX($AD$15:OFFSET(AD42,-1,0))+IF($C42&lt;&gt;1,1,MAX(1,COUNTIF(QCI!$A$13:$A$24,OFFSET($E42,-1,0)))),"")</f>
        <v>7</v>
      </c>
      <c r="AE42" s="7" t="b">
        <f ca="1">IF(AND($C42="S",ORÇAMENTO.CodBarra&lt;&gt;""),IF(ORÇAMENTO.Fonte="",ORÇAMENTO.CodBarra,CONCATENATE(ORÇAMENTO.Fonte," ",ORÇAMENTO.CodBarra)))</f>
        <v>0</v>
      </c>
      <c r="AF42" s="13"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04-2026.xlsm)</v>
      </c>
      <c r="AG42" s="453">
        <f ca="1">ROUND(IF(DESONERACAO="sim",REFERENCIA.Desonerado,REFERENCIA.NaoDesonerado),2)</f>
        <v>0</v>
      </c>
      <c r="AH42" s="454">
        <f t="shared" ca="1" si="15"/>
        <v>0.26329999999999998</v>
      </c>
      <c r="AJ42" s="456"/>
      <c r="AL42" s="471"/>
      <c r="AM42" s="348">
        <f t="shared" ca="1" si="0"/>
        <v>0</v>
      </c>
      <c r="AN42" s="504">
        <f t="shared" ca="1" si="16"/>
        <v>0</v>
      </c>
    </row>
    <row r="43" spans="1:40" ht="38.25" x14ac:dyDescent="0.2">
      <c r="A43" t="str">
        <f t="shared" si="1"/>
        <v>S</v>
      </c>
      <c r="B43">
        <f t="shared" ca="1" si="2"/>
        <v>2</v>
      </c>
      <c r="C43" t="str">
        <f t="shared" ca="1" si="3"/>
        <v>S</v>
      </c>
      <c r="D43">
        <f t="shared" ca="1" si="4"/>
        <v>0</v>
      </c>
      <c r="E43">
        <f ca="1">IF($C43=1,OFFSET(E43,-1,0)+MAX(1,COUNTIF(QCI!$A$13:$A$24,OFFSET(ORÇAMENTO!E43,-1,0))),OFFSET(E43,-1,0))</f>
        <v>2</v>
      </c>
      <c r="F43">
        <f t="shared" ca="1" si="5"/>
        <v>3</v>
      </c>
      <c r="G43">
        <f t="shared" ca="1" si="6"/>
        <v>0</v>
      </c>
      <c r="H43">
        <f t="shared" ca="1" si="7"/>
        <v>0</v>
      </c>
      <c r="I43">
        <f t="shared" ca="1" si="8"/>
        <v>0</v>
      </c>
      <c r="J43">
        <f t="shared" ca="1" si="9"/>
        <v>0</v>
      </c>
      <c r="K43">
        <f ca="1">IF(OR($C43="S",$C43=0),0,MATCH(OFFSET($D43,0,$C43)+IF($C43&lt;&gt;1,1,COUNTIF(QCI!$A$13:$A$24,ORÇAMENTO!E43)),OFFSET($D43,1,$C43,ROW($C$89)-ROW($C43)),0))</f>
        <v>0</v>
      </c>
      <c r="L43" s="116" t="str">
        <f t="shared" ca="1" si="10"/>
        <v/>
      </c>
      <c r="M43" s="117" t="s">
        <v>197</v>
      </c>
      <c r="N43" s="118" t="str">
        <f t="shared" ca="1" si="11"/>
        <v>Serviço</v>
      </c>
      <c r="O43" s="119" t="str">
        <f t="shared" ca="1" si="12"/>
        <v>-</v>
      </c>
      <c r="P43" s="120" t="s">
        <v>245</v>
      </c>
      <c r="Q43" s="121" t="s">
        <v>952</v>
      </c>
      <c r="R43" s="122" t="str">
        <f ca="1">IF($C43="S",REFERENCIA.Descricao,"(digite a descrição aqui)")</f>
        <v>(abra o arquivo 'Referência 04-2026.xlsm)</v>
      </c>
      <c r="S43" s="123" t="str">
        <f ca="1">REFERENCIA.Unidade</f>
        <v>-</v>
      </c>
      <c r="T43" s="124">
        <f ca="1">OFFSET(CÁLCULO!H$15,ROW($T43)-ROW(T$15),0)</f>
        <v>59.4</v>
      </c>
      <c r="U43" s="125">
        <f t="shared" ca="1" si="17"/>
        <v>0</v>
      </c>
      <c r="V43" s="126" t="s">
        <v>155</v>
      </c>
      <c r="W43" s="124">
        <f ca="1">IF($C43="S",ROUND(IF(TIPOORCAMENTO="Proposto",ORÇAMENTO.CustoUnitario*(1+$AH43),ORÇAMENTO.PrecoUnitarioLicitado),15-13*$AF$10),0)</f>
        <v>0</v>
      </c>
      <c r="X43" s="127">
        <f ca="1">IF($C43="S",IF(OR(Import.TipoArredondamento&lt;&gt;"TransfereGOV",ACOMPANHAMENTO="BM"),VTOTAL1,SUM(OFFSET(CÁLCULO!$AA$15,ROW($X43)-ROW($X$15),1):OFFSET(CÁLCULO!$AL$15,ROW($X43)-ROW($X$15),-1))),IF($C43=0,0,ROUND(SomaAgrup,15-13*$AF$11)))</f>
        <v>0</v>
      </c>
      <c r="Y43" s="128" t="s">
        <v>243</v>
      </c>
      <c r="Z43" t="str">
        <f t="shared" ca="1" si="13"/>
        <v/>
      </c>
      <c r="AA43" s="129">
        <f ca="1">IF($C43="S",IF($Z43="CP",$X43,IF($Z43="RA",(($X43)*QCI!$AA$3),0)),SomaAgrup)</f>
        <v>0</v>
      </c>
      <c r="AB43" s="130">
        <f t="shared" ca="1" si="14"/>
        <v>0</v>
      </c>
      <c r="AC43" s="619" t="str">
        <f ca="1">IF($N43=""," ",
IF(AND($C43="S",OR($Q43&lt;&gt;0,$T43&gt;0,$U43&gt;0),$P43=0),"FONTE",
IF(AND($C43="S",$P43&lt;&gt;0,OR($T43&gt;0,$U43&gt;0),$Q43=0),"CÓDIGO",
IF(AND(OR($R43="",$R43="(digite a descrição aqui)"),OR($C43&lt;&gt;"S",AND($C43="S",OR($Q43&lt;&gt;0,$T43&gt;0,$U43&gt;0)))),"DESCRIÇÃO",
IF(AND($C43="S",$P43&lt;&gt;0,$Q43&lt;&gt;0,$S43=""),"UNIDADE",
IF(AND($C43="S",$P43&lt;&gt;0,$Q43&lt;&gt;0,$U43=0),"SEM CUSTO",
IF(AND(TIPOORCAMENTO="Licitado",$AL43=0,$AN43&gt;0),"SEM PREÇO",
IF(AND($C43="S",$P43&lt;&gt;0,$Q43&lt;&gt;0,$U43&gt;0,$V43=0),"BDI",
IF(OR(AND(TIPOORCAMENTO="Proposto",$AG43&lt;&gt;"",$AG43&gt;0,ORÇAMENTO.CustoUnitario&gt;$AG43),AND(TIPOORCAMENTO="LICITADO",ORÇAMENTO.PrecoUnitarioLicitado&gt;$AN43)),"ACIMA REF.",
IF(AND($C43="S",$P43&lt;&gt;0,$Q43&lt;&gt;0,$T43=0,$U43&gt;0),"QUANT.",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SEM CUSTO</v>
      </c>
      <c r="AD43" t="str">
        <f ca="1">IF(C43&lt;=CRONO.NivelExibicao,MAX($AD$15:OFFSET(AD43,-1,0))+IF($C43&lt;&gt;1,1,MAX(1,COUNTIF(QCI!$A$13:$A$24,OFFSET($E43,-1,0)))),"")</f>
        <v/>
      </c>
      <c r="AE43" s="7" t="str">
        <f ca="1">IF(AND($C43="S",ORÇAMENTO.CodBarra&lt;&gt;""),IF(ORÇAMENTO.Fonte="",ORÇAMENTO.CodBarra,CONCATENATE(ORÇAMENTO.Fonte," ",ORÇAMENTO.CodBarra)))</f>
        <v>SINAPI 92471</v>
      </c>
      <c r="AF43" s="13"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04-2026.xlsm)</v>
      </c>
      <c r="AG43" s="453">
        <f ca="1">ROUND(IF(DESONERACAO="sim",REFERENCIA.Desonerado,REFERENCIA.NaoDesonerado),2)</f>
        <v>0</v>
      </c>
      <c r="AH43" s="454">
        <f t="shared" ca="1" si="15"/>
        <v>0.26329999999999998</v>
      </c>
      <c r="AJ43" s="456"/>
      <c r="AL43" s="471"/>
      <c r="AM43" s="348">
        <f t="shared" ca="1" si="0"/>
        <v>0</v>
      </c>
      <c r="AN43" s="504">
        <f t="shared" ca="1" si="16"/>
        <v>0</v>
      </c>
    </row>
    <row r="44" spans="1:40" ht="38.25" x14ac:dyDescent="0.2">
      <c r="A44" t="str">
        <f t="shared" si="1"/>
        <v>S</v>
      </c>
      <c r="B44">
        <f t="shared" ca="1" si="2"/>
        <v>2</v>
      </c>
      <c r="C44" t="str">
        <f t="shared" ca="1" si="3"/>
        <v>S</v>
      </c>
      <c r="D44">
        <f t="shared" ca="1" si="4"/>
        <v>0</v>
      </c>
      <c r="E44">
        <f ca="1">IF($C44=1,OFFSET(E44,-1,0)+MAX(1,COUNTIF(QCI!$A$13:$A$24,OFFSET(ORÇAMENTO!E44,-1,0))),OFFSET(E44,-1,0))</f>
        <v>2</v>
      </c>
      <c r="F44">
        <f t="shared" ca="1" si="5"/>
        <v>3</v>
      </c>
      <c r="G44">
        <f t="shared" ca="1" si="6"/>
        <v>0</v>
      </c>
      <c r="H44">
        <f t="shared" ca="1" si="7"/>
        <v>0</v>
      </c>
      <c r="I44">
        <f t="shared" ca="1" si="8"/>
        <v>0</v>
      </c>
      <c r="J44">
        <f t="shared" ca="1" si="9"/>
        <v>0</v>
      </c>
      <c r="K44">
        <f ca="1">IF(OR($C44="S",$C44=0),0,MATCH(OFFSET($D44,0,$C44)+IF($C44&lt;&gt;1,1,COUNTIF(QCI!$A$13:$A$24,ORÇAMENTO!E44)),OFFSET($D44,1,$C44,ROW($C$89)-ROW($C44)),0))</f>
        <v>0</v>
      </c>
      <c r="L44" s="116" t="str">
        <f t="shared" ca="1" si="10"/>
        <v/>
      </c>
      <c r="M44" s="117" t="s">
        <v>197</v>
      </c>
      <c r="N44" s="118" t="str">
        <f t="shared" ca="1" si="11"/>
        <v>Serviço</v>
      </c>
      <c r="O44" s="119" t="str">
        <f t="shared" ca="1" si="12"/>
        <v>-</v>
      </c>
      <c r="P44" s="120" t="s">
        <v>245</v>
      </c>
      <c r="Q44" s="121" t="s">
        <v>949</v>
      </c>
      <c r="R44" s="122" t="str">
        <f ca="1">IF($C44="S",REFERENCIA.Descricao,"(digite a descrição aqui)")</f>
        <v>(abra o arquivo 'Referência 04-2026.xlsm)</v>
      </c>
      <c r="S44" s="123" t="str">
        <f ca="1">REFERENCIA.Unidade</f>
        <v>-</v>
      </c>
      <c r="T44" s="124">
        <f ca="1">OFFSET(CÁLCULO!H$15,ROW($T44)-ROW(T$15),0)</f>
        <v>248.43</v>
      </c>
      <c r="U44" s="125">
        <f t="shared" ca="1" si="17"/>
        <v>0</v>
      </c>
      <c r="V44" s="126" t="s">
        <v>155</v>
      </c>
      <c r="W44" s="124">
        <f ca="1">IF($C44="S",ROUND(IF(TIPOORCAMENTO="Proposto",ORÇAMENTO.CustoUnitario*(1+$AH44),ORÇAMENTO.PrecoUnitarioLicitado),15-13*$AF$10),0)</f>
        <v>0</v>
      </c>
      <c r="X44" s="127">
        <f ca="1">IF($C44="S",IF(OR(Import.TipoArredondamento&lt;&gt;"TransfereGOV",ACOMPANHAMENTO="BM"),VTOTAL1,SUM(OFFSET(CÁLCULO!$AA$15,ROW($X44)-ROW($X$15),1):OFFSET(CÁLCULO!$AL$15,ROW($X44)-ROW($X$15),-1))),IF($C44=0,0,ROUND(SomaAgrup,15-13*$AF$11)))</f>
        <v>0</v>
      </c>
      <c r="Y44" s="128" t="s">
        <v>243</v>
      </c>
      <c r="Z44" t="str">
        <f t="shared" ca="1" si="13"/>
        <v/>
      </c>
      <c r="AA44" s="129">
        <f ca="1">IF($C44="S",IF($Z44="CP",$X44,IF($Z44="RA",(($X44)*QCI!$AA$3),0)),SomaAgrup)</f>
        <v>0</v>
      </c>
      <c r="AB44" s="130">
        <f t="shared" ca="1" si="14"/>
        <v>0</v>
      </c>
      <c r="AC44" s="619" t="str">
        <f ca="1">IF($N44=""," ",
IF(AND($C44="S",OR($Q44&lt;&gt;0,$T44&gt;0,$U44&gt;0),$P44=0),"FONTE",
IF(AND($C44="S",$P44&lt;&gt;0,OR($T44&gt;0,$U44&gt;0),$Q44=0),"CÓDIGO",
IF(AND(OR($R44="",$R44="(digite a descrição aqui)"),OR($C44&lt;&gt;"S",AND($C44="S",OR($Q44&lt;&gt;0,$T44&gt;0,$U44&gt;0)))),"DESCRIÇÃO",
IF(AND($C44="S",$P44&lt;&gt;0,$Q44&lt;&gt;0,$S44=""),"UNIDADE",
IF(AND($C44="S",$P44&lt;&gt;0,$Q44&lt;&gt;0,$U44=0),"SEM CUSTO",
IF(AND(TIPOORCAMENTO="Licitado",$AL44=0,$AN44&gt;0),"SEM PREÇO",
IF(AND($C44="S",$P44&lt;&gt;0,$Q44&lt;&gt;0,$U44&gt;0,$V44=0),"BDI",
IF(OR(AND(TIPOORCAMENTO="Proposto",$AG44&lt;&gt;"",$AG44&gt;0,ORÇAMENTO.CustoUnitario&gt;$AG44),AND(TIPOORCAMENTO="LICITADO",ORÇAMENTO.PrecoUnitarioLicitado&gt;$AN44)),"ACIMA REF.",
IF(AND($C44="S",$P44&lt;&gt;0,$Q44&lt;&gt;0,$T44=0,$U44&gt;0),"QUANT.",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SEM CUSTO</v>
      </c>
      <c r="AD44" t="str">
        <f ca="1">IF(C44&lt;=CRONO.NivelExibicao,MAX($AD$15:OFFSET(AD44,-1,0))+IF($C44&lt;&gt;1,1,MAX(1,COUNTIF(QCI!$A$13:$A$24,OFFSET($E44,-1,0)))),"")</f>
        <v/>
      </c>
      <c r="AE44" s="7" t="str">
        <f ca="1">IF(AND($C44="S",ORÇAMENTO.CodBarra&lt;&gt;""),IF(ORÇAMENTO.Fonte="",ORÇAMENTO.CodBarra,CONCATENATE(ORÇAMENTO.Fonte," ",ORÇAMENTO.CodBarra)))</f>
        <v>SINAPI 92762</v>
      </c>
      <c r="AF44" s="13"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04-2026.xlsm)</v>
      </c>
      <c r="AG44" s="453">
        <f ca="1">ROUND(IF(DESONERACAO="sim",REFERENCIA.Desonerado,REFERENCIA.NaoDesonerado),2)</f>
        <v>0</v>
      </c>
      <c r="AH44" s="454">
        <f t="shared" ca="1" si="15"/>
        <v>0.26329999999999998</v>
      </c>
      <c r="AJ44" s="456"/>
      <c r="AL44" s="471"/>
      <c r="AM44" s="348">
        <f t="shared" ca="1" si="0"/>
        <v>0</v>
      </c>
      <c r="AN44" s="504">
        <f t="shared" ca="1" si="16"/>
        <v>0</v>
      </c>
    </row>
    <row r="45" spans="1:40" ht="38.25" x14ac:dyDescent="0.2">
      <c r="A45" t="str">
        <f t="shared" si="1"/>
        <v>S</v>
      </c>
      <c r="B45">
        <f t="shared" ca="1" si="2"/>
        <v>2</v>
      </c>
      <c r="C45" t="str">
        <f t="shared" ca="1" si="3"/>
        <v>S</v>
      </c>
      <c r="D45">
        <f t="shared" ca="1" si="4"/>
        <v>0</v>
      </c>
      <c r="E45">
        <f ca="1">IF($C45=1,OFFSET(E45,-1,0)+MAX(1,COUNTIF(QCI!$A$13:$A$24,OFFSET(ORÇAMENTO!E45,-1,0))),OFFSET(E45,-1,0))</f>
        <v>2</v>
      </c>
      <c r="F45">
        <f t="shared" ca="1" si="5"/>
        <v>3</v>
      </c>
      <c r="G45">
        <f t="shared" ca="1" si="6"/>
        <v>0</v>
      </c>
      <c r="H45">
        <f t="shared" ca="1" si="7"/>
        <v>0</v>
      </c>
      <c r="I45">
        <f t="shared" ca="1" si="8"/>
        <v>0</v>
      </c>
      <c r="J45">
        <f t="shared" ca="1" si="9"/>
        <v>0</v>
      </c>
      <c r="K45">
        <f ca="1">IF(OR($C45="S",$C45=0),0,MATCH(OFFSET($D45,0,$C45)+IF($C45&lt;&gt;1,1,COUNTIF(QCI!$A$13:$A$24,ORÇAMENTO!E45)),OFFSET($D45,1,$C45,ROW($C$89)-ROW($C45)),0))</f>
        <v>0</v>
      </c>
      <c r="L45" s="116" t="str">
        <f t="shared" ca="1" si="10"/>
        <v/>
      </c>
      <c r="M45" s="117" t="s">
        <v>197</v>
      </c>
      <c r="N45" s="118" t="str">
        <f t="shared" ca="1" si="11"/>
        <v>Serviço</v>
      </c>
      <c r="O45" s="119" t="str">
        <f t="shared" ca="1" si="12"/>
        <v>-</v>
      </c>
      <c r="P45" s="120" t="s">
        <v>245</v>
      </c>
      <c r="Q45" s="121" t="s">
        <v>950</v>
      </c>
      <c r="R45" s="122" t="str">
        <f ca="1">IF($C45="S",REFERENCIA.Descricao,"(digite a descrição aqui)")</f>
        <v>(abra o arquivo 'Referência 04-2026.xlsm)</v>
      </c>
      <c r="S45" s="123" t="str">
        <f ca="1">REFERENCIA.Unidade</f>
        <v>-</v>
      </c>
      <c r="T45" s="124">
        <f ca="1">OFFSET(CÁLCULO!H$15,ROW($T45)-ROW(T$15),0)</f>
        <v>158.47</v>
      </c>
      <c r="U45" s="125">
        <f t="shared" ca="1" si="17"/>
        <v>0</v>
      </c>
      <c r="V45" s="126" t="s">
        <v>155</v>
      </c>
      <c r="W45" s="124">
        <f ca="1">IF($C45="S",ROUND(IF(TIPOORCAMENTO="Proposto",ORÇAMENTO.CustoUnitario*(1+$AH45),ORÇAMENTO.PrecoUnitarioLicitado),15-13*$AF$10),0)</f>
        <v>0</v>
      </c>
      <c r="X45" s="127">
        <f ca="1">IF($C45="S",IF(OR(Import.TipoArredondamento&lt;&gt;"TransfereGOV",ACOMPANHAMENTO="BM"),VTOTAL1,SUM(OFFSET(CÁLCULO!$AA$15,ROW($X45)-ROW($X$15),1):OFFSET(CÁLCULO!$AL$15,ROW($X45)-ROW($X$15),-1))),IF($C45=0,0,ROUND(SomaAgrup,15-13*$AF$11)))</f>
        <v>0</v>
      </c>
      <c r="Y45" s="128" t="s">
        <v>243</v>
      </c>
      <c r="Z45" t="str">
        <f t="shared" ca="1" si="13"/>
        <v/>
      </c>
      <c r="AA45" s="129">
        <f ca="1">IF($C45="S",IF($Z45="CP",$X45,IF($Z45="RA",(($X45)*QCI!$AA$3),0)),SomaAgrup)</f>
        <v>0</v>
      </c>
      <c r="AB45" s="130">
        <f t="shared" ca="1" si="14"/>
        <v>0</v>
      </c>
      <c r="AC45" s="619" t="str">
        <f ca="1">IF($N45=""," ",
IF(AND($C45="S",OR($Q45&lt;&gt;0,$T45&gt;0,$U45&gt;0),$P45=0),"FONTE",
IF(AND($C45="S",$P45&lt;&gt;0,OR($T45&gt;0,$U45&gt;0),$Q45=0),"CÓDIGO",
IF(AND(OR($R45="",$R45="(digite a descrição aqui)"),OR($C45&lt;&gt;"S",AND($C45="S",OR($Q45&lt;&gt;0,$T45&gt;0,$U45&gt;0)))),"DESCRIÇÃO",
IF(AND($C45="S",$P45&lt;&gt;0,$Q45&lt;&gt;0,$S45=""),"UNIDADE",
IF(AND($C45="S",$P45&lt;&gt;0,$Q45&lt;&gt;0,$U45=0),"SEM CUSTO",
IF(AND(TIPOORCAMENTO="Licitado",$AL45=0,$AN45&gt;0),"SEM PREÇO",
IF(AND($C45="S",$P45&lt;&gt;0,$Q45&lt;&gt;0,$U45&gt;0,$V45=0),"BDI",
IF(OR(AND(TIPOORCAMENTO="Proposto",$AG45&lt;&gt;"",$AG45&gt;0,ORÇAMENTO.CustoUnitario&gt;$AG45),AND(TIPOORCAMENTO="LICITADO",ORÇAMENTO.PrecoUnitarioLicitado&gt;$AN45)),"ACIMA REF.",
IF(AND($C45="S",$P45&lt;&gt;0,$Q45&lt;&gt;0,$T45=0,$U45&gt;0),"QUANT.",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SEM CUSTO</v>
      </c>
      <c r="AD45" t="str">
        <f ca="1">IF(C45&lt;=CRONO.NivelExibicao,MAX($AD$15:OFFSET(AD45,-1,0))+IF($C45&lt;&gt;1,1,MAX(1,COUNTIF(QCI!$A$13:$A$24,OFFSET($E45,-1,0)))),"")</f>
        <v/>
      </c>
      <c r="AE45" s="7" t="str">
        <f ca="1">IF(AND($C45="S",ORÇAMENTO.CodBarra&lt;&gt;""),IF(ORÇAMENTO.Fonte="",ORÇAMENTO.CodBarra,CONCATENATE(ORÇAMENTO.Fonte," ",ORÇAMENTO.CodBarra)))</f>
        <v>SINAPI 92759</v>
      </c>
      <c r="AF45" s="13"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04-2026.xlsm)</v>
      </c>
      <c r="AG45" s="453">
        <f ca="1">ROUND(IF(DESONERACAO="sim",REFERENCIA.Desonerado,REFERENCIA.NaoDesonerado),2)</f>
        <v>0</v>
      </c>
      <c r="AH45" s="454">
        <f t="shared" ca="1" si="15"/>
        <v>0.26329999999999998</v>
      </c>
      <c r="AJ45" s="456"/>
      <c r="AL45" s="471"/>
      <c r="AM45" s="348">
        <f t="shared" ca="1" si="0"/>
        <v>0</v>
      </c>
      <c r="AN45" s="504">
        <f t="shared" ca="1" si="16"/>
        <v>0</v>
      </c>
    </row>
    <row r="46" spans="1:40" ht="38.25" x14ac:dyDescent="0.2">
      <c r="A46" t="str">
        <f t="shared" si="1"/>
        <v>S</v>
      </c>
      <c r="B46">
        <f t="shared" ca="1" si="2"/>
        <v>2</v>
      </c>
      <c r="C46" t="str">
        <f t="shared" ca="1" si="3"/>
        <v>S</v>
      </c>
      <c r="D46">
        <f t="shared" ca="1" si="4"/>
        <v>0</v>
      </c>
      <c r="E46">
        <f ca="1">IF($C46=1,OFFSET(E46,-1,0)+MAX(1,COUNTIF(QCI!$A$13:$A$24,OFFSET(ORÇAMENTO!E46,-1,0))),OFFSET(E46,-1,0))</f>
        <v>2</v>
      </c>
      <c r="F46">
        <f t="shared" ca="1" si="5"/>
        <v>3</v>
      </c>
      <c r="G46">
        <f t="shared" ca="1" si="6"/>
        <v>0</v>
      </c>
      <c r="H46">
        <f t="shared" ca="1" si="7"/>
        <v>0</v>
      </c>
      <c r="I46">
        <f t="shared" ca="1" si="8"/>
        <v>0</v>
      </c>
      <c r="J46">
        <f t="shared" ca="1" si="9"/>
        <v>0</v>
      </c>
      <c r="K46">
        <f ca="1">IF(OR($C46="S",$C46=0),0,MATCH(OFFSET($D46,0,$C46)+IF($C46&lt;&gt;1,1,COUNTIF(QCI!$A$13:$A$24,ORÇAMENTO!E46)),OFFSET($D46,1,$C46,ROW($C$89)-ROW($C46)),0))</f>
        <v>0</v>
      </c>
      <c r="L46" s="116" t="str">
        <f t="shared" ca="1" si="10"/>
        <v/>
      </c>
      <c r="M46" s="117" t="s">
        <v>197</v>
      </c>
      <c r="N46" s="118" t="str">
        <f t="shared" ca="1" si="11"/>
        <v>Serviço</v>
      </c>
      <c r="O46" s="119" t="str">
        <f t="shared" ca="1" si="12"/>
        <v>-</v>
      </c>
      <c r="P46" s="120" t="s">
        <v>245</v>
      </c>
      <c r="Q46" s="121">
        <v>103674</v>
      </c>
      <c r="R46" s="122" t="str">
        <f ca="1">IF($C46="S",REFERENCIA.Descricao,"(digite a descrição aqui)")</f>
        <v>(abra o arquivo 'Referência 04-2026.xlsm)</v>
      </c>
      <c r="S46" s="123" t="str">
        <f ca="1">REFERENCIA.Unidade</f>
        <v>-</v>
      </c>
      <c r="T46" s="124">
        <f ca="1">OFFSET(CÁLCULO!H$15,ROW($T46)-ROW(T$15),0)</f>
        <v>6.03</v>
      </c>
      <c r="U46" s="125">
        <f t="shared" ca="1" si="17"/>
        <v>0</v>
      </c>
      <c r="V46" s="126" t="s">
        <v>155</v>
      </c>
      <c r="W46" s="124">
        <f ca="1">IF($C46="S",ROUND(IF(TIPOORCAMENTO="Proposto",ORÇAMENTO.CustoUnitario*(1+$AH46),ORÇAMENTO.PrecoUnitarioLicitado),15-13*$AF$10),0)</f>
        <v>0</v>
      </c>
      <c r="X46" s="127">
        <f ca="1">IF($C46="S",IF(OR(Import.TipoArredondamento&lt;&gt;"TransfereGOV",ACOMPANHAMENTO="BM"),VTOTAL1,SUM(OFFSET(CÁLCULO!$AA$15,ROW($X46)-ROW($X$15),1):OFFSET(CÁLCULO!$AL$15,ROW($X46)-ROW($X$15),-1))),IF($C46=0,0,ROUND(SomaAgrup,15-13*$AF$11)))</f>
        <v>0</v>
      </c>
      <c r="Y46" s="128" t="s">
        <v>243</v>
      </c>
      <c r="Z46" t="str">
        <f t="shared" ca="1" si="13"/>
        <v/>
      </c>
      <c r="AA46" s="129">
        <f ca="1">IF($C46="S",IF($Z46="CP",$X46,IF($Z46="RA",(($X46)*QCI!$AA$3),0)),SomaAgrup)</f>
        <v>0</v>
      </c>
      <c r="AB46" s="130">
        <f t="shared" ca="1" si="14"/>
        <v>0</v>
      </c>
      <c r="AC46" s="619" t="str">
        <f ca="1">IF($N46=""," ",
IF(AND($C46="S",OR($Q46&lt;&gt;0,$T46&gt;0,$U46&gt;0),$P46=0),"FONTE",
IF(AND($C46="S",$P46&lt;&gt;0,OR($T46&gt;0,$U46&gt;0),$Q46=0),"CÓDIGO",
IF(AND(OR($R46="",$R46="(digite a descrição aqui)"),OR($C46&lt;&gt;"S",AND($C46="S",OR($Q46&lt;&gt;0,$T46&gt;0,$U46&gt;0)))),"DESCRIÇÃO",
IF(AND($C46="S",$P46&lt;&gt;0,$Q46&lt;&gt;0,$S46=""),"UNIDADE",
IF(AND($C46="S",$P46&lt;&gt;0,$Q46&lt;&gt;0,$U46=0),"SEM CUSTO",
IF(AND(TIPOORCAMENTO="Licitado",$AL46=0,$AN46&gt;0),"SEM PREÇO",
IF(AND($C46="S",$P46&lt;&gt;0,$Q46&lt;&gt;0,$U46&gt;0,$V46=0),"BDI",
IF(OR(AND(TIPOORCAMENTO="Proposto",$AG46&lt;&gt;"",$AG46&gt;0,ORÇAMENTO.CustoUnitario&gt;$AG46),AND(TIPOORCAMENTO="LICITADO",ORÇAMENTO.PrecoUnitarioLicitado&gt;$AN46)),"ACIMA REF.",
IF(AND($C46="S",$P46&lt;&gt;0,$Q46&lt;&gt;0,$T46=0,$U46&gt;0),"QUANT.",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SEM CUSTO</v>
      </c>
      <c r="AD46" t="str">
        <f ca="1">IF(C46&lt;=CRONO.NivelExibicao,MAX($AD$15:OFFSET(AD46,-1,0))+IF($C46&lt;&gt;1,1,MAX(1,COUNTIF(QCI!$A$13:$A$24,OFFSET($E46,-1,0)))),"")</f>
        <v/>
      </c>
      <c r="AE46" s="7" t="str">
        <f ca="1">IF(AND($C46="S",ORÇAMENTO.CodBarra&lt;&gt;""),IF(ORÇAMENTO.Fonte="",ORÇAMENTO.CodBarra,CONCATENATE(ORÇAMENTO.Fonte," ",ORÇAMENTO.CodBarra)))</f>
        <v>SINAPI 103674</v>
      </c>
      <c r="AF46" s="13"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04-2026.xlsm)</v>
      </c>
      <c r="AG46" s="453">
        <f ca="1">ROUND(IF(DESONERACAO="sim",REFERENCIA.Desonerado,REFERENCIA.NaoDesonerado),2)</f>
        <v>0</v>
      </c>
      <c r="AH46" s="454">
        <f t="shared" ca="1" si="15"/>
        <v>0.26329999999999998</v>
      </c>
      <c r="AJ46" s="456"/>
      <c r="AL46" s="471"/>
      <c r="AM46" s="348">
        <f t="shared" ca="1" si="0"/>
        <v>0</v>
      </c>
      <c r="AN46" s="504">
        <f t="shared" ca="1" si="16"/>
        <v>0</v>
      </c>
    </row>
    <row r="47" spans="1:40" x14ac:dyDescent="0.2">
      <c r="A47">
        <f t="shared" si="1"/>
        <v>2</v>
      </c>
      <c r="B47">
        <f t="shared" ca="1" si="2"/>
        <v>2</v>
      </c>
      <c r="C47">
        <f t="shared" ca="1" si="3"/>
        <v>2</v>
      </c>
      <c r="D47">
        <f t="shared" ca="1" si="4"/>
        <v>5</v>
      </c>
      <c r="E47">
        <f ca="1">IF($C47=1,OFFSET(E47,-1,0)+MAX(1,COUNTIF(QCI!$A$13:$A$24,OFFSET(ORÇAMENTO!E47,-1,0))),OFFSET(E47,-1,0))</f>
        <v>2</v>
      </c>
      <c r="F47">
        <f t="shared" ca="1" si="5"/>
        <v>4</v>
      </c>
      <c r="G47">
        <f t="shared" ca="1" si="6"/>
        <v>0</v>
      </c>
      <c r="H47">
        <f t="shared" ca="1" si="7"/>
        <v>0</v>
      </c>
      <c r="I47">
        <f t="shared" ca="1" si="8"/>
        <v>0</v>
      </c>
      <c r="J47">
        <f t="shared" ca="1" si="9"/>
        <v>42</v>
      </c>
      <c r="K47">
        <f ca="1">IF(OR($C47="S",$C47=0),0,MATCH(OFFSET($D47,0,$C47)+IF($C47&lt;&gt;1,1,COUNTIF(QCI!$A$13:$A$24,ORÇAMENTO!E47)),OFFSET($D47,1,$C47,ROW($C$89)-ROW($C47)),0))</f>
        <v>5</v>
      </c>
      <c r="L47" s="116" t="str">
        <f t="shared" ca="1" si="10"/>
        <v>F</v>
      </c>
      <c r="M47" s="117" t="s">
        <v>194</v>
      </c>
      <c r="N47" s="118" t="str">
        <f t="shared" ca="1" si="11"/>
        <v>Nível 2</v>
      </c>
      <c r="O47" s="119" t="str">
        <f t="shared" ca="1" si="12"/>
        <v>2.4.</v>
      </c>
      <c r="P47" s="120" t="s">
        <v>245</v>
      </c>
      <c r="Q47" s="121"/>
      <c r="R47" s="122" t="s">
        <v>972</v>
      </c>
      <c r="S47" s="123" t="str">
        <f ca="1">REFERENCIA.Unidade</f>
        <v>-</v>
      </c>
      <c r="T47" s="124">
        <f ca="1">OFFSET(CÁLCULO!H$15,ROW($T47)-ROW(T$15),0)</f>
        <v>0</v>
      </c>
      <c r="U47" s="125">
        <f t="shared" ca="1" si="17"/>
        <v>0</v>
      </c>
      <c r="V47" s="126" t="s">
        <v>155</v>
      </c>
      <c r="W47" s="124">
        <f ca="1">IF($C47="S",ROUND(IF(TIPOORCAMENTO="Proposto",ORÇAMENTO.CustoUnitario*(1+$AH47),ORÇAMENTO.PrecoUnitarioLicitado),15-13*$AF$10),0)</f>
        <v>0</v>
      </c>
      <c r="X47" s="127">
        <f ca="1">IF($C47="S",IF(OR(Import.TipoArredondamento&lt;&gt;"TransfereGOV",ACOMPANHAMENTO="BM"),VTOTAL1,SUM(OFFSET(CÁLCULO!$AA$15,ROW($X47)-ROW($X$15),1):OFFSET(CÁLCULO!$AL$15,ROW($X47)-ROW($X$15),-1))),IF($C47=0,0,ROUND(SomaAgrup,15-13*$AF$11)))</f>
        <v>0</v>
      </c>
      <c r="Y47" s="128" t="s">
        <v>243</v>
      </c>
      <c r="Z47" t="str">
        <f t="shared" ca="1" si="13"/>
        <v/>
      </c>
      <c r="AA47" s="129">
        <f ca="1">IF($C47="S",IF($Z47="CP",$X47,IF($Z47="RA",(($X47)*QCI!$AA$3),0)),SomaAgrup)</f>
        <v>0</v>
      </c>
      <c r="AB47" s="130">
        <f t="shared" ca="1" si="14"/>
        <v>0</v>
      </c>
      <c r="AC47" s="619" t="str">
        <f ca="1">IF($N47=""," ",
IF(AND($C47="S",OR($Q47&lt;&gt;0,$T47&gt;0,$U47&gt;0),$P47=0),"FONTE",
IF(AND($C47="S",$P47&lt;&gt;0,OR($T47&gt;0,$U47&gt;0),$Q47=0),"CÓDIGO",
IF(AND(OR($R47="",$R47="(digite a descrição aqui)"),OR($C47&lt;&gt;"S",AND($C47="S",OR($Q47&lt;&gt;0,$T47&gt;0,$U47&gt;0)))),"DESCRIÇÃO",
IF(AND($C47="S",$P47&lt;&gt;0,$Q47&lt;&gt;0,$S47=""),"UNIDADE",
IF(AND($C47="S",$P47&lt;&gt;0,$Q47&lt;&gt;0,$U47=0),"SEM CUSTO",
IF(AND(TIPOORCAMENTO="Licitado",$AL47=0,$AN47&gt;0),"SEM PREÇO",
IF(AND($C47="S",$P47&lt;&gt;0,$Q47&lt;&gt;0,$U47&gt;0,$V47=0),"BDI",
IF(OR(AND(TIPOORCAMENTO="Proposto",$AG47&lt;&gt;"",$AG47&gt;0,ORÇAMENTO.CustoUnitario&gt;$AG47),AND(TIPOORCAMENTO="LICITADO",ORÇAMENTO.PrecoUnitarioLicitado&gt;$AN47)),"ACIMA REF.",
IF(AND($C47="S",$P47&lt;&gt;0,$Q47&lt;&gt;0,$T47=0,$U47&gt;0),"QUANT.",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8</v>
      </c>
      <c r="AE47" s="7" t="b">
        <f ca="1">IF(AND($C47="S",ORÇAMENTO.CodBarra&lt;&gt;""),IF(ORÇAMENTO.Fonte="",ORÇAMENTO.CodBarra,CONCATENATE(ORÇAMENTO.Fonte," ",ORÇAMENTO.CodBarra)))</f>
        <v>0</v>
      </c>
      <c r="AF47" s="13"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04-2026.xlsm)</v>
      </c>
      <c r="AG47" s="453">
        <f ca="1">ROUND(IF(DESONERACAO="sim",REFERENCIA.Desonerado,REFERENCIA.NaoDesonerado),2)</f>
        <v>0</v>
      </c>
      <c r="AH47" s="454">
        <f t="shared" ca="1" si="15"/>
        <v>0.26329999999999998</v>
      </c>
      <c r="AJ47" s="456"/>
      <c r="AL47" s="471"/>
      <c r="AM47" s="348">
        <f t="shared" ca="1" si="0"/>
        <v>0</v>
      </c>
      <c r="AN47" s="504">
        <f t="shared" ca="1" si="16"/>
        <v>0</v>
      </c>
    </row>
    <row r="48" spans="1:40" ht="38.25" x14ac:dyDescent="0.2">
      <c r="A48" t="str">
        <f t="shared" si="1"/>
        <v>S</v>
      </c>
      <c r="B48">
        <f t="shared" ca="1" si="2"/>
        <v>2</v>
      </c>
      <c r="C48" t="str">
        <f t="shared" ca="1" si="3"/>
        <v>S</v>
      </c>
      <c r="D48">
        <f t="shared" ca="1" si="4"/>
        <v>0</v>
      </c>
      <c r="E48">
        <f ca="1">IF($C48=1,OFFSET(E48,-1,0)+MAX(1,COUNTIF(QCI!$A$13:$A$24,OFFSET(ORÇAMENTO!E48,-1,0))),OFFSET(E48,-1,0))</f>
        <v>2</v>
      </c>
      <c r="F48">
        <f t="shared" ca="1" si="5"/>
        <v>4</v>
      </c>
      <c r="G48">
        <f t="shared" ca="1" si="6"/>
        <v>0</v>
      </c>
      <c r="H48">
        <f t="shared" ca="1" si="7"/>
        <v>0</v>
      </c>
      <c r="I48">
        <f t="shared" ca="1" si="8"/>
        <v>0</v>
      </c>
      <c r="J48">
        <f t="shared" ref="J48:J79" ca="1" si="18">IF(OR($C48="S",$C48=0),0,MATCH(0,OFFSET($D48,1,$C48,ROW($C$89)-ROW($C48)),0))</f>
        <v>0</v>
      </c>
      <c r="K48">
        <f ca="1">IF(OR($C48="S",$C48=0),0,MATCH(OFFSET($D48,0,$C48)+IF($C48&lt;&gt;1,1,COUNTIF(QCI!$A$13:$A$24,ORÇAMENTO!E48)),OFFSET($D48,1,$C48,ROW($C$89)-ROW($C48)),0))</f>
        <v>0</v>
      </c>
      <c r="L48" s="116" t="str">
        <f t="shared" ca="1" si="10"/>
        <v/>
      </c>
      <c r="M48" s="117" t="s">
        <v>197</v>
      </c>
      <c r="N48" s="118" t="str">
        <f t="shared" ca="1" si="11"/>
        <v>Serviço</v>
      </c>
      <c r="O48" s="119" t="str">
        <f t="shared" ca="1" si="12"/>
        <v>-</v>
      </c>
      <c r="P48" s="120" t="s">
        <v>245</v>
      </c>
      <c r="Q48" s="121" t="s">
        <v>1062</v>
      </c>
      <c r="R48" s="122" t="str">
        <f ca="1">IF($C48="S",REFERENCIA.Descricao,"(digite a descrição aqui)")</f>
        <v>(abra o arquivo 'Referência 04-2026.xlsm)</v>
      </c>
      <c r="S48" s="123" t="str">
        <f ca="1">REFERENCIA.Unidade</f>
        <v>-</v>
      </c>
      <c r="T48" s="124">
        <f ca="1">OFFSET(CÁLCULO!H$15,ROW($T48)-ROW(T$15),0)</f>
        <v>190</v>
      </c>
      <c r="U48" s="125">
        <f t="shared" ca="1" si="17"/>
        <v>0</v>
      </c>
      <c r="V48" s="126" t="s">
        <v>155</v>
      </c>
      <c r="W48" s="124">
        <f ca="1">IF($C48="S",ROUND(IF(TIPOORCAMENTO="Proposto",ORÇAMENTO.CustoUnitario*(1+$AH48),ORÇAMENTO.PrecoUnitarioLicitado),15-13*$AF$10),0)</f>
        <v>0</v>
      </c>
      <c r="X48" s="127">
        <f ca="1">IF($C48="S",IF(OR(Import.TipoArredondamento&lt;&gt;"TransfereGOV",ACOMPANHAMENTO="BM"),VTOTAL1,SUM(OFFSET(CÁLCULO!$AA$15,ROW($X48)-ROW($X$15),1):OFFSET(CÁLCULO!$AL$15,ROW($X48)-ROW($X$15),-1))),IF($C48=0,0,ROUND(SomaAgrup,15-13*$AF$11)))</f>
        <v>0</v>
      </c>
      <c r="Y48" s="128" t="s">
        <v>243</v>
      </c>
      <c r="Z48" t="str">
        <f t="shared" ca="1" si="13"/>
        <v/>
      </c>
      <c r="AA48" s="129">
        <f ca="1">IF($C48="S",IF($Z48="CP",$X48,IF($Z48="RA",(($X48)*QCI!$AA$3),0)),SomaAgrup)</f>
        <v>0</v>
      </c>
      <c r="AB48" s="130">
        <f t="shared" ca="1" si="14"/>
        <v>0</v>
      </c>
      <c r="AC48" s="619" t="str">
        <f ca="1">IF($N48=""," ",
IF(AND($C48="S",OR($Q48&lt;&gt;0,$T48&gt;0,$U48&gt;0),$P48=0),"FONTE",
IF(AND($C48="S",$P48&lt;&gt;0,OR($T48&gt;0,$U48&gt;0),$Q48=0),"CÓDIGO",
IF(AND(OR($R48="",$R48="(digite a descrição aqui)"),OR($C48&lt;&gt;"S",AND($C48="S",OR($Q48&lt;&gt;0,$T48&gt;0,$U48&gt;0)))),"DESCRIÇÃO",
IF(AND($C48="S",$P48&lt;&gt;0,$Q48&lt;&gt;0,$S48=""),"UNIDADE",
IF(AND($C48="S",$P48&lt;&gt;0,$Q48&lt;&gt;0,$U48=0),"SEM CUSTO",
IF(AND(TIPOORCAMENTO="Licitado",$AL48=0,$AN48&gt;0),"SEM PREÇO",
IF(AND($C48="S",$P48&lt;&gt;0,$Q48&lt;&gt;0,$U48&gt;0,$V48=0),"BDI",
IF(OR(AND(TIPOORCAMENTO="Proposto",$AG48&lt;&gt;"",$AG48&gt;0,ORÇAMENTO.CustoUnitario&gt;$AG48),AND(TIPOORCAMENTO="LICITADO",ORÇAMENTO.PrecoUnitarioLicitado&gt;$AN48)),"ACIMA REF.",
IF(AND($C48="S",$P48&lt;&gt;0,$Q48&lt;&gt;0,$T48=0,$U48&gt;0),"QUANT.",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SEM CUSTO</v>
      </c>
      <c r="AD48" t="str">
        <f ca="1">IF(C48&lt;=CRONO.NivelExibicao,MAX($AD$15:OFFSET(AD48,-1,0))+IF($C48&lt;&gt;1,1,MAX(1,COUNTIF(QCI!$A$13:$A$24,OFFSET($E48,-1,0)))),"")</f>
        <v/>
      </c>
      <c r="AE48" s="7" t="str">
        <f ca="1">IF(AND($C48="S",ORÇAMENTO.CodBarra&lt;&gt;""),IF(ORÇAMENTO.Fonte="",ORÇAMENTO.CodBarra,CONCATENATE(ORÇAMENTO.Fonte," ",ORÇAMENTO.CodBarra)))</f>
        <v>SINAPI 103361</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04-2026.xlsm)</v>
      </c>
      <c r="AG48" s="453">
        <f ca="1">ROUND(IF(DESONERACAO="sim",REFERENCIA.Desonerado,REFERENCIA.NaoDesonerado),2)</f>
        <v>0</v>
      </c>
      <c r="AH48" s="454">
        <f t="shared" ca="1" si="15"/>
        <v>0.26329999999999998</v>
      </c>
      <c r="AJ48" s="456"/>
      <c r="AL48" s="471"/>
      <c r="AM48" s="348">
        <f t="shared" ca="1" si="0"/>
        <v>0</v>
      </c>
      <c r="AN48" s="504">
        <f t="shared" ca="1" si="16"/>
        <v>0</v>
      </c>
    </row>
    <row r="49" spans="1:40" ht="51" x14ac:dyDescent="0.2">
      <c r="A49" t="str">
        <f t="shared" si="1"/>
        <v>S</v>
      </c>
      <c r="B49">
        <f t="shared" ca="1" si="2"/>
        <v>2</v>
      </c>
      <c r="C49" t="str">
        <f t="shared" ca="1" si="3"/>
        <v>S</v>
      </c>
      <c r="D49">
        <f t="shared" ca="1" si="4"/>
        <v>0</v>
      </c>
      <c r="E49">
        <f ca="1">IF($C49=1,OFFSET(E49,-1,0)+MAX(1,COUNTIF(QCI!$A$13:$A$24,OFFSET(ORÇAMENTO!E49,-1,0))),OFFSET(E49,-1,0))</f>
        <v>2</v>
      </c>
      <c r="F49">
        <f t="shared" ca="1" si="5"/>
        <v>4</v>
      </c>
      <c r="G49">
        <f t="shared" ca="1" si="6"/>
        <v>0</v>
      </c>
      <c r="H49">
        <f t="shared" ca="1" si="7"/>
        <v>0</v>
      </c>
      <c r="I49">
        <f t="shared" ca="1" si="8"/>
        <v>0</v>
      </c>
      <c r="J49">
        <f t="shared" ca="1" si="18"/>
        <v>0</v>
      </c>
      <c r="K49">
        <f ca="1">IF(OR($C49="S",$C49=0),0,MATCH(OFFSET($D49,0,$C49)+IF($C49&lt;&gt;1,1,COUNTIF(QCI!$A$13:$A$24,ORÇAMENTO!E49)),OFFSET($D49,1,$C49,ROW($C$89)-ROW($C49)),0))</f>
        <v>0</v>
      </c>
      <c r="L49" s="116" t="str">
        <f t="shared" ca="1" si="10"/>
        <v/>
      </c>
      <c r="M49" s="117" t="s">
        <v>197</v>
      </c>
      <c r="N49" s="118" t="str">
        <f t="shared" ca="1" si="11"/>
        <v>Serviço</v>
      </c>
      <c r="O49" s="119" t="str">
        <f t="shared" ca="1" si="12"/>
        <v>-</v>
      </c>
      <c r="P49" s="120" t="s">
        <v>245</v>
      </c>
      <c r="Q49" s="121" t="s">
        <v>973</v>
      </c>
      <c r="R49" s="122" t="str">
        <f ca="1">IF($C49="S",REFERENCIA.Descricao,"(digite a descrição aqui)")</f>
        <v>(abra o arquivo 'Referência 04-2026.xlsm)</v>
      </c>
      <c r="S49" s="123" t="str">
        <f ca="1">REFERENCIA.Unidade</f>
        <v>-</v>
      </c>
      <c r="T49" s="124">
        <f ca="1">OFFSET(CÁLCULO!H$15,ROW($T49)-ROW(T$15),0)</f>
        <v>145</v>
      </c>
      <c r="U49" s="125">
        <f t="shared" ca="1" si="17"/>
        <v>0</v>
      </c>
      <c r="V49" s="126" t="s">
        <v>155</v>
      </c>
      <c r="W49" s="124">
        <f ca="1">IF($C49="S",ROUND(IF(TIPOORCAMENTO="Proposto",ORÇAMENTO.CustoUnitario*(1+$AH49),ORÇAMENTO.PrecoUnitarioLicitado),15-13*$AF$10),0)</f>
        <v>0</v>
      </c>
      <c r="X49" s="127">
        <f ca="1">IF($C49="S",IF(OR(Import.TipoArredondamento&lt;&gt;"TransfereGOV",ACOMPANHAMENTO="BM"),VTOTAL1,SUM(OFFSET(CÁLCULO!$AA$15,ROW($X49)-ROW($X$15),1):OFFSET(CÁLCULO!$AL$15,ROW($X49)-ROW($X$15),-1))),IF($C49=0,0,ROUND(SomaAgrup,15-13*$AF$11)))</f>
        <v>0</v>
      </c>
      <c r="Y49" s="128" t="s">
        <v>243</v>
      </c>
      <c r="Z49" t="str">
        <f t="shared" ca="1" si="13"/>
        <v/>
      </c>
      <c r="AA49" s="129">
        <f ca="1">IF($C49="S",IF($Z49="CP",$X49,IF($Z49="RA",(($X49)*QCI!$AA$3),0)),SomaAgrup)</f>
        <v>0</v>
      </c>
      <c r="AB49" s="130">
        <f t="shared" ca="1" si="14"/>
        <v>0</v>
      </c>
      <c r="AC49" s="619" t="str">
        <f ca="1">IF($N49=""," ",
IF(AND($C49="S",OR($Q49&lt;&gt;0,$T49&gt;0,$U49&gt;0),$P49=0),"FONTE",
IF(AND($C49="S",$P49&lt;&gt;0,OR($T49&gt;0,$U49&gt;0),$Q49=0),"CÓDIGO",
IF(AND(OR($R49="",$R49="(digite a descrição aqui)"),OR($C49&lt;&gt;"S",AND($C49="S",OR($Q49&lt;&gt;0,$T49&gt;0,$U49&gt;0)))),"DESCRIÇÃO",
IF(AND($C49="S",$P49&lt;&gt;0,$Q49&lt;&gt;0,$S49=""),"UNIDADE",
IF(AND($C49="S",$P49&lt;&gt;0,$Q49&lt;&gt;0,$U49=0),"SEM CUSTO",
IF(AND(TIPOORCAMENTO="Licitado",$AL49=0,$AN49&gt;0),"SEM PREÇO",
IF(AND($C49="S",$P49&lt;&gt;0,$Q49&lt;&gt;0,$U49&gt;0,$V49=0),"BDI",
IF(OR(AND(TIPOORCAMENTO="Proposto",$AG49&lt;&gt;"",$AG49&gt;0,ORÇAMENTO.CustoUnitario&gt;$AG49),AND(TIPOORCAMENTO="LICITADO",ORÇAMENTO.PrecoUnitarioLicitado&gt;$AN49)),"ACIMA REF.",
IF(AND($C49="S",$P49&lt;&gt;0,$Q49&lt;&gt;0,$T49=0,$U49&gt;0),"QUANT.",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SEM CUSTO</v>
      </c>
      <c r="AD49" t="str">
        <f ca="1">IF(C49&lt;=CRONO.NivelExibicao,MAX($AD$15:OFFSET(AD49,-1,0))+IF($C49&lt;&gt;1,1,MAX(1,COUNTIF(QCI!$A$13:$A$24,OFFSET($E49,-1,0)))),"")</f>
        <v/>
      </c>
      <c r="AE49" s="7" t="str">
        <f ca="1">IF(AND($C49="S",ORÇAMENTO.CodBarra&lt;&gt;""),IF(ORÇAMENTO.Fonte="",ORÇAMENTO.CodBarra,CONCATENATE(ORÇAMENTO.Fonte," ",ORÇAMENTO.CodBarra)))</f>
        <v>SINAPI 87904</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04-2026.xlsm)</v>
      </c>
      <c r="AG49" s="453">
        <f ca="1">ROUND(IF(DESONERACAO="sim",REFERENCIA.Desonerado,REFERENCIA.NaoDesonerado),2)</f>
        <v>0</v>
      </c>
      <c r="AH49" s="454">
        <f t="shared" ca="1" si="15"/>
        <v>0.26329999999999998</v>
      </c>
      <c r="AJ49" s="456"/>
      <c r="AL49" s="471"/>
      <c r="AM49" s="348">
        <f t="shared" ca="1" si="0"/>
        <v>0</v>
      </c>
      <c r="AN49" s="504">
        <f t="shared" ca="1" si="16"/>
        <v>0</v>
      </c>
    </row>
    <row r="50" spans="1:40" x14ac:dyDescent="0.2">
      <c r="A50" t="str">
        <f>CHOOSE(1+LOG(1+2*(ORÇAMENTO.Nivel="Meta")+4*(ORÇAMENTO.Nivel="Nível 2")+8*(ORÇAMENTO.Nivel="Nível 3")+16*(ORÇAMENTO.Nivel="Nível 4")+32*(ORÇAMENTO.Nivel="Serviço"),2),0,1,2,3,4,"S")</f>
        <v>S</v>
      </c>
      <c r="B50">
        <f ca="1">IF(OR(C50="s",C50=0),OFFSET(B50,-1,0),C50)</f>
        <v>2</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2</v>
      </c>
      <c r="F50">
        <f ca="1">IF($C50=1,0,IF($C50=2,OFFSET(F50,-1,0)+1,OFFSET(F50,-1,0)))</f>
        <v>4</v>
      </c>
      <c r="G50">
        <f ca="1">IF(AND($C50&lt;=2,$C50&lt;&gt;0),0,IF($C50=3,OFFSET(G50,-1,0)+1,OFFSET(G50,-1,0)))</f>
        <v>0</v>
      </c>
      <c r="H50">
        <f ca="1">IF(AND($C50&lt;=3,$C50&lt;&gt;0),0,IF($C50=4,OFFSET(H50,-1,0)+1,OFFSET(H50,-1,0)))</f>
        <v>0</v>
      </c>
      <c r="I50">
        <f ca="1">IF(AND($C50&lt;=4,$C50&lt;&gt;0),0,IF(AND($C50="S",$X50&gt;0),OFFSET(I50,-1,0)+1,OFFSET(I50,-1,0)))</f>
        <v>0</v>
      </c>
      <c r="J50">
        <f t="shared" ca="1" si="18"/>
        <v>0</v>
      </c>
      <c r="K50">
        <f ca="1">IF(OR($C50="S",$C50=0),0,MATCH(OFFSET($D50,0,$C50)+IF($C50&lt;&gt;1,1,COUNTIF(QCI!$A$13:$A$24,ORÇAMENTO!E50)),OFFSET($D50,1,$C50,ROW($C$89)-ROW($C50)),0))</f>
        <v>0</v>
      </c>
      <c r="L50" s="116" t="str">
        <f ca="1">IF(OR($X50&gt;0,$C50=1,$C50=2,$C50=3,$C50=4),"F","")</f>
        <v/>
      </c>
      <c r="M50" s="117" t="s">
        <v>197</v>
      </c>
      <c r="N50" s="118" t="str">
        <f ca="1">CHOOSE(1+LOG(1+2*(C50=1)+4*(C50=2)+8*(C50=3)+16*(C50=4)+32*(C50="S"),2),"","Meta","Nível 2","Nível 3","Nível 4","Serviço")</f>
        <v>Serviço</v>
      </c>
      <c r="O50" s="119" t="str">
        <f ca="1">IF(OR($C50=0,$L50=""),"-",CONCATENATE(E50&amp;".",IF(AND($A$5&gt;=2,$C50&gt;=2),F50&amp;".",""),IF(AND($A$5&gt;=3,$C50&gt;=3),G50&amp;".",""),IF(AND($A$5&gt;=4,$C50&gt;=4),H50&amp;".",""),IF($C50="S",I50&amp;".","")))</f>
        <v>-</v>
      </c>
      <c r="P50" s="120" t="s">
        <v>955</v>
      </c>
      <c r="Q50" s="121" t="s">
        <v>1063</v>
      </c>
      <c r="R50" s="122" t="str">
        <f ca="1">IF($C50="S",REFERENCIA.Descricao,"(digite a descrição aqui)")</f>
        <v>(abra o arquivo 'Referência 04-2026.xlsm)</v>
      </c>
      <c r="S50" s="123" t="str">
        <f ca="1">REFERENCIA.Unidade</f>
        <v>-</v>
      </c>
      <c r="T50" s="124">
        <f ca="1">OFFSET(CÁLCULO!H$15,ROW($T50)-ROW(T$15),0)</f>
        <v>1103.19</v>
      </c>
      <c r="U50" s="125">
        <f t="shared" ca="1" si="17"/>
        <v>0</v>
      </c>
      <c r="V50" s="126" t="s">
        <v>155</v>
      </c>
      <c r="W50" s="124">
        <f ca="1">IF($C50="S",ROUND(IF(TIPOORCAMENTO="Proposto",ORÇAMENTO.CustoUnitario*(1+$AH50),ORÇAMENTO.PrecoUnitarioLicitado),15-13*$AF$10),0)</f>
        <v>0</v>
      </c>
      <c r="X50" s="127">
        <f ca="1">IF($C50="S",IF(OR(Import.TipoArredondamento&lt;&gt;"TransfereGOV",ACOMPANHAMENTO="BM"),VTOTAL1,SUM(OFFSET(CÁLCULO!$AA$15,ROW($X50)-ROW($X$15),1):OFFSET(CÁLCULO!$AL$15,ROW($X50)-ROW($X$15),-1))),IF($C50=0,0,ROUND(SomaAgrup,15-13*$AF$11)))</f>
        <v>0</v>
      </c>
      <c r="Y50" s="128" t="s">
        <v>243</v>
      </c>
      <c r="Z50" t="str">
        <f ca="1">IF(AND($C50="S",$X50&gt;0),IF(ISBLANK($Y50),"RA",LEFT($Y50,2)),"")</f>
        <v/>
      </c>
      <c r="AA50" s="129">
        <f ca="1">IF($C50="S",IF($Z50="CP",$X50,IF($Z50="RA",(($X50)*QCI!$AA$3),0)),SomaAgrup)</f>
        <v>0</v>
      </c>
      <c r="AB50" s="130">
        <f ca="1">IF($C50="S",IF($Z50="OU",ROUND($X50,2),0),SomaAgrup)</f>
        <v>0</v>
      </c>
      <c r="AC50" s="619" t="str">
        <f ca="1">IF($N50=""," ",
IF(AND($C50="S",OR($Q50&lt;&gt;0,$T50&gt;0,$U50&gt;0),$P50=0),"FONTE",
IF(AND($C50="S",$P50&lt;&gt;0,OR($T50&gt;0,$U50&gt;0),$Q50=0),"CÓDIGO",
IF(AND(OR($R50="",$R50="(digite a descrição aqui)"),OR($C50&lt;&gt;"S",AND($C50="S",OR($Q50&lt;&gt;0,$T50&gt;0,$U50&gt;0)))),"DESCRIÇÃO",
IF(AND($C50="S",$P50&lt;&gt;0,$Q50&lt;&gt;0,$S50=""),"UNIDADE",
IF(AND($C50="S",$P50&lt;&gt;0,$Q50&lt;&gt;0,$U50=0),"SEM CUSTO",
IF(AND(TIPOORCAMENTO="Licitado",$AL50=0,$AN50&gt;0),"SEM PREÇO",
IF(AND($C50="S",$P50&lt;&gt;0,$Q50&lt;&gt;0,$U50&gt;0,$V50=0),"BDI",
IF(OR(AND(TIPOORCAMENTO="Proposto",$AG50&lt;&gt;"",$AG50&gt;0,ORÇAMENTO.CustoUnitario&gt;$AG50),AND(TIPOORCAMENTO="LICITADO",ORÇAMENTO.PrecoUnitarioLicitado&gt;$AN50)),"ACIMA REF.",
IF(AND($C50="S",$P50&lt;&gt;0,$Q50&lt;&gt;0,$T50=0,$U50&gt;0),"QUANT.",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SEM CUSTO</v>
      </c>
      <c r="AD50" t="str">
        <f ca="1">IF(C50&lt;=CRONO.NivelExibicao,MAX($AD$15:OFFSET(AD50,-1,0))+IF($C50&lt;&gt;1,1,MAX(1,COUNTIF(QCI!$A$13:$A$24,OFFSET($E50,-1,0)))),"")</f>
        <v/>
      </c>
      <c r="AE50" s="7" t="str">
        <f ca="1">IF(AND($C50="S",ORÇAMENTO.CodBarra&lt;&gt;""),IF(ORÇAMENTO.Fonte="",ORÇAMENTO.CodBarra,CONCATENATE(ORÇAMENTO.Fonte," ",ORÇAMENTO.CodBarra)))</f>
        <v>SINAPI-I 34400</v>
      </c>
      <c r="AF50" s="13"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04-2026.xlsm)</v>
      </c>
      <c r="AG50" s="453">
        <f ca="1">ROUND(IF(DESONERACAO="sim",REFERENCIA.Desonerado,REFERENCIA.NaoDesonerado),2)</f>
        <v>0</v>
      </c>
      <c r="AH50" s="454">
        <f ca="1">ROUND(IF(ISNUMBER(ORÇAMENTO.OpcaoBDI),ORÇAMENTO.OpcaoBDI,IF(LEFT(ORÇAMENTO.OpcaoBDI,3)="BDI",HLOOKUP(ORÇAMENTO.OpcaoBDI,$F$4:$H$5,2,FALSE),0)),15-11*$AF$9)</f>
        <v>0.26329999999999998</v>
      </c>
      <c r="AJ50" s="456"/>
      <c r="AL50" s="471"/>
      <c r="AM50" s="348">
        <f t="shared" ca="1" si="0"/>
        <v>0</v>
      </c>
      <c r="AN50" s="504">
        <f ca="1">ROUND(ORÇAMENTO.CustoUnitario*(1+$AH50),2)</f>
        <v>0</v>
      </c>
    </row>
    <row r="51" spans="1:40" ht="25.5" x14ac:dyDescent="0.2">
      <c r="A51" t="str">
        <f>CHOOSE(1+LOG(1+2*(ORÇAMENTO.Nivel="Meta")+4*(ORÇAMENTO.Nivel="Nível 2")+8*(ORÇAMENTO.Nivel="Nível 3")+16*(ORÇAMENTO.Nivel="Nível 4")+32*(ORÇAMENTO.Nivel="Serviço"),2),0,1,2,3,4,"S")</f>
        <v>S</v>
      </c>
      <c r="B51">
        <f ca="1">IF(OR(C51="s",C51=0),OFFSET(B51,-1,0),C51)</f>
        <v>2</v>
      </c>
      <c r="C51" t="str">
        <f ca="1">IF(OFFSET(C51,-1,0)="L",1,IF(OFFSET(C51,-1,0)=1,2,IF(OR(A51="s",A51=0),"S",IF(AND(OFFSET(C51,-1,0)=2,A51=4),3,IF(AND(OR(OFFSET(C51,-1,0)="s",OFFSET(C51,-1,0)=0),A51&lt;&gt;"s",A51&gt;OFFSET(B51,-1,0)),OFFSET(B51,-1,0),A51)))))</f>
        <v>S</v>
      </c>
      <c r="D51">
        <f ca="1">IF(OR(C51="S",C51=0),0,IF(ISERROR(K51),J51,SMALL(J51:K51,1)))</f>
        <v>0</v>
      </c>
      <c r="E51">
        <f ca="1">IF($C51=1,OFFSET(E51,-1,0)+MAX(1,COUNTIF(QCI!$A$13:$A$24,OFFSET(ORÇAMENTO!E51,-1,0))),OFFSET(E51,-1,0))</f>
        <v>2</v>
      </c>
      <c r="F51">
        <f ca="1">IF($C51=1,0,IF($C51=2,OFFSET(F51,-1,0)+1,OFFSET(F51,-1,0)))</f>
        <v>4</v>
      </c>
      <c r="G51">
        <f ca="1">IF(AND($C51&lt;=2,$C51&lt;&gt;0),0,IF($C51=3,OFFSET(G51,-1,0)+1,OFFSET(G51,-1,0)))</f>
        <v>0</v>
      </c>
      <c r="H51">
        <f ca="1">IF(AND($C51&lt;=3,$C51&lt;&gt;0),0,IF($C51=4,OFFSET(H51,-1,0)+1,OFFSET(H51,-1,0)))</f>
        <v>0</v>
      </c>
      <c r="I51">
        <f ca="1">IF(AND($C51&lt;=4,$C51&lt;&gt;0),0,IF(AND($C51="S",$X51&gt;0),OFFSET(I51,-1,0)+1,OFFSET(I51,-1,0)))</f>
        <v>0</v>
      </c>
      <c r="J51">
        <f t="shared" ca="1" si="18"/>
        <v>0</v>
      </c>
      <c r="K51">
        <f ca="1">IF(OR($C51="S",$C51=0),0,MATCH(OFFSET($D51,0,$C51)+IF($C51&lt;&gt;1,1,COUNTIF(QCI!$A$13:$A$24,ORÇAMENTO!E51)),OFFSET($D51,1,$C51,ROW($C$89)-ROW($C51)),0))</f>
        <v>0</v>
      </c>
      <c r="L51" s="116" t="str">
        <f ca="1">IF(OR($X51&gt;0,$C51=1,$C51=2,$C51=3,$C51=4),"F","")</f>
        <v/>
      </c>
      <c r="M51" s="117" t="s">
        <v>197</v>
      </c>
      <c r="N51" s="118" t="str">
        <f ca="1">CHOOSE(1+LOG(1+2*(C51=1)+4*(C51=2)+8*(C51=3)+16*(C51=4)+32*(C51="S"),2),"","Meta","Nível 2","Nível 3","Nível 4","Serviço")</f>
        <v>Serviço</v>
      </c>
      <c r="O51" s="119" t="str">
        <f ca="1">IF(OR($C51=0,$L51=""),"-",CONCATENATE(E51&amp;".",IF(AND($A$5&gt;=2,$C51&gt;=2),F51&amp;".",""),IF(AND($A$5&gt;=3,$C51&gt;=3),G51&amp;".",""),IF(AND($A$5&gt;=4,$C51&gt;=4),H51&amp;".",""),IF($C51="S",I51&amp;".","")))</f>
        <v>-</v>
      </c>
      <c r="P51" s="120" t="s">
        <v>939</v>
      </c>
      <c r="Q51" s="121" t="s">
        <v>1000</v>
      </c>
      <c r="R51" s="122" t="str">
        <f ca="1">IF($C51="S",REFERENCIA.Descricao,"(digite a descrição aqui)")</f>
        <v>(abra o arquivo 'Referência 04-2026.xlsm)</v>
      </c>
      <c r="S51" s="123" t="str">
        <f ca="1">REFERENCIA.Unidade</f>
        <v>-</v>
      </c>
      <c r="T51" s="124">
        <f ca="1">OFFSET(CÁLCULO!H$15,ROW($T51)-ROW(T$15),0)</f>
        <v>16.8</v>
      </c>
      <c r="U51" s="125">
        <f t="shared" ca="1" si="17"/>
        <v>0</v>
      </c>
      <c r="V51" s="126" t="s">
        <v>155</v>
      </c>
      <c r="W51" s="124">
        <f ca="1">IF($C51="S",ROUND(IF(TIPOORCAMENTO="Proposto",ORÇAMENTO.CustoUnitario*(1+$AH51),ORÇAMENTO.PrecoUnitarioLicitado),15-13*$AF$10),0)</f>
        <v>0</v>
      </c>
      <c r="X51" s="127">
        <f ca="1">IF($C51="S",IF(OR(Import.TipoArredondamento&lt;&gt;"TransfereGOV",ACOMPANHAMENTO="BM"),VTOTAL1,SUM(OFFSET(CÁLCULO!$AA$15,ROW($X51)-ROW($X$15),1):OFFSET(CÁLCULO!$AL$15,ROW($X51)-ROW($X$15),-1))),IF($C51=0,0,ROUND(SomaAgrup,15-13*$AF$11)))</f>
        <v>0</v>
      </c>
      <c r="Y51" s="128" t="s">
        <v>243</v>
      </c>
      <c r="Z51" t="str">
        <f ca="1">IF(AND($C51="S",$X51&gt;0),IF(ISBLANK($Y51),"RA",LEFT($Y51,2)),"")</f>
        <v/>
      </c>
      <c r="AA51" s="129">
        <f ca="1">IF($C51="S",IF($Z51="CP",$X51,IF($Z51="RA",(($X51)*QCI!$AA$3),0)),SomaAgrup)</f>
        <v>0</v>
      </c>
      <c r="AB51" s="130">
        <f ca="1">IF($C51="S",IF($Z51="OU",ROUND($X51,2),0),SomaAgrup)</f>
        <v>0</v>
      </c>
      <c r="AC51" s="619" t="str">
        <f ca="1">IF($N51=""," ",
IF(AND($C51="S",OR($Q51&lt;&gt;0,$T51&gt;0,$U51&gt;0),$P51=0),"FONTE",
IF(AND($C51="S",$P51&lt;&gt;0,OR($T51&gt;0,$U51&gt;0),$Q51=0),"CÓDIGO",
IF(AND(OR($R51="",$R51="(digite a descrição aqui)"),OR($C51&lt;&gt;"S",AND($C51="S",OR($Q51&lt;&gt;0,$T51&gt;0,$U51&gt;0)))),"DESCRIÇÃO",
IF(AND($C51="S",$P51&lt;&gt;0,$Q51&lt;&gt;0,$S51=""),"UNIDADE",
IF(AND($C51="S",$P51&lt;&gt;0,$Q51&lt;&gt;0,$U51=0),"SEM CUSTO",
IF(AND(TIPOORCAMENTO="Licitado",$AL51=0,$AN51&gt;0),"SEM PREÇO",
IF(AND($C51="S",$P51&lt;&gt;0,$Q51&lt;&gt;0,$U51&gt;0,$V51=0),"BDI",
IF(OR(AND(TIPOORCAMENTO="Proposto",$AG51&lt;&gt;"",$AG51&gt;0,ORÇAMENTO.CustoUnitario&gt;$AG51),AND(TIPOORCAMENTO="LICITADO",ORÇAMENTO.PrecoUnitarioLicitado&gt;$AN51)),"ACIMA REF.",
IF(AND($C51="S",$P51&lt;&gt;0,$Q51&lt;&gt;0,$T51=0,$U51&gt;0),"QUANT.",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SEM CUSTO</v>
      </c>
      <c r="AD51" t="str">
        <f ca="1">IF(C51&lt;=CRONO.NivelExibicao,MAX($AD$15:OFFSET(AD51,-1,0))+IF($C51&lt;&gt;1,1,MAX(1,COUNTIF(QCI!$A$13:$A$24,OFFSET($E51,-1,0)))),"")</f>
        <v/>
      </c>
      <c r="AE51" s="7" t="str">
        <f ca="1">IF(AND($C51="S",ORÇAMENTO.CodBarra&lt;&gt;""),IF(ORÇAMENTO.Fonte="",ORÇAMENTO.CodBarra,CONCATENATE(ORÇAMENTO.Fonte," ",ORÇAMENTO.CodBarra)))</f>
        <v>Composição COMP-06</v>
      </c>
      <c r="AF51" s="13"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04-2026.xlsm)</v>
      </c>
      <c r="AG51" s="453">
        <f ca="1">ROUND(IF(DESONERACAO="sim",REFERENCIA.Desonerado,REFERENCIA.NaoDesonerado),2)</f>
        <v>0</v>
      </c>
      <c r="AH51" s="454">
        <f ca="1">ROUND(IF(ISNUMBER(ORÇAMENTO.OpcaoBDI),ORÇAMENTO.OpcaoBDI,IF(LEFT(ORÇAMENTO.OpcaoBDI,3)="BDI",HLOOKUP(ORÇAMENTO.OpcaoBDI,$F$4:$H$5,2,FALSE),0)),15-11*$AF$9)</f>
        <v>0.26329999999999998</v>
      </c>
      <c r="AJ51" s="456"/>
      <c r="AL51" s="471"/>
      <c r="AM51" s="348">
        <f t="shared" ca="1" si="0"/>
        <v>0</v>
      </c>
      <c r="AN51" s="504">
        <f ca="1">ROUND(ORÇAMENTO.CustoUnitario*(1+$AH51),2)</f>
        <v>0</v>
      </c>
    </row>
    <row r="52" spans="1:40" x14ac:dyDescent="0.2">
      <c r="A52">
        <f t="shared" si="1"/>
        <v>2</v>
      </c>
      <c r="B52">
        <f t="shared" ca="1" si="2"/>
        <v>2</v>
      </c>
      <c r="C52">
        <f t="shared" ca="1" si="3"/>
        <v>2</v>
      </c>
      <c r="D52">
        <f t="shared" ca="1" si="4"/>
        <v>7</v>
      </c>
      <c r="E52">
        <f ca="1">IF($C52=1,OFFSET(E52,-1,0)+MAX(1,COUNTIF(QCI!$A$13:$A$24,OFFSET(ORÇAMENTO!E52,-1,0))),OFFSET(E52,-1,0))</f>
        <v>2</v>
      </c>
      <c r="F52">
        <f t="shared" ca="1" si="5"/>
        <v>5</v>
      </c>
      <c r="G52">
        <f t="shared" ca="1" si="6"/>
        <v>0</v>
      </c>
      <c r="H52">
        <f t="shared" ca="1" si="7"/>
        <v>0</v>
      </c>
      <c r="I52">
        <f t="shared" ca="1" si="8"/>
        <v>0</v>
      </c>
      <c r="J52">
        <f t="shared" ca="1" si="18"/>
        <v>37</v>
      </c>
      <c r="K52">
        <f ca="1">IF(OR($C52="S",$C52=0),0,MATCH(OFFSET($D52,0,$C52)+IF($C52&lt;&gt;1,1,COUNTIF(QCI!$A$13:$A$24,ORÇAMENTO!E52)),OFFSET($D52,1,$C52,ROW($C$89)-ROW($C52)),0))</f>
        <v>7</v>
      </c>
      <c r="L52" s="116" t="str">
        <f t="shared" ca="1" si="10"/>
        <v>F</v>
      </c>
      <c r="M52" s="117" t="s">
        <v>194</v>
      </c>
      <c r="N52" s="118" t="str">
        <f t="shared" ca="1" si="11"/>
        <v>Nível 2</v>
      </c>
      <c r="O52" s="119" t="str">
        <f t="shared" ca="1" si="12"/>
        <v>2.5.</v>
      </c>
      <c r="P52" s="120" t="s">
        <v>245</v>
      </c>
      <c r="Q52" s="121"/>
      <c r="R52" s="122" t="s">
        <v>1017</v>
      </c>
      <c r="S52" s="123" t="str">
        <f ca="1">REFERENCIA.Unidade</f>
        <v>-</v>
      </c>
      <c r="T52" s="124">
        <f ca="1">OFFSET(CÁLCULO!H$15,ROW($T52)-ROW(T$15),0)</f>
        <v>0</v>
      </c>
      <c r="U52" s="125">
        <f t="shared" ca="1" si="17"/>
        <v>0</v>
      </c>
      <c r="V52" s="126" t="s">
        <v>155</v>
      </c>
      <c r="W52" s="124">
        <f ca="1">IF($C52="S",ROUND(IF(TIPOORCAMENTO="Proposto",ORÇAMENTO.CustoUnitario*(1+$AH52),ORÇAMENTO.PrecoUnitarioLicitado),15-13*$AF$10),0)</f>
        <v>0</v>
      </c>
      <c r="X52" s="127">
        <f ca="1">IF($C52="S",IF(OR(Import.TipoArredondamento&lt;&gt;"TransfereGOV",ACOMPANHAMENTO="BM"),VTOTAL1,SUM(OFFSET(CÁLCULO!$AA$15,ROW($X52)-ROW($X$15),1):OFFSET(CÁLCULO!$AL$15,ROW($X52)-ROW($X$15),-1))),IF($C52=0,0,ROUND(SomaAgrup,15-13*$AF$11)))</f>
        <v>0</v>
      </c>
      <c r="Y52" s="128" t="s">
        <v>243</v>
      </c>
      <c r="Z52" t="str">
        <f t="shared" ca="1" si="13"/>
        <v/>
      </c>
      <c r="AA52" s="129">
        <f ca="1">IF($C52="S",IF($Z52="CP",$X52,IF($Z52="RA",(($X52)*QCI!$AA$3),0)),SomaAgrup)</f>
        <v>0</v>
      </c>
      <c r="AB52" s="130">
        <f t="shared" ca="1" si="14"/>
        <v>0</v>
      </c>
      <c r="AC52" s="619" t="str">
        <f ca="1">IF($N52=""," ",
IF(AND($C52="S",OR($Q52&lt;&gt;0,$T52&gt;0,$U52&gt;0),$P52=0),"FONTE",
IF(AND($C52="S",$P52&lt;&gt;0,OR($T52&gt;0,$U52&gt;0),$Q52=0),"CÓDIGO",
IF(AND(OR($R52="",$R52="(digite a descrição aqui)"),OR($C52&lt;&gt;"S",AND($C52="S",OR($Q52&lt;&gt;0,$T52&gt;0,$U52&gt;0)))),"DESCRIÇÃO",
IF(AND($C52="S",$P52&lt;&gt;0,$Q52&lt;&gt;0,$S52=""),"UNIDADE",
IF(AND($C52="S",$P52&lt;&gt;0,$Q52&lt;&gt;0,$U52=0),"SEM CUSTO",
IF(AND(TIPOORCAMENTO="Licitado",$AL52=0,$AN52&gt;0),"SEM PREÇO",
IF(AND($C52="S",$P52&lt;&gt;0,$Q52&lt;&gt;0,$U52&gt;0,$V52=0),"BDI",
IF(OR(AND(TIPOORCAMENTO="Proposto",$AG52&lt;&gt;"",$AG52&gt;0,ORÇAMENTO.CustoUnitario&gt;$AG52),AND(TIPOORCAMENTO="LICITADO",ORÇAMENTO.PrecoUnitarioLicitado&gt;$AN52)),"ACIMA REF.",
IF(AND($C52="S",$P52&lt;&gt;0,$Q52&lt;&gt;0,$T52=0,$U52&gt;0),"QUANT.",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IF(C52&lt;=CRONO.NivelExibicao,MAX($AD$15:OFFSET(AD52,-1,0))+IF($C52&lt;&gt;1,1,MAX(1,COUNTIF(QCI!$A$13:$A$24,OFFSET($E52,-1,0)))),"")</f>
        <v>9</v>
      </c>
      <c r="AE52" s="7" t="b">
        <f ca="1">IF(AND($C52="S",ORÇAMENTO.CodBarra&lt;&gt;""),IF(ORÇAMENTO.Fonte="",ORÇAMENTO.CodBarra,CONCATENATE(ORÇAMENTO.Fonte," ",ORÇAMENTO.CodBarra)))</f>
        <v>0</v>
      </c>
      <c r="AF52" s="13"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04-2026.xlsm)</v>
      </c>
      <c r="AG52" s="453">
        <f ca="1">ROUND(IF(DESONERACAO="sim",REFERENCIA.Desonerado,REFERENCIA.NaoDesonerado),2)</f>
        <v>0</v>
      </c>
      <c r="AH52" s="454">
        <f t="shared" ca="1" si="15"/>
        <v>0.26329999999999998</v>
      </c>
      <c r="AJ52" s="456"/>
      <c r="AL52" s="471"/>
      <c r="AM52" s="348">
        <f t="shared" ca="1" si="0"/>
        <v>0</v>
      </c>
      <c r="AN52" s="504">
        <f t="shared" ca="1" si="16"/>
        <v>0</v>
      </c>
    </row>
    <row r="53" spans="1:40" ht="25.5" x14ac:dyDescent="0.2">
      <c r="A53" t="str">
        <f t="shared" si="1"/>
        <v>S</v>
      </c>
      <c r="B53">
        <f t="shared" ca="1" si="2"/>
        <v>2</v>
      </c>
      <c r="C53" t="str">
        <f t="shared" ca="1" si="3"/>
        <v>S</v>
      </c>
      <c r="D53">
        <f t="shared" ca="1" si="4"/>
        <v>0</v>
      </c>
      <c r="E53">
        <f ca="1">IF($C53=1,OFFSET(E53,-1,0)+MAX(1,COUNTIF(QCI!$A$13:$A$24,OFFSET(ORÇAMENTO!E53,-1,0))),OFFSET(E53,-1,0))</f>
        <v>2</v>
      </c>
      <c r="F53">
        <f t="shared" ca="1" si="5"/>
        <v>5</v>
      </c>
      <c r="G53">
        <f t="shared" ca="1" si="6"/>
        <v>0</v>
      </c>
      <c r="H53">
        <f t="shared" ca="1" si="7"/>
        <v>0</v>
      </c>
      <c r="I53">
        <f t="shared" ca="1" si="8"/>
        <v>0</v>
      </c>
      <c r="J53">
        <f t="shared" ca="1" si="18"/>
        <v>0</v>
      </c>
      <c r="K53">
        <f ca="1">IF(OR($C53="S",$C53=0),0,MATCH(OFFSET($D53,0,$C53)+IF($C53&lt;&gt;1,1,COUNTIF(QCI!$A$13:$A$24,ORÇAMENTO!E53)),OFFSET($D53,1,$C53,ROW($C$89)-ROW($C53)),0))</f>
        <v>0</v>
      </c>
      <c r="L53" s="116" t="str">
        <f t="shared" ca="1" si="10"/>
        <v/>
      </c>
      <c r="M53" s="117" t="s">
        <v>197</v>
      </c>
      <c r="N53" s="118" t="str">
        <f t="shared" ca="1" si="11"/>
        <v>Serviço</v>
      </c>
      <c r="O53" s="119" t="str">
        <f t="shared" ca="1" si="12"/>
        <v>-</v>
      </c>
      <c r="P53" s="120" t="s">
        <v>245</v>
      </c>
      <c r="Q53" s="121" t="s">
        <v>953</v>
      </c>
      <c r="R53" s="122" t="str">
        <f ca="1">IF($C53="S",REFERENCIA.Descricao,"(digite a descrição aqui)")</f>
        <v>(abra o arquivo 'Referência 04-2026.xlsm)</v>
      </c>
      <c r="S53" s="123" t="str">
        <f ca="1">REFERENCIA.Unidade</f>
        <v>-</v>
      </c>
      <c r="T53" s="124">
        <f ca="1">OFFSET(CÁLCULO!H$15,ROW($T53)-ROW(T$15),0)</f>
        <v>132</v>
      </c>
      <c r="U53" s="125">
        <f t="shared" ca="1" si="17"/>
        <v>0</v>
      </c>
      <c r="V53" s="126" t="s">
        <v>155</v>
      </c>
      <c r="W53" s="124">
        <f ca="1">IF($C53="S",ROUND(IF(TIPOORCAMENTO="Proposto",ORÇAMENTO.CustoUnitario*(1+$AH53),ORÇAMENTO.PrecoUnitarioLicitado),15-13*$AF$10),0)</f>
        <v>0</v>
      </c>
      <c r="X53" s="127">
        <f ca="1">IF($C53="S",IF(OR(Import.TipoArredondamento&lt;&gt;"TransfereGOV",ACOMPANHAMENTO="BM"),VTOTAL1,SUM(OFFSET(CÁLCULO!$AA$15,ROW($X53)-ROW($X$15),1):OFFSET(CÁLCULO!$AL$15,ROW($X53)-ROW($X$15),-1))),IF($C53=0,0,ROUND(SomaAgrup,15-13*$AF$11)))</f>
        <v>0</v>
      </c>
      <c r="Y53" s="128" t="s">
        <v>243</v>
      </c>
      <c r="Z53" t="str">
        <f t="shared" ca="1" si="13"/>
        <v/>
      </c>
      <c r="AA53" s="129">
        <f ca="1">IF($C53="S",IF($Z53="CP",$X53,IF($Z53="RA",(($X53)*QCI!$AA$3),0)),SomaAgrup)</f>
        <v>0</v>
      </c>
      <c r="AB53" s="130">
        <f t="shared" ca="1" si="14"/>
        <v>0</v>
      </c>
      <c r="AC53" s="619" t="str">
        <f ca="1">IF($N53=""," ",
IF(AND($C53="S",OR($Q53&lt;&gt;0,$T53&gt;0,$U53&gt;0),$P53=0),"FONTE",
IF(AND($C53="S",$P53&lt;&gt;0,OR($T53&gt;0,$U53&gt;0),$Q53=0),"CÓDIGO",
IF(AND(OR($R53="",$R53="(digite a descrição aqui)"),OR($C53&lt;&gt;"S",AND($C53="S",OR($Q53&lt;&gt;0,$T53&gt;0,$U53&gt;0)))),"DESCRIÇÃO",
IF(AND($C53="S",$P53&lt;&gt;0,$Q53&lt;&gt;0,$S53=""),"UNIDADE",
IF(AND($C53="S",$P53&lt;&gt;0,$Q53&lt;&gt;0,$U53=0),"SEM CUSTO",
IF(AND(TIPOORCAMENTO="Licitado",$AL53=0,$AN53&gt;0),"SEM PREÇO",
IF(AND($C53="S",$P53&lt;&gt;0,$Q53&lt;&gt;0,$U53&gt;0,$V53=0),"BDI",
IF(OR(AND(TIPOORCAMENTO="Proposto",$AG53&lt;&gt;"",$AG53&gt;0,ORÇAMENTO.CustoUnitario&gt;$AG53),AND(TIPOORCAMENTO="LICITADO",ORÇAMENTO.PrecoUnitarioLicitado&gt;$AN53)),"ACIMA REF.",
IF(AND($C53="S",$P53&lt;&gt;0,$Q53&lt;&gt;0,$T53=0,$U53&gt;0),"QUANT.",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SEM CUSTO</v>
      </c>
      <c r="AD53" t="str">
        <f ca="1">IF(C53&lt;=CRONO.NivelExibicao,MAX($AD$15:OFFSET(AD53,-1,0))+IF($C53&lt;&gt;1,1,MAX(1,COUNTIF(QCI!$A$13:$A$24,OFFSET($E53,-1,0)))),"")</f>
        <v/>
      </c>
      <c r="AE53" s="7" t="str">
        <f ca="1">IF(AND($C53="S",ORÇAMENTO.CodBarra&lt;&gt;""),IF(ORÇAMENTO.Fonte="",ORÇAMENTO.CodBarra,CONCATENATE(ORÇAMENTO.Fonte," ",ORÇAMENTO.CodBarra)))</f>
        <v>SINAPI 97113</v>
      </c>
      <c r="AF53" s="13"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04-2026.xlsm)</v>
      </c>
      <c r="AG53" s="453">
        <f ca="1">ROUND(IF(DESONERACAO="sim",REFERENCIA.Desonerado,REFERENCIA.NaoDesonerado),2)</f>
        <v>0</v>
      </c>
      <c r="AH53" s="454">
        <f t="shared" ca="1" si="15"/>
        <v>0.26329999999999998</v>
      </c>
      <c r="AJ53" s="456"/>
      <c r="AL53" s="471"/>
      <c r="AM53" s="348">
        <f t="shared" ca="1" si="0"/>
        <v>0</v>
      </c>
      <c r="AN53" s="504">
        <f t="shared" ca="1" si="16"/>
        <v>0</v>
      </c>
    </row>
    <row r="54" spans="1:40" ht="25.5" x14ac:dyDescent="0.2">
      <c r="A54" t="str">
        <f>CHOOSE(1+LOG(1+2*(ORÇAMENTO.Nivel="Meta")+4*(ORÇAMENTO.Nivel="Nível 2")+8*(ORÇAMENTO.Nivel="Nível 3")+16*(ORÇAMENTO.Nivel="Nível 4")+32*(ORÇAMENTO.Nivel="Serviço"),2),0,1,2,3,4,"S")</f>
        <v>S</v>
      </c>
      <c r="B54">
        <f ca="1">IF(OR(C54="s",C54=0),OFFSET(B54,-1,0),C54)</f>
        <v>2</v>
      </c>
      <c r="C54" t="str">
        <f ca="1">IF(OFFSET(C54,-1,0)="L",1,IF(OFFSET(C54,-1,0)=1,2,IF(OR(A54="s",A54=0),"S",IF(AND(OFFSET(C54,-1,0)=2,A54=4),3,IF(AND(OR(OFFSET(C54,-1,0)="s",OFFSET(C54,-1,0)=0),A54&lt;&gt;"s",A54&gt;OFFSET(B54,-1,0)),OFFSET(B54,-1,0),A54)))))</f>
        <v>S</v>
      </c>
      <c r="D54">
        <f ca="1">IF(OR(C54="S",C54=0),0,IF(ISERROR(K54),J54,SMALL(J54:K54,1)))</f>
        <v>0</v>
      </c>
      <c r="E54">
        <f ca="1">IF($C54=1,OFFSET(E54,-1,0)+MAX(1,COUNTIF(QCI!$A$13:$A$24,OFFSET(ORÇAMENTO!E54,-1,0))),OFFSET(E54,-1,0))</f>
        <v>2</v>
      </c>
      <c r="F54">
        <f ca="1">IF($C54=1,0,IF($C54=2,OFFSET(F54,-1,0)+1,OFFSET(F54,-1,0)))</f>
        <v>5</v>
      </c>
      <c r="G54">
        <f ca="1">IF(AND($C54&lt;=2,$C54&lt;&gt;0),0,IF($C54=3,OFFSET(G54,-1,0)+1,OFFSET(G54,-1,0)))</f>
        <v>0</v>
      </c>
      <c r="H54">
        <f ca="1">IF(AND($C54&lt;=3,$C54&lt;&gt;0),0,IF($C54=4,OFFSET(H54,-1,0)+1,OFFSET(H54,-1,0)))</f>
        <v>0</v>
      </c>
      <c r="I54">
        <f ca="1">IF(AND($C54&lt;=4,$C54&lt;&gt;0),0,IF(AND($C54="S",$X54&gt;0),OFFSET(I54,-1,0)+1,OFFSET(I54,-1,0)))</f>
        <v>0</v>
      </c>
      <c r="J54">
        <f t="shared" ca="1" si="18"/>
        <v>0</v>
      </c>
      <c r="K54">
        <f ca="1">IF(OR($C54="S",$C54=0),0,MATCH(OFFSET($D54,0,$C54)+IF($C54&lt;&gt;1,1,COUNTIF(QCI!$A$13:$A$24,ORÇAMENTO!E54)),OFFSET($D54,1,$C54,ROW($C$89)-ROW($C54)),0))</f>
        <v>0</v>
      </c>
      <c r="L54" s="116" t="str">
        <f ca="1">IF(OR($X54&gt;0,$C54=1,$C54=2,$C54=3,$C54=4),"F","")</f>
        <v/>
      </c>
      <c r="M54" s="117" t="s">
        <v>197</v>
      </c>
      <c r="N54" s="118" t="str">
        <f ca="1">CHOOSE(1+LOG(1+2*(C54=1)+4*(C54=2)+8*(C54=3)+16*(C54=4)+32*(C54="S"),2),"","Meta","Nível 2","Nível 3","Nível 4","Serviço")</f>
        <v>Serviço</v>
      </c>
      <c r="O54" s="119" t="str">
        <f ca="1">IF(OR($C54=0,$L54=""),"-",CONCATENATE(E54&amp;".",IF(AND($A$5&gt;=2,$C54&gt;=2),F54&amp;".",""),IF(AND($A$5&gt;=3,$C54&gt;=3),G54&amp;".",""),IF(AND($A$5&gt;=4,$C54&gt;=4),H54&amp;".",""),IF($C54="S",I54&amp;".","")))</f>
        <v>-</v>
      </c>
      <c r="P54" s="120" t="s">
        <v>245</v>
      </c>
      <c r="Q54" s="121" t="s">
        <v>997</v>
      </c>
      <c r="R54" s="122" t="str">
        <f ca="1">IF($C54="S",REFERENCIA.Descricao,"(digite a descrição aqui)")</f>
        <v>(abra o arquivo 'Referência 04-2026.xlsm)</v>
      </c>
      <c r="S54" s="123" t="str">
        <f ca="1">REFERENCIA.Unidade</f>
        <v>-</v>
      </c>
      <c r="T54" s="124">
        <f ca="1">OFFSET(CÁLCULO!H$15,ROW($T54)-ROW(T$15),0)</f>
        <v>6.6</v>
      </c>
      <c r="U54" s="125">
        <f t="shared" ca="1" si="17"/>
        <v>0</v>
      </c>
      <c r="V54" s="126" t="s">
        <v>155</v>
      </c>
      <c r="W54" s="124">
        <f ca="1">IF($C54="S",ROUND(IF(TIPOORCAMENTO="Proposto",ORÇAMENTO.CustoUnitario*(1+$AH54),ORÇAMENTO.PrecoUnitarioLicitado),15-13*$AF$10),0)</f>
        <v>0</v>
      </c>
      <c r="X54" s="127">
        <f ca="1">IF($C54="S",IF(OR(Import.TipoArredondamento&lt;&gt;"TransfereGOV",ACOMPANHAMENTO="BM"),VTOTAL1,SUM(OFFSET(CÁLCULO!$AA$15,ROW($X54)-ROW($X$15),1):OFFSET(CÁLCULO!$AL$15,ROW($X54)-ROW($X$15),-1))),IF($C54=0,0,ROUND(SomaAgrup,15-13*$AF$11)))</f>
        <v>0</v>
      </c>
      <c r="Y54" s="128" t="s">
        <v>243</v>
      </c>
      <c r="Z54" t="str">
        <f ca="1">IF(AND($C54="S",$X54&gt;0),IF(ISBLANK($Y54),"RA",LEFT($Y54,2)),"")</f>
        <v/>
      </c>
      <c r="AA54" s="129">
        <f ca="1">IF($C54="S",IF($Z54="CP",$X54,IF($Z54="RA",(($X54)*QCI!$AA$3),0)),SomaAgrup)</f>
        <v>0</v>
      </c>
      <c r="AB54" s="130">
        <f ca="1">IF($C54="S",IF($Z54="OU",ROUND($X54,2),0),SomaAgrup)</f>
        <v>0</v>
      </c>
      <c r="AC54" s="619" t="str">
        <f ca="1">IF($N54=""," ",
IF(AND($C54="S",OR($Q54&lt;&gt;0,$T54&gt;0,$U54&gt;0),$P54=0),"FONTE",
IF(AND($C54="S",$P54&lt;&gt;0,OR($T54&gt;0,$U54&gt;0),$Q54=0),"CÓDIGO",
IF(AND(OR($R54="",$R54="(digite a descrição aqui)"),OR($C54&lt;&gt;"S",AND($C54="S",OR($Q54&lt;&gt;0,$T54&gt;0,$U54&gt;0)))),"DESCRIÇÃO",
IF(AND($C54="S",$P54&lt;&gt;0,$Q54&lt;&gt;0,$S54=""),"UNIDADE",
IF(AND($C54="S",$P54&lt;&gt;0,$Q54&lt;&gt;0,$U54=0),"SEM CUSTO",
IF(AND(TIPOORCAMENTO="Licitado",$AL54=0,$AN54&gt;0),"SEM PREÇO",
IF(AND($C54="S",$P54&lt;&gt;0,$Q54&lt;&gt;0,$U54&gt;0,$V54=0),"BDI",
IF(OR(AND(TIPOORCAMENTO="Proposto",$AG54&lt;&gt;"",$AG54&gt;0,ORÇAMENTO.CustoUnitario&gt;$AG54),AND(TIPOORCAMENTO="LICITADO",ORÇAMENTO.PrecoUnitarioLicitado&gt;$AN54)),"ACIMA REF.",
IF(AND($C54="S",$P54&lt;&gt;0,$Q54&lt;&gt;0,$T54=0,$U54&gt;0),"QUANT.",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SEM CUSTO</v>
      </c>
      <c r="AD54" t="str">
        <f ca="1">IF(C54&lt;=CRONO.NivelExibicao,MAX($AD$15:OFFSET(AD54,-1,0))+IF($C54&lt;&gt;1,1,MAX(1,COUNTIF(QCI!$A$13:$A$24,OFFSET($E54,-1,0)))),"")</f>
        <v/>
      </c>
      <c r="AE54" s="7" t="str">
        <f ca="1">IF(AND($C54="S",ORÇAMENTO.CodBarra&lt;&gt;""),IF(ORÇAMENTO.Fonte="",ORÇAMENTO.CodBarra,CONCATENATE(ORÇAMENTO.Fonte," ",ORÇAMENTO.CodBarra)))</f>
        <v>SINAPI 96622</v>
      </c>
      <c r="AF54" s="13"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04-2026.xlsm)</v>
      </c>
      <c r="AG54" s="453">
        <f ca="1">ROUND(IF(DESONERACAO="sim",REFERENCIA.Desonerado,REFERENCIA.NaoDesonerado),2)</f>
        <v>0</v>
      </c>
      <c r="AH54" s="454">
        <f ca="1">ROUND(IF(ISNUMBER(ORÇAMENTO.OpcaoBDI),ORÇAMENTO.OpcaoBDI,IF(LEFT(ORÇAMENTO.OpcaoBDI,3)="BDI",HLOOKUP(ORÇAMENTO.OpcaoBDI,$F$4:$H$5,2,FALSE),0)),15-11*$AF$9)</f>
        <v>0.26329999999999998</v>
      </c>
      <c r="AJ54" s="456"/>
      <c r="AL54" s="471"/>
      <c r="AM54" s="348">
        <f t="shared" ca="1" si="0"/>
        <v>0</v>
      </c>
      <c r="AN54" s="504">
        <f ca="1">ROUND(ORÇAMENTO.CustoUnitario*(1+$AH54),2)</f>
        <v>0</v>
      </c>
    </row>
    <row r="55" spans="1:40" ht="38.25" x14ac:dyDescent="0.2">
      <c r="A55" t="str">
        <f t="shared" si="1"/>
        <v>S</v>
      </c>
      <c r="B55">
        <f t="shared" ca="1" si="2"/>
        <v>2</v>
      </c>
      <c r="C55" t="str">
        <f t="shared" ca="1" si="3"/>
        <v>S</v>
      </c>
      <c r="D55">
        <f t="shared" ca="1" si="4"/>
        <v>0</v>
      </c>
      <c r="E55">
        <f ca="1">IF($C55=1,OFFSET(E55,-1,0)+MAX(1,COUNTIF(QCI!$A$13:$A$24,OFFSET(ORÇAMENTO!E55,-1,0))),OFFSET(E55,-1,0))</f>
        <v>2</v>
      </c>
      <c r="F55">
        <f t="shared" ca="1" si="5"/>
        <v>5</v>
      </c>
      <c r="G55">
        <f t="shared" ca="1" si="6"/>
        <v>0</v>
      </c>
      <c r="H55">
        <f t="shared" ca="1" si="7"/>
        <v>0</v>
      </c>
      <c r="I55">
        <f t="shared" ca="1" si="8"/>
        <v>0</v>
      </c>
      <c r="J55">
        <f t="shared" ca="1" si="18"/>
        <v>0</v>
      </c>
      <c r="K55">
        <f ca="1">IF(OR($C55="S",$C55=0),0,MATCH(OFFSET($D55,0,$C55)+IF($C55&lt;&gt;1,1,COUNTIF(QCI!$A$13:$A$24,ORÇAMENTO!E55)),OFFSET($D55,1,$C55,ROW($C$89)-ROW($C55)),0))</f>
        <v>0</v>
      </c>
      <c r="L55" s="116" t="str">
        <f t="shared" ca="1" si="10"/>
        <v/>
      </c>
      <c r="M55" s="117" t="s">
        <v>197</v>
      </c>
      <c r="N55" s="118" t="str">
        <f t="shared" ca="1" si="11"/>
        <v>Serviço</v>
      </c>
      <c r="O55" s="119" t="str">
        <f t="shared" ca="1" si="12"/>
        <v>-</v>
      </c>
      <c r="P55" s="120" t="s">
        <v>245</v>
      </c>
      <c r="Q55" s="121" t="s">
        <v>976</v>
      </c>
      <c r="R55" s="122" t="str">
        <f ca="1">IF($C55="S",REFERENCIA.Descricao,"(digite a descrição aqui)")</f>
        <v>(abra o arquivo 'Referência 04-2026.xlsm)</v>
      </c>
      <c r="S55" s="123" t="str">
        <f ca="1">REFERENCIA.Unidade</f>
        <v>-</v>
      </c>
      <c r="T55" s="124">
        <f ca="1">OFFSET(CÁLCULO!H$15,ROW($T55)-ROW(T$15),0)</f>
        <v>3.15</v>
      </c>
      <c r="U55" s="125">
        <f t="shared" ca="1" si="17"/>
        <v>0</v>
      </c>
      <c r="V55" s="126" t="s">
        <v>155</v>
      </c>
      <c r="W55" s="124">
        <f ca="1">IF($C55="S",ROUND(IF(TIPOORCAMENTO="Proposto",ORÇAMENTO.CustoUnitario*(1+$AH55),ORÇAMENTO.PrecoUnitarioLicitado),15-13*$AF$10),0)</f>
        <v>0</v>
      </c>
      <c r="X55" s="127">
        <f ca="1">IF($C55="S",IF(OR(Import.TipoArredondamento&lt;&gt;"TransfereGOV",ACOMPANHAMENTO="BM"),VTOTAL1,SUM(OFFSET(CÁLCULO!$AA$15,ROW($X55)-ROW($X$15),1):OFFSET(CÁLCULO!$AL$15,ROW($X55)-ROW($X$15),-1))),IF($C55=0,0,ROUND(SomaAgrup,15-13*$AF$11)))</f>
        <v>0</v>
      </c>
      <c r="Y55" s="128" t="s">
        <v>243</v>
      </c>
      <c r="Z55" t="str">
        <f t="shared" ca="1" si="13"/>
        <v/>
      </c>
      <c r="AA55" s="129">
        <f ca="1">IF($C55="S",IF($Z55="CP",$X55,IF($Z55="RA",(($X55)*QCI!$AA$3),0)),SomaAgrup)</f>
        <v>0</v>
      </c>
      <c r="AB55" s="130">
        <f t="shared" ca="1" si="14"/>
        <v>0</v>
      </c>
      <c r="AC55" s="619" t="str">
        <f ca="1">IF($N55=""," ",
IF(AND($C55="S",OR($Q55&lt;&gt;0,$T55&gt;0,$U55&gt;0),$P55=0),"FONTE",
IF(AND($C55="S",$P55&lt;&gt;0,OR($T55&gt;0,$U55&gt;0),$Q55=0),"CÓDIGO",
IF(AND(OR($R55="",$R55="(digite a descrição aqui)"),OR($C55&lt;&gt;"S",AND($C55="S",OR($Q55&lt;&gt;0,$T55&gt;0,$U55&gt;0)))),"DESCRIÇÃO",
IF(AND($C55="S",$P55&lt;&gt;0,$Q55&lt;&gt;0,$S55=""),"UNIDADE",
IF(AND($C55="S",$P55&lt;&gt;0,$Q55&lt;&gt;0,$U55=0),"SEM CUSTO",
IF(AND(TIPOORCAMENTO="Licitado",$AL55=0,$AN55&gt;0),"SEM PREÇO",
IF(AND($C55="S",$P55&lt;&gt;0,$Q55&lt;&gt;0,$U55&gt;0,$V55=0),"BDI",
IF(OR(AND(TIPOORCAMENTO="Proposto",$AG55&lt;&gt;"",$AG55&gt;0,ORÇAMENTO.CustoUnitario&gt;$AG55),AND(TIPOORCAMENTO="LICITADO",ORÇAMENTO.PrecoUnitarioLicitado&gt;$AN55)),"ACIMA REF.",
IF(AND($C55="S",$P55&lt;&gt;0,$Q55&lt;&gt;0,$T55=0,$U55&gt;0),"QUANT.",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SEM CUSTO</v>
      </c>
      <c r="AD55" t="str">
        <f ca="1">IF(C55&lt;=CRONO.NivelExibicao,MAX($AD$15:OFFSET(AD55,-1,0))+IF($C55&lt;&gt;1,1,MAX(1,COUNTIF(QCI!$A$13:$A$24,OFFSET($E55,-1,0)))),"")</f>
        <v/>
      </c>
      <c r="AE55" s="7" t="str">
        <f ca="1">IF(AND($C55="S",ORÇAMENTO.CodBarra&lt;&gt;""),IF(ORÇAMENTO.Fonte="",ORÇAMENTO.CodBarra,CONCATENATE(ORÇAMENTO.Fonte," ",ORÇAMENTO.CodBarra)))</f>
        <v>SINAPI 97086</v>
      </c>
      <c r="AF55" s="13"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04-2026.xlsm)</v>
      </c>
      <c r="AG55" s="453">
        <f ca="1">ROUND(IF(DESONERACAO="sim",REFERENCIA.Desonerado,REFERENCIA.NaoDesonerado),2)</f>
        <v>0</v>
      </c>
      <c r="AH55" s="454">
        <f t="shared" ca="1" si="15"/>
        <v>0.26329999999999998</v>
      </c>
      <c r="AJ55" s="456"/>
      <c r="AL55" s="471"/>
      <c r="AM55" s="348">
        <f t="shared" ca="1" si="0"/>
        <v>0</v>
      </c>
      <c r="AN55" s="504">
        <f t="shared" ca="1" si="16"/>
        <v>0</v>
      </c>
    </row>
    <row r="56" spans="1:40" ht="25.5" x14ac:dyDescent="0.2">
      <c r="A56" t="str">
        <f>CHOOSE(1+LOG(1+2*(ORÇAMENTO.Nivel="Meta")+4*(ORÇAMENTO.Nivel="Nível 2")+8*(ORÇAMENTO.Nivel="Nível 3")+16*(ORÇAMENTO.Nivel="Nível 4")+32*(ORÇAMENTO.Nivel="Serviço"),2),0,1,2,3,4,"S")</f>
        <v>S</v>
      </c>
      <c r="B56">
        <f ca="1">IF(OR(C56="s",C56=0),OFFSET(B56,-1,0),C56)</f>
        <v>2</v>
      </c>
      <c r="C56" t="str">
        <f ca="1">IF(OFFSET(C56,-1,0)="L",1,IF(OFFSET(C56,-1,0)=1,2,IF(OR(A56="s",A56=0),"S",IF(AND(OFFSET(C56,-1,0)=2,A56=4),3,IF(AND(OR(OFFSET(C56,-1,0)="s",OFFSET(C56,-1,0)=0),A56&lt;&gt;"s",A56&gt;OFFSET(B56,-1,0)),OFFSET(B56,-1,0),A56)))))</f>
        <v>S</v>
      </c>
      <c r="D56">
        <f ca="1">IF(OR(C56="S",C56=0),0,IF(ISERROR(K56),J56,SMALL(J56:K56,1)))</f>
        <v>0</v>
      </c>
      <c r="E56">
        <f ca="1">IF($C56=1,OFFSET(E56,-1,0)+MAX(1,COUNTIF(QCI!$A$13:$A$24,OFFSET(ORÇAMENTO!E56,-1,0))),OFFSET(E56,-1,0))</f>
        <v>2</v>
      </c>
      <c r="F56">
        <f ca="1">IF($C56=1,0,IF($C56=2,OFFSET(F56,-1,0)+1,OFFSET(F56,-1,0)))</f>
        <v>5</v>
      </c>
      <c r="G56">
        <f ca="1">IF(AND($C56&lt;=2,$C56&lt;&gt;0),0,IF($C56=3,OFFSET(G56,-1,0)+1,OFFSET(G56,-1,0)))</f>
        <v>0</v>
      </c>
      <c r="H56">
        <f ca="1">IF(AND($C56&lt;=3,$C56&lt;&gt;0),0,IF($C56=4,OFFSET(H56,-1,0)+1,OFFSET(H56,-1,0)))</f>
        <v>0</v>
      </c>
      <c r="I56">
        <f ca="1">IF(AND($C56&lt;=4,$C56&lt;&gt;0),0,IF(AND($C56="S",$X56&gt;0),OFFSET(I56,-1,0)+1,OFFSET(I56,-1,0)))</f>
        <v>0</v>
      </c>
      <c r="J56">
        <f t="shared" ca="1" si="18"/>
        <v>0</v>
      </c>
      <c r="K56">
        <f ca="1">IF(OR($C56="S",$C56=0),0,MATCH(OFFSET($D56,0,$C56)+IF($C56&lt;&gt;1,1,COUNTIF(QCI!$A$13:$A$24,ORÇAMENTO!E56)),OFFSET($D56,1,$C56,ROW($C$89)-ROW($C56)),0))</f>
        <v>0</v>
      </c>
      <c r="L56" s="116" t="str">
        <f ca="1">IF(OR($X56&gt;0,$C56=1,$C56=2,$C56=3,$C56=4),"F","")</f>
        <v/>
      </c>
      <c r="M56" s="117" t="s">
        <v>197</v>
      </c>
      <c r="N56" s="118" t="str">
        <f ca="1">CHOOSE(1+LOG(1+2*(C56=1)+4*(C56=2)+8*(C56=3)+16*(C56=4)+32*(C56="S"),2),"","Meta","Nível 2","Nível 3","Nível 4","Serviço")</f>
        <v>Serviço</v>
      </c>
      <c r="O56" s="119" t="str">
        <f ca="1">IF(OR($C56=0,$L56=""),"-",CONCATENATE(E56&amp;".",IF(AND($A$5&gt;=2,$C56&gt;=2),F56&amp;".",""),IF(AND($A$5&gt;=3,$C56&gt;=3),G56&amp;".",""),IF(AND($A$5&gt;=4,$C56&gt;=4),H56&amp;".",""),IF($C56="S",I56&amp;".","")))</f>
        <v>-</v>
      </c>
      <c r="P56" s="120" t="s">
        <v>245</v>
      </c>
      <c r="Q56" s="121" t="s">
        <v>1004</v>
      </c>
      <c r="R56" s="122" t="str">
        <f ca="1">IF($C56="S",REFERENCIA.Descricao,"(digite a descrição aqui)")</f>
        <v>(abra o arquivo 'Referência 04-2026.xlsm)</v>
      </c>
      <c r="S56" s="123" t="str">
        <f ca="1">REFERENCIA.Unidade</f>
        <v>-</v>
      </c>
      <c r="T56" s="124">
        <f ca="1">OFFSET(CÁLCULO!H$15,ROW($T56)-ROW(T$15),0)</f>
        <v>90</v>
      </c>
      <c r="U56" s="125">
        <f t="shared" ca="1" si="17"/>
        <v>0</v>
      </c>
      <c r="V56" s="126" t="s">
        <v>155</v>
      </c>
      <c r="W56" s="124">
        <f ca="1">IF($C56="S",ROUND(IF(TIPOORCAMENTO="Proposto",ORÇAMENTO.CustoUnitario*(1+$AH56),ORÇAMENTO.PrecoUnitarioLicitado),15-13*$AF$10),0)</f>
        <v>0</v>
      </c>
      <c r="X56" s="127">
        <f ca="1">IF($C56="S",IF(OR(Import.TipoArredondamento&lt;&gt;"TransfereGOV",ACOMPANHAMENTO="BM"),VTOTAL1,SUM(OFFSET(CÁLCULO!$AA$15,ROW($X56)-ROW($X$15),1):OFFSET(CÁLCULO!$AL$15,ROW($X56)-ROW($X$15),-1))),IF($C56=0,0,ROUND(SomaAgrup,15-13*$AF$11)))</f>
        <v>0</v>
      </c>
      <c r="Y56" s="128" t="s">
        <v>243</v>
      </c>
      <c r="Z56" t="str">
        <f ca="1">IF(AND($C56="S",$X56&gt;0),IF(ISBLANK($Y56),"RA",LEFT($Y56,2)),"")</f>
        <v/>
      </c>
      <c r="AA56" s="129">
        <f ca="1">IF($C56="S",IF($Z56="CP",$X56,IF($Z56="RA",(($X56)*QCI!$AA$3),0)),SomaAgrup)</f>
        <v>0</v>
      </c>
      <c r="AB56" s="130">
        <f ca="1">IF($C56="S",IF($Z56="OU",ROUND($X56,2),0),SomaAgrup)</f>
        <v>0</v>
      </c>
      <c r="AC56" s="619" t="str">
        <f ca="1">IF($N56=""," ",
IF(AND($C56="S",OR($Q56&lt;&gt;0,$T56&gt;0,$U56&gt;0),$P56=0),"FONTE",
IF(AND($C56="S",$P56&lt;&gt;0,OR($T56&gt;0,$U56&gt;0),$Q56=0),"CÓDIGO",
IF(AND(OR($R56="",$R56="(digite a descrição aqui)"),OR($C56&lt;&gt;"S",AND($C56="S",OR($Q56&lt;&gt;0,$T56&gt;0,$U56&gt;0)))),"DESCRIÇÃO",
IF(AND($C56="S",$P56&lt;&gt;0,$Q56&lt;&gt;0,$S56=""),"UNIDADE",
IF(AND($C56="S",$P56&lt;&gt;0,$Q56&lt;&gt;0,$U56=0),"SEM CUSTO",
IF(AND(TIPOORCAMENTO="Licitado",$AL56=0,$AN56&gt;0),"SEM PREÇO",
IF(AND($C56="S",$P56&lt;&gt;0,$Q56&lt;&gt;0,$U56&gt;0,$V56=0),"BDI",
IF(OR(AND(TIPOORCAMENTO="Proposto",$AG56&lt;&gt;"",$AG56&gt;0,ORÇAMENTO.CustoUnitario&gt;$AG56),AND(TIPOORCAMENTO="LICITADO",ORÇAMENTO.PrecoUnitarioLicitado&gt;$AN56)),"ACIMA REF.",
IF(AND($C56="S",$P56&lt;&gt;0,$Q56&lt;&gt;0,$T56=0,$U56&gt;0),"QUANT.",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SEM CUSTO</v>
      </c>
      <c r="AD56" t="str">
        <f ca="1">IF(C56&lt;=CRONO.NivelExibicao,MAX($AD$15:OFFSET(AD56,-1,0))+IF($C56&lt;&gt;1,1,MAX(1,COUNTIF(QCI!$A$13:$A$24,OFFSET($E56,-1,0)))),"")</f>
        <v/>
      </c>
      <c r="AE56" s="7" t="str">
        <f ca="1">IF(AND($C56="S",ORÇAMENTO.CodBarra&lt;&gt;""),IF(ORÇAMENTO.Fonte="",ORÇAMENTO.CodBarra,CONCATENATE(ORÇAMENTO.Fonte," ",ORÇAMENTO.CodBarra)))</f>
        <v>SINAPI 97097</v>
      </c>
      <c r="AF56" s="13"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04-2026.xlsm)</v>
      </c>
      <c r="AG56" s="453">
        <f ca="1">ROUND(IF(DESONERACAO="sim",REFERENCIA.Desonerado,REFERENCIA.NaoDesonerado),2)</f>
        <v>0</v>
      </c>
      <c r="AH56" s="454">
        <f ca="1">ROUND(IF(ISNUMBER(ORÇAMENTO.OpcaoBDI),ORÇAMENTO.OpcaoBDI,IF(LEFT(ORÇAMENTO.OpcaoBDI,3)="BDI",HLOOKUP(ORÇAMENTO.OpcaoBDI,$F$4:$H$5,2,FALSE),0)),15-11*$AF$9)</f>
        <v>0.26329999999999998</v>
      </c>
      <c r="AJ56" s="456"/>
      <c r="AL56" s="471"/>
      <c r="AM56" s="348">
        <f t="shared" ca="1" si="0"/>
        <v>0</v>
      </c>
      <c r="AN56" s="504">
        <f ca="1">ROUND(ORÇAMENTO.CustoUnitario*(1+$AH56),2)</f>
        <v>0</v>
      </c>
    </row>
    <row r="57" spans="1:40" ht="38.25" x14ac:dyDescent="0.2">
      <c r="A57" t="str">
        <f>CHOOSE(1+LOG(1+2*(ORÇAMENTO.Nivel="Meta")+4*(ORÇAMENTO.Nivel="Nível 2")+8*(ORÇAMENTO.Nivel="Nível 3")+16*(ORÇAMENTO.Nivel="Nível 4")+32*(ORÇAMENTO.Nivel="Serviço"),2),0,1,2,3,4,"S")</f>
        <v>S</v>
      </c>
      <c r="B57">
        <f t="shared" ref="B57" ca="1" si="19">IF(OR(C57="s",C57=0),OFFSET(B57,-1,0),C57)</f>
        <v>2</v>
      </c>
      <c r="C57" t="str">
        <f t="shared" ref="C57" ca="1" si="20">IF(OFFSET(C57,-1,0)="L",1,IF(OFFSET(C57,-1,0)=1,2,IF(OR(A57="s",A57=0),"S",IF(AND(OFFSET(C57,-1,0)=2,A57=4),3,IF(AND(OR(OFFSET(C57,-1,0)="s",OFFSET(C57,-1,0)=0),A57&lt;&gt;"s",A57&gt;OFFSET(B57,-1,0)),OFFSET(B57,-1,0),A57)))))</f>
        <v>S</v>
      </c>
      <c r="D57">
        <f t="shared" ref="D57" ca="1" si="21">IF(OR(C57="S",C57=0),0,IF(ISERROR(K57),J57,SMALL(J57:K57,1)))</f>
        <v>0</v>
      </c>
      <c r="E57">
        <f ca="1">IF($C57=1,OFFSET(E57,-1,0)+MAX(1,COUNTIF(QCI!$A$13:$A$24,OFFSET(ORÇAMENTO!E57,-1,0))),OFFSET(E57,-1,0))</f>
        <v>2</v>
      </c>
      <c r="F57">
        <f t="shared" ref="F57" ca="1" si="22">IF($C57=1,0,IF($C57=2,OFFSET(F57,-1,0)+1,OFFSET(F57,-1,0)))</f>
        <v>5</v>
      </c>
      <c r="G57">
        <f t="shared" ref="G57" ca="1" si="23">IF(AND($C57&lt;=2,$C57&lt;&gt;0),0,IF($C57=3,OFFSET(G57,-1,0)+1,OFFSET(G57,-1,0)))</f>
        <v>0</v>
      </c>
      <c r="H57">
        <f t="shared" ref="H57" ca="1" si="24">IF(AND($C57&lt;=3,$C57&lt;&gt;0),0,IF($C57=4,OFFSET(H57,-1,0)+1,OFFSET(H57,-1,0)))</f>
        <v>0</v>
      </c>
      <c r="I57">
        <f t="shared" ref="I57" ca="1" si="25">IF(AND($C57&lt;=4,$C57&lt;&gt;0),0,IF(AND($C57="S",$X57&gt;0),OFFSET(I57,-1,0)+1,OFFSET(I57,-1,0)))</f>
        <v>0</v>
      </c>
      <c r="J57">
        <f t="shared" ca="1" si="18"/>
        <v>0</v>
      </c>
      <c r="K57">
        <f ca="1">IF(OR($C57="S",$C57=0),0,MATCH(OFFSET($D57,0,$C57)+IF($C57&lt;&gt;1,1,COUNTIF(QCI!$A$13:$A$24,ORÇAMENTO!E57)),OFFSET($D57,1,$C57,ROW($C$89)-ROW($C57)),0))</f>
        <v>0</v>
      </c>
      <c r="L57" s="116" t="str">
        <f t="shared" ref="L57" ca="1" si="26">IF(OR($X57&gt;0,$C57=1,$C57=2,$C57=3,$C57=4),"F","")</f>
        <v/>
      </c>
      <c r="M57" s="117" t="s">
        <v>197</v>
      </c>
      <c r="N57" s="118" t="str">
        <f t="shared" ref="N57" ca="1" si="27">CHOOSE(1+LOG(1+2*(C57=1)+4*(C57=2)+8*(C57=3)+16*(C57=4)+32*(C57="S"),2),"","Meta","Nível 2","Nível 3","Nível 4","Serviço")</f>
        <v>Serviço</v>
      </c>
      <c r="O57" s="119" t="str">
        <f t="shared" ref="O57" ca="1" si="28">IF(OR($C57=0,$L57=""),"-",CONCATENATE(E57&amp;".",IF(AND($A$5&gt;=2,$C57&gt;=2),F57&amp;".",""),IF(AND($A$5&gt;=3,$C57&gt;=3),G57&amp;".",""),IF(AND($A$5&gt;=4,$C57&gt;=4),H57&amp;".",""),IF($C57="S",I57&amp;".","")))</f>
        <v>-</v>
      </c>
      <c r="P57" s="120" t="s">
        <v>955</v>
      </c>
      <c r="Q57" s="121" t="s">
        <v>1005</v>
      </c>
      <c r="R57" s="122" t="str">
        <f ca="1">IF($C57="S",REFERENCIA.Descricao,"(digite a descrição aqui)")</f>
        <v>(abra o arquivo 'Referência 04-2026.xlsm)</v>
      </c>
      <c r="S57" s="123" t="str">
        <f ca="1">REFERENCIA.Unidade</f>
        <v>-</v>
      </c>
      <c r="T57" s="124">
        <f ca="1">OFFSET(CÁLCULO!H$15,ROW($T57)-ROW(T$15),0)</f>
        <v>6.3</v>
      </c>
      <c r="U57" s="125">
        <f t="shared" ca="1" si="17"/>
        <v>0</v>
      </c>
      <c r="V57" s="126" t="s">
        <v>155</v>
      </c>
      <c r="W57" s="124">
        <f ca="1">IF($C57="S",ROUND(IF(TIPOORCAMENTO="Proposto",ORÇAMENTO.CustoUnitario*(1+$AH57),ORÇAMENTO.PrecoUnitarioLicitado),15-13*$AF$10),0)</f>
        <v>0</v>
      </c>
      <c r="X57" s="127">
        <f ca="1">IF($C57="S",IF(OR(Import.TipoArredondamento&lt;&gt;"TransfereGOV",ACOMPANHAMENTO="BM"),VTOTAL1,SUM(OFFSET(CÁLCULO!$AA$15,ROW($X57)-ROW($X$15),1):OFFSET(CÁLCULO!$AL$15,ROW($X57)-ROW($X$15),-1))),IF($C57=0,0,ROUND(SomaAgrup,15-13*$AF$11)))</f>
        <v>0</v>
      </c>
      <c r="Y57" s="128" t="s">
        <v>243</v>
      </c>
      <c r="Z57" t="str">
        <f t="shared" ref="Z57" ca="1" si="29">IF(AND($C57="S",$X57&gt;0),IF(ISBLANK($Y57),"RA",LEFT($Y57,2)),"")</f>
        <v/>
      </c>
      <c r="AA57" s="129">
        <f ca="1">IF($C57="S",IF($Z57="CP",$X57,IF($Z57="RA",(($X57)*QCI!$AA$3),0)),SomaAgrup)</f>
        <v>0</v>
      </c>
      <c r="AB57" s="130">
        <f ca="1">IF($C57="S",IF($Z57="OU",ROUND($X57,2),0),SomaAgrup)</f>
        <v>0</v>
      </c>
      <c r="AC57" s="619" t="str">
        <f ca="1">IF($N57=""," ",
IF(AND($C57="S",OR($Q57&lt;&gt;0,$T57&gt;0,$U57&gt;0),$P57=0),"FONTE",
IF(AND($C57="S",$P57&lt;&gt;0,OR($T57&gt;0,$U57&gt;0),$Q57=0),"CÓDIGO",
IF(AND(OR($R57="",$R57="(digite a descrição aqui)"),OR($C57&lt;&gt;"S",AND($C57="S",OR($Q57&lt;&gt;0,$T57&gt;0,$U57&gt;0)))),"DESCRIÇÃO",
IF(AND($C57="S",$P57&lt;&gt;0,$Q57&lt;&gt;0,$S57=""),"UNIDADE",
IF(AND($C57="S",$P57&lt;&gt;0,$Q57&lt;&gt;0,$U57=0),"SEM CUSTO",
IF(AND(TIPOORCAMENTO="Licitado",$AL57=0,$AN57&gt;0),"SEM PREÇO",
IF(AND($C57="S",$P57&lt;&gt;0,$Q57&lt;&gt;0,$U57&gt;0,$V57=0),"BDI",
IF(OR(AND(TIPOORCAMENTO="Proposto",$AG57&lt;&gt;"",$AG57&gt;0,ORÇAMENTO.CustoUnitario&gt;$AG57),AND(TIPOORCAMENTO="LICITADO",ORÇAMENTO.PrecoUnitarioLicitado&gt;$AN57)),"ACIMA REF.",
IF(AND($C57="S",$P57&lt;&gt;0,$Q57&lt;&gt;0,$T57=0,$U57&gt;0),"QUANT.",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SEM CUSTO</v>
      </c>
      <c r="AD57" t="str">
        <f ca="1">IF(C57&lt;=CRONO.NivelExibicao,MAX($AD$15:OFFSET(AD57,-1,0))+IF($C57&lt;&gt;1,1,MAX(1,COUNTIF(QCI!$A$13:$A$24,OFFSET($E57,-1,0)))),"")</f>
        <v/>
      </c>
      <c r="AE57" s="7" t="str">
        <f ca="1">IF(AND($C57="S",ORÇAMENTO.CodBarra&lt;&gt;""),IF(ORÇAMENTO.Fonte="",ORÇAMENTO.CodBarra,CONCATENATE(ORÇAMENTO.Fonte," ",ORÇAMENTO.CodBarra)))</f>
        <v>SINAPI-I 1524</v>
      </c>
      <c r="AF57" s="13"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04-2026.xlsm)</v>
      </c>
      <c r="AG57" s="453">
        <f ca="1">ROUND(IF(DESONERACAO="sim",REFERENCIA.Desonerado,REFERENCIA.NaoDesonerado),2)</f>
        <v>0</v>
      </c>
      <c r="AH57" s="454">
        <f ca="1">ROUND(IF(ISNUMBER(ORÇAMENTO.OpcaoBDI),ORÇAMENTO.OpcaoBDI,IF(LEFT(ORÇAMENTO.OpcaoBDI,3)="BDI",HLOOKUP(ORÇAMENTO.OpcaoBDI,$F$4:$H$5,2,FALSE),0)),15-11*$AF$9)</f>
        <v>0.26329999999999998</v>
      </c>
      <c r="AJ57" s="456"/>
      <c r="AL57" s="471"/>
      <c r="AM57" s="348">
        <f t="shared" ca="1" si="0"/>
        <v>0</v>
      </c>
      <c r="AN57" s="504">
        <f ca="1">ROUND(ORÇAMENTO.CustoUnitario*(1+$AH57),2)</f>
        <v>0</v>
      </c>
    </row>
    <row r="58" spans="1:40" ht="38.25" x14ac:dyDescent="0.2">
      <c r="A58" t="str">
        <f>CHOOSE(1+LOG(1+2*(ORÇAMENTO.Nivel="Meta")+4*(ORÇAMENTO.Nivel="Nível 2")+8*(ORÇAMENTO.Nivel="Nível 3")+16*(ORÇAMENTO.Nivel="Nível 4")+32*(ORÇAMENTO.Nivel="Serviço"),2),0,1,2,3,4,"S")</f>
        <v>S</v>
      </c>
      <c r="B58">
        <f ca="1">IF(OR(C58="s",C58=0),OFFSET(B58,-1,0),C58)</f>
        <v>2</v>
      </c>
      <c r="C58" t="str">
        <f ca="1">IF(OFFSET(C58,-1,0)="L",1,IF(OFFSET(C58,-1,0)=1,2,IF(OR(A58="s",A58=0),"S",IF(AND(OFFSET(C58,-1,0)=2,A58=4),3,IF(AND(OR(OFFSET(C58,-1,0)="s",OFFSET(C58,-1,0)=0),A58&lt;&gt;"s",A58&gt;OFFSET(B58,-1,0)),OFFSET(B58,-1,0),A58)))))</f>
        <v>S</v>
      </c>
      <c r="D58">
        <f ca="1">IF(OR(C58="S",C58=0),0,IF(ISERROR(K58),J58,SMALL(J58:K58,1)))</f>
        <v>0</v>
      </c>
      <c r="E58">
        <f ca="1">IF($C58=1,OFFSET(E58,-1,0)+MAX(1,COUNTIF(QCI!$A$13:$A$24,OFFSET(ORÇAMENTO!E58,-1,0))),OFFSET(E58,-1,0))</f>
        <v>2</v>
      </c>
      <c r="F58">
        <f ca="1">IF($C58=1,0,IF($C58=2,OFFSET(F58,-1,0)+1,OFFSET(F58,-1,0)))</f>
        <v>5</v>
      </c>
      <c r="G58">
        <f ca="1">IF(AND($C58&lt;=2,$C58&lt;&gt;0),0,IF($C58=3,OFFSET(G58,-1,0)+1,OFFSET(G58,-1,0)))</f>
        <v>0</v>
      </c>
      <c r="H58">
        <f ca="1">IF(AND($C58&lt;=3,$C58&lt;&gt;0),0,IF($C58=4,OFFSET(H58,-1,0)+1,OFFSET(H58,-1,0)))</f>
        <v>0</v>
      </c>
      <c r="I58">
        <f ca="1">IF(AND($C58&lt;=4,$C58&lt;&gt;0),0,IF(AND($C58="S",$X58&gt;0),OFFSET(I58,-1,0)+1,OFFSET(I58,-1,0)))</f>
        <v>0</v>
      </c>
      <c r="J58">
        <f t="shared" ca="1" si="18"/>
        <v>0</v>
      </c>
      <c r="K58">
        <f ca="1">IF(OR($C58="S",$C58=0),0,MATCH(OFFSET($D58,0,$C58)+IF($C58&lt;&gt;1,1,COUNTIF(QCI!$A$13:$A$24,ORÇAMENTO!E58)),OFFSET($D58,1,$C58,ROW($C$89)-ROW($C58)),0))</f>
        <v>0</v>
      </c>
      <c r="L58" s="116" t="str">
        <f ca="1">IF(OR($X58&gt;0,$C58=1,$C58=2,$C58=3,$C58=4),"F","")</f>
        <v/>
      </c>
      <c r="M58" s="117" t="s">
        <v>197</v>
      </c>
      <c r="N58" s="118" t="str">
        <f ca="1">CHOOSE(1+LOG(1+2*(C58=1)+4*(C58=2)+8*(C58=3)+16*(C58=4)+32*(C58="S"),2),"","Meta","Nível 2","Nível 3","Nível 4","Serviço")</f>
        <v>Serviço</v>
      </c>
      <c r="O58" s="119" t="str">
        <f ca="1">IF(OR($C58=0,$L58=""),"-",CONCATENATE(E58&amp;".",IF(AND($A$5&gt;=2,$C58&gt;=2),F58&amp;".",""),IF(AND($A$5&gt;=3,$C58&gt;=3),G58&amp;".",""),IF(AND($A$5&gt;=4,$C58&gt;=4),H58&amp;".",""),IF($C58="S",I58&amp;".","")))</f>
        <v>-</v>
      </c>
      <c r="P58" s="120" t="s">
        <v>939</v>
      </c>
      <c r="Q58" s="121" t="s">
        <v>1018</v>
      </c>
      <c r="R58" s="122" t="str">
        <f ca="1">IF($C58="S",REFERENCIA.Descricao,"(digite a descrição aqui)")</f>
        <v>(abra o arquivo 'Referência 04-2026.xlsm)</v>
      </c>
      <c r="S58" s="123" t="str">
        <f ca="1">REFERENCIA.Unidade</f>
        <v>-</v>
      </c>
      <c r="T58" s="124">
        <f ca="1">OFFSET(CÁLCULO!H$15,ROW($T58)-ROW(T$15),0)</f>
        <v>42</v>
      </c>
      <c r="U58" s="125">
        <f t="shared" ca="1" si="17"/>
        <v>0</v>
      </c>
      <c r="V58" s="126" t="s">
        <v>155</v>
      </c>
      <c r="W58" s="124">
        <f ca="1">IF($C58="S",ROUND(IF(TIPOORCAMENTO="Proposto",ORÇAMENTO.CustoUnitario*(1+$AH58),ORÇAMENTO.PrecoUnitarioLicitado),15-13*$AF$10),0)</f>
        <v>0</v>
      </c>
      <c r="X58" s="127">
        <f ca="1">IF($C58="S",IF(OR(Import.TipoArredondamento&lt;&gt;"TransfereGOV",ACOMPANHAMENTO="BM"),VTOTAL1,SUM(OFFSET(CÁLCULO!$AA$15,ROW($X58)-ROW($X$15),1):OFFSET(CÁLCULO!$AL$15,ROW($X58)-ROW($X$15),-1))),IF($C58=0,0,ROUND(SomaAgrup,15-13*$AF$11)))</f>
        <v>0</v>
      </c>
      <c r="Y58" s="128" t="s">
        <v>243</v>
      </c>
      <c r="Z58" t="str">
        <f ca="1">IF(AND($C58="S",$X58&gt;0),IF(ISBLANK($Y58),"RA",LEFT($Y58,2)),"")</f>
        <v/>
      </c>
      <c r="AA58" s="129">
        <f ca="1">IF($C58="S",IF($Z58="CP",$X58,IF($Z58="RA",(($X58)*QCI!$AA$3),0)),SomaAgrup)</f>
        <v>0</v>
      </c>
      <c r="AB58" s="130">
        <f ca="1">IF($C58="S",IF($Z58="OU",ROUND($X58,2),0),SomaAgrup)</f>
        <v>0</v>
      </c>
      <c r="AC58" s="619" t="str">
        <f ca="1">IF($N58=""," ",
IF(AND($C58="S",OR($Q58&lt;&gt;0,$T58&gt;0,$U58&gt;0),$P58=0),"FONTE",
IF(AND($C58="S",$P58&lt;&gt;0,OR($T58&gt;0,$U58&gt;0),$Q58=0),"CÓDIGO",
IF(AND(OR($R58="",$R58="(digite a descrição aqui)"),OR($C58&lt;&gt;"S",AND($C58="S",OR($Q58&lt;&gt;0,$T58&gt;0,$U58&gt;0)))),"DESCRIÇÃO",
IF(AND($C58="S",$P58&lt;&gt;0,$Q58&lt;&gt;0,$S58=""),"UNIDADE",
IF(AND($C58="S",$P58&lt;&gt;0,$Q58&lt;&gt;0,$U58=0),"SEM CUSTO",
IF(AND(TIPOORCAMENTO="Licitado",$AL58=0,$AN58&gt;0),"SEM PREÇO",
IF(AND($C58="S",$P58&lt;&gt;0,$Q58&lt;&gt;0,$U58&gt;0,$V58=0),"BDI",
IF(OR(AND(TIPOORCAMENTO="Proposto",$AG58&lt;&gt;"",$AG58&gt;0,ORÇAMENTO.CustoUnitario&gt;$AG58),AND(TIPOORCAMENTO="LICITADO",ORÇAMENTO.PrecoUnitarioLicitado&gt;$AN58)),"ACIMA REF.",
IF(AND($C58="S",$P58&lt;&gt;0,$Q58&lt;&gt;0,$T58=0,$U58&gt;0),"QUANT.",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SEM CUSTO</v>
      </c>
      <c r="AD58" t="str">
        <f ca="1">IF(C58&lt;=CRONO.NivelExibicao,MAX($AD$15:OFFSET(AD58,-1,0))+IF($C58&lt;&gt;1,1,MAX(1,COUNTIF(QCI!$A$13:$A$24,OFFSET($E58,-1,0)))),"")</f>
        <v/>
      </c>
      <c r="AE58" s="7" t="str">
        <f ca="1">IF(AND($C58="S",ORÇAMENTO.CodBarra&lt;&gt;""),IF(ORÇAMENTO.Fonte="",ORÇAMENTO.CodBarra,CONCATENATE(ORÇAMENTO.Fonte," ",ORÇAMENTO.CodBarra)))</f>
        <v>Composição COMP-09</v>
      </c>
      <c r="AF58" s="13"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04-2026.xlsm)</v>
      </c>
      <c r="AG58" s="453">
        <f ca="1">ROUND(IF(DESONERACAO="sim",REFERENCIA.Desonerado,REFERENCIA.NaoDesonerado),2)</f>
        <v>0</v>
      </c>
      <c r="AH58" s="454">
        <f ca="1">ROUND(IF(ISNUMBER(ORÇAMENTO.OpcaoBDI),ORÇAMENTO.OpcaoBDI,IF(LEFT(ORÇAMENTO.OpcaoBDI,3)="BDI",HLOOKUP(ORÇAMENTO.OpcaoBDI,$F$4:$H$5,2,FALSE),0)),15-11*$AF$9)</f>
        <v>0.26329999999999998</v>
      </c>
      <c r="AJ58" s="456"/>
      <c r="AL58" s="471"/>
      <c r="AM58" s="348">
        <f t="shared" ca="1" si="0"/>
        <v>0</v>
      </c>
      <c r="AN58" s="504">
        <f ca="1">ROUND(ORÇAMENTO.CustoUnitario*(1+$AH58),2)</f>
        <v>0</v>
      </c>
    </row>
    <row r="59" spans="1:40" x14ac:dyDescent="0.2">
      <c r="A59">
        <f t="shared" ref="A59:A85" si="30">CHOOSE(1+LOG(1+2*(ORÇAMENTO.Nivel="Meta")+4*(ORÇAMENTO.Nivel="Nível 2")+8*(ORÇAMENTO.Nivel="Nível 3")+16*(ORÇAMENTO.Nivel="Nível 4")+32*(ORÇAMENTO.Nivel="Serviço"),2),0,1,2,3,4,"S")</f>
        <v>2</v>
      </c>
      <c r="B59">
        <f t="shared" ref="B59:B85" ca="1" si="31">IF(OR(C59="s",C59=0),OFFSET(B59,-1,0),C59)</f>
        <v>2</v>
      </c>
      <c r="C59">
        <f t="shared" ref="C59:C85" ca="1" si="32">IF(OFFSET(C59,-1,0)="L",1,IF(OFFSET(C59,-1,0)=1,2,IF(OR(A59="s",A59=0),"S",IF(AND(OFFSET(C59,-1,0)=2,A59=4),3,IF(AND(OR(OFFSET(C59,-1,0)="s",OFFSET(C59,-1,0)=0),A59&lt;&gt;"s",A59&gt;OFFSET(B59,-1,0)),OFFSET(B59,-1,0),A59)))))</f>
        <v>2</v>
      </c>
      <c r="D59">
        <f t="shared" ref="D59:D85" ca="1" si="33">IF(OR(C59="S",C59=0),0,IF(ISERROR(K59),J59,SMALL(J59:K59,1)))</f>
        <v>9</v>
      </c>
      <c r="E59">
        <f ca="1">IF($C59=1,OFFSET(E59,-1,0)+MAX(1,COUNTIF(QCI!$A$13:$A$24,OFFSET(ORÇAMENTO!E59,-1,0))),OFFSET(E59,-1,0))</f>
        <v>2</v>
      </c>
      <c r="F59">
        <f t="shared" ref="F59:F85" ca="1" si="34">IF($C59=1,0,IF($C59=2,OFFSET(F59,-1,0)+1,OFFSET(F59,-1,0)))</f>
        <v>6</v>
      </c>
      <c r="G59">
        <f t="shared" ref="G59:G85" ca="1" si="35">IF(AND($C59&lt;=2,$C59&lt;&gt;0),0,IF($C59=3,OFFSET(G59,-1,0)+1,OFFSET(G59,-1,0)))</f>
        <v>0</v>
      </c>
      <c r="H59">
        <f t="shared" ref="H59:H85" ca="1" si="36">IF(AND($C59&lt;=3,$C59&lt;&gt;0),0,IF($C59=4,OFFSET(H59,-1,0)+1,OFFSET(H59,-1,0)))</f>
        <v>0</v>
      </c>
      <c r="I59">
        <f t="shared" ref="I59:I85" ca="1" si="37">IF(AND($C59&lt;=4,$C59&lt;&gt;0),0,IF(AND($C59="S",$X59&gt;0),OFFSET(I59,-1,0)+1,OFFSET(I59,-1,0)))</f>
        <v>0</v>
      </c>
      <c r="J59">
        <f t="shared" ca="1" si="18"/>
        <v>30</v>
      </c>
      <c r="K59">
        <f ca="1">IF(OR($C59="S",$C59=0),0,MATCH(OFFSET($D59,0,$C59)+IF($C59&lt;&gt;1,1,COUNTIF(QCI!$A$13:$A$24,ORÇAMENTO!E59)),OFFSET($D59,1,$C59,ROW($C$89)-ROW($C59)),0))</f>
        <v>9</v>
      </c>
      <c r="L59" s="116" t="str">
        <f t="shared" ref="L59:L85" ca="1" si="38">IF(OR($X59&gt;0,$C59=1,$C59=2,$C59=3,$C59=4),"F","")</f>
        <v>F</v>
      </c>
      <c r="M59" s="117" t="s">
        <v>194</v>
      </c>
      <c r="N59" s="118" t="str">
        <f t="shared" ref="N59:N85" ca="1" si="39">CHOOSE(1+LOG(1+2*(C59=1)+4*(C59=2)+8*(C59=3)+16*(C59=4)+32*(C59="S"),2),"","Meta","Nível 2","Nível 3","Nível 4","Serviço")</f>
        <v>Nível 2</v>
      </c>
      <c r="O59" s="119" t="str">
        <f t="shared" ref="O59:O85" ca="1" si="40">IF(OR($C59=0,$L59=""),"-",CONCATENATE(E59&amp;".",IF(AND($A$5&gt;=2,$C59&gt;=2),F59&amp;".",""),IF(AND($A$5&gt;=3,$C59&gt;=3),G59&amp;".",""),IF(AND($A$5&gt;=4,$C59&gt;=4),H59&amp;".",""),IF($C59="S",I59&amp;".","")))</f>
        <v>2.6.</v>
      </c>
      <c r="P59" s="120" t="s">
        <v>245</v>
      </c>
      <c r="Q59" s="121" t="s">
        <v>956</v>
      </c>
      <c r="R59" s="122" t="s">
        <v>980</v>
      </c>
      <c r="S59" s="123" t="str">
        <f ca="1">REFERENCIA.Unidade</f>
        <v>-</v>
      </c>
      <c r="T59" s="124">
        <f ca="1">OFFSET(CÁLCULO!H$15,ROW($T59)-ROW(T$15),0)</f>
        <v>0</v>
      </c>
      <c r="U59" s="125">
        <f t="shared" ca="1" si="17"/>
        <v>0</v>
      </c>
      <c r="V59" s="126" t="s">
        <v>155</v>
      </c>
      <c r="W59" s="124">
        <f ca="1">IF($C59="S",ROUND(IF(TIPOORCAMENTO="Proposto",ORÇAMENTO.CustoUnitario*(1+$AH59),ORÇAMENTO.PrecoUnitarioLicitado),15-13*$AF$10),0)</f>
        <v>0</v>
      </c>
      <c r="X59" s="127">
        <f ca="1">IF($C59="S",IF(OR(Import.TipoArredondamento&lt;&gt;"TransfereGOV",ACOMPANHAMENTO="BM"),VTOTAL1,SUM(OFFSET(CÁLCULO!$AA$15,ROW($X59)-ROW($X$15),1):OFFSET(CÁLCULO!$AL$15,ROW($X59)-ROW($X$15),-1))),IF($C59=0,0,ROUND(SomaAgrup,15-13*$AF$11)))</f>
        <v>0</v>
      </c>
      <c r="Y59" s="128" t="s">
        <v>243</v>
      </c>
      <c r="Z59" t="str">
        <f t="shared" ref="Z59:Z85" ca="1" si="41">IF(AND($C59="S",$X59&gt;0),IF(ISBLANK($Y59),"RA",LEFT($Y59,2)),"")</f>
        <v/>
      </c>
      <c r="AA59" s="129">
        <f ca="1">IF($C59="S",IF($Z59="CP",$X59,IF($Z59="RA",(($X59)*QCI!$AA$3),0)),SomaAgrup)</f>
        <v>0</v>
      </c>
      <c r="AB59" s="130">
        <f t="shared" ref="AB59:AB85" ca="1" si="42">IF($C59="S",IF($Z59="OU",ROUND($X59,2),0),SomaAgrup)</f>
        <v>0</v>
      </c>
      <c r="AC59" s="619" t="str">
        <f ca="1">IF($N59=""," ",
IF(AND($C59="S",OR($Q59&lt;&gt;0,$T59&gt;0,$U59&gt;0),$P59=0),"FONTE",
IF(AND($C59="S",$P59&lt;&gt;0,OR($T59&gt;0,$U59&gt;0),$Q59=0),"CÓDIGO",
IF(AND(OR($R59="",$R59="(digite a descrição aqui)"),OR($C59&lt;&gt;"S",AND($C59="S",OR($Q59&lt;&gt;0,$T59&gt;0,$U59&gt;0)))),"DESCRIÇÃO",
IF(AND($C59="S",$P59&lt;&gt;0,$Q59&lt;&gt;0,$S59=""),"UNIDADE",
IF(AND($C59="S",$P59&lt;&gt;0,$Q59&lt;&gt;0,$U59=0),"SEM CUSTO",
IF(AND(TIPOORCAMENTO="Licitado",$AL59=0,$AN59&gt;0),"SEM PREÇO",
IF(AND($C59="S",$P59&lt;&gt;0,$Q59&lt;&gt;0,$U59&gt;0,$V59=0),"BDI",
IF(OR(AND(TIPOORCAMENTO="Proposto",$AG59&lt;&gt;"",$AG59&gt;0,ORÇAMENTO.CustoUnitario&gt;$AG59),AND(TIPOORCAMENTO="LICITADO",ORÇAMENTO.PrecoUnitarioLicitado&gt;$AN59)),"ACIMA REF.",
IF(AND($C59="S",$P59&lt;&gt;0,$Q59&lt;&gt;0,$T59=0,$U59&gt;0),"QUANT.",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IF(C59&lt;=CRONO.NivelExibicao,MAX($AD$15:OFFSET(AD59,-1,0))+IF($C59&lt;&gt;1,1,MAX(1,COUNTIF(QCI!$A$13:$A$24,OFFSET($E59,-1,0)))),"")</f>
        <v>10</v>
      </c>
      <c r="AE59" s="7" t="b">
        <f ca="1">IF(AND($C59="S",ORÇAMENTO.CodBarra&lt;&gt;""),IF(ORÇAMENTO.Fonte="",ORÇAMENTO.CodBarra,CONCATENATE(ORÇAMENTO.Fonte," ",ORÇAMENTO.CodBarra)))</f>
        <v>0</v>
      </c>
      <c r="AF59" s="13"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04-2026.xlsm)</v>
      </c>
      <c r="AG59" s="453">
        <f ca="1">ROUND(IF(DESONERACAO="sim",REFERENCIA.Desonerado,REFERENCIA.NaoDesonerado),2)</f>
        <v>0</v>
      </c>
      <c r="AH59" s="454">
        <f t="shared" ref="AH59:AH85" ca="1" si="43">ROUND(IF(ISNUMBER(ORÇAMENTO.OpcaoBDI),ORÇAMENTO.OpcaoBDI,IF(LEFT(ORÇAMENTO.OpcaoBDI,3)="BDI",HLOOKUP(ORÇAMENTO.OpcaoBDI,$F$4:$H$5,2,FALSE),0)),15-11*$AF$9)</f>
        <v>0.26329999999999998</v>
      </c>
      <c r="AJ59" s="456"/>
      <c r="AL59" s="471"/>
      <c r="AM59" s="348">
        <f t="shared" ref="AM59:AM88" ca="1" si="44">$X59</f>
        <v>0</v>
      </c>
      <c r="AN59" s="504">
        <f t="shared" ref="AN59:AN85" ca="1" si="45">ROUND(ORÇAMENTO.CustoUnitario*(1+$AH59),2)</f>
        <v>0</v>
      </c>
    </row>
    <row r="60" spans="1:40" ht="38.25" x14ac:dyDescent="0.2">
      <c r="A60" t="str">
        <f t="shared" si="30"/>
        <v>S</v>
      </c>
      <c r="B60">
        <f t="shared" ca="1" si="31"/>
        <v>2</v>
      </c>
      <c r="C60" t="str">
        <f t="shared" ca="1" si="32"/>
        <v>S</v>
      </c>
      <c r="D60">
        <f t="shared" ca="1" si="33"/>
        <v>0</v>
      </c>
      <c r="E60">
        <f ca="1">IF($C60=1,OFFSET(E60,-1,0)+MAX(1,COUNTIF(QCI!$A$13:$A$24,OFFSET(ORÇAMENTO!E60,-1,0))),OFFSET(E60,-1,0))</f>
        <v>2</v>
      </c>
      <c r="F60">
        <f t="shared" ca="1" si="34"/>
        <v>6</v>
      </c>
      <c r="G60">
        <f t="shared" ca="1" si="35"/>
        <v>0</v>
      </c>
      <c r="H60">
        <f t="shared" ca="1" si="36"/>
        <v>0</v>
      </c>
      <c r="I60">
        <f t="shared" ca="1" si="37"/>
        <v>0</v>
      </c>
      <c r="J60">
        <f t="shared" ca="1" si="18"/>
        <v>0</v>
      </c>
      <c r="K60">
        <f ca="1">IF(OR($C60="S",$C60=0),0,MATCH(OFFSET($D60,0,$C60)+IF($C60&lt;&gt;1,1,COUNTIF(QCI!$A$13:$A$24,ORÇAMENTO!E60)),OFFSET($D60,1,$C60,ROW($C$89)-ROW($C60)),0))</f>
        <v>0</v>
      </c>
      <c r="L60" s="116" t="str">
        <f t="shared" ca="1" si="38"/>
        <v/>
      </c>
      <c r="M60" s="117" t="s">
        <v>197</v>
      </c>
      <c r="N60" s="118" t="str">
        <f t="shared" ca="1" si="39"/>
        <v>Serviço</v>
      </c>
      <c r="O60" s="119" t="str">
        <f t="shared" ca="1" si="40"/>
        <v>-</v>
      </c>
      <c r="P60" s="120" t="s">
        <v>245</v>
      </c>
      <c r="Q60" s="121" t="s">
        <v>981</v>
      </c>
      <c r="R60" s="122" t="str">
        <f ca="1">IF($C60="S",REFERENCIA.Descricao,"(digite a descrição aqui)")</f>
        <v>(abra o arquivo 'Referência 04-2026.xlsm)</v>
      </c>
      <c r="S60" s="123" t="str">
        <f ca="1">REFERENCIA.Unidade</f>
        <v>-</v>
      </c>
      <c r="T60" s="124">
        <f ca="1">OFFSET(CÁLCULO!H$15,ROW($T60)-ROW(T$15),0)</f>
        <v>267.83</v>
      </c>
      <c r="U60" s="125">
        <f t="shared" ca="1" si="17"/>
        <v>0</v>
      </c>
      <c r="V60" s="126" t="s">
        <v>155</v>
      </c>
      <c r="W60" s="124">
        <f ca="1">IF($C60="S",ROUND(IF(TIPOORCAMENTO="Proposto",ORÇAMENTO.CustoUnitario*(1+$AH60),ORÇAMENTO.PrecoUnitarioLicitado),15-13*$AF$10),0)</f>
        <v>0</v>
      </c>
      <c r="X60" s="127">
        <f ca="1">IF($C60="S",IF(OR(Import.TipoArredondamento&lt;&gt;"TransfereGOV",ACOMPANHAMENTO="BM"),VTOTAL1,SUM(OFFSET(CÁLCULO!$AA$15,ROW($X60)-ROW($X$15),1):OFFSET(CÁLCULO!$AL$15,ROW($X60)-ROW($X$15),-1))),IF($C60=0,0,ROUND(SomaAgrup,15-13*$AF$11)))</f>
        <v>0</v>
      </c>
      <c r="Y60" s="128" t="s">
        <v>243</v>
      </c>
      <c r="Z60" t="str">
        <f t="shared" ca="1" si="41"/>
        <v/>
      </c>
      <c r="AA60" s="129">
        <f ca="1">IF($C60="S",IF($Z60="CP",$X60,IF($Z60="RA",(($X60)*QCI!$AA$3),0)),SomaAgrup)</f>
        <v>0</v>
      </c>
      <c r="AB60" s="130">
        <f t="shared" ca="1" si="42"/>
        <v>0</v>
      </c>
      <c r="AC60" s="619" t="str">
        <f ca="1">IF($N60=""," ",
IF(AND($C60="S",OR($Q60&lt;&gt;0,$T60&gt;0,$U60&gt;0),$P60=0),"FONTE",
IF(AND($C60="S",$P60&lt;&gt;0,OR($T60&gt;0,$U60&gt;0),$Q60=0),"CÓDIGO",
IF(AND(OR($R60="",$R60="(digite a descrição aqui)"),OR($C60&lt;&gt;"S",AND($C60="S",OR($Q60&lt;&gt;0,$T60&gt;0,$U60&gt;0)))),"DESCRIÇÃO",
IF(AND($C60="S",$P60&lt;&gt;0,$Q60&lt;&gt;0,$S60=""),"UNIDADE",
IF(AND($C60="S",$P60&lt;&gt;0,$Q60&lt;&gt;0,$U60=0),"SEM CUSTO",
IF(AND(TIPOORCAMENTO="Licitado",$AL60=0,$AN60&gt;0),"SEM PREÇO",
IF(AND($C60="S",$P60&lt;&gt;0,$Q60&lt;&gt;0,$U60&gt;0,$V60=0),"BDI",
IF(OR(AND(TIPOORCAMENTO="Proposto",$AG60&lt;&gt;"",$AG60&gt;0,ORÇAMENTO.CustoUnitario&gt;$AG60),AND(TIPOORCAMENTO="LICITADO",ORÇAMENTO.PrecoUnitarioLicitado&gt;$AN60)),"ACIMA REF.",
IF(AND($C60="S",$P60&lt;&gt;0,$Q60&lt;&gt;0,$T60=0,$U60&gt;0),"QUANT.",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SEM CUSTO</v>
      </c>
      <c r="AD60" t="str">
        <f ca="1">IF(C60&lt;=CRONO.NivelExibicao,MAX($AD$15:OFFSET(AD60,-1,0))+IF($C60&lt;&gt;1,1,MAX(1,COUNTIF(QCI!$A$13:$A$24,OFFSET($E60,-1,0)))),"")</f>
        <v/>
      </c>
      <c r="AE60" s="7" t="str">
        <f ca="1">IF(AND($C60="S",ORÇAMENTO.CodBarra&lt;&gt;""),IF(ORÇAMENTO.Fonte="",ORÇAMENTO.CodBarra,CONCATENATE(ORÇAMENTO.Fonte," ",ORÇAMENTO.CodBarra)))</f>
        <v>SINAPI 100378</v>
      </c>
      <c r="AF60" s="13"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04-2026.xlsm)</v>
      </c>
      <c r="AG60" s="453">
        <f ca="1">ROUND(IF(DESONERACAO="sim",REFERENCIA.Desonerado,REFERENCIA.NaoDesonerado),2)</f>
        <v>0</v>
      </c>
      <c r="AH60" s="454">
        <f t="shared" ca="1" si="43"/>
        <v>0.26329999999999998</v>
      </c>
      <c r="AJ60" s="456"/>
      <c r="AL60" s="471"/>
      <c r="AM60" s="348">
        <f t="shared" ca="1" si="44"/>
        <v>0</v>
      </c>
      <c r="AN60" s="504">
        <f t="shared" ca="1" si="45"/>
        <v>0</v>
      </c>
    </row>
    <row r="61" spans="1:40" ht="51" x14ac:dyDescent="0.2">
      <c r="A61" t="str">
        <f>CHOOSE(1+LOG(1+2*(ORÇAMENTO.Nivel="Meta")+4*(ORÇAMENTO.Nivel="Nível 2")+8*(ORÇAMENTO.Nivel="Nível 3")+16*(ORÇAMENTO.Nivel="Nível 4")+32*(ORÇAMENTO.Nivel="Serviço"),2),0,1,2,3,4,"S")</f>
        <v>S</v>
      </c>
      <c r="B61">
        <f ca="1">IF(OR(C61="s",C61=0),OFFSET(B61,-1,0),C61)</f>
        <v>2</v>
      </c>
      <c r="C61" t="str">
        <f ca="1">IF(OFFSET(C61,-1,0)="L",1,IF(OFFSET(C61,-1,0)=1,2,IF(OR(A61="s",A61=0),"S",IF(AND(OFFSET(C61,-1,0)=2,A61=4),3,IF(AND(OR(OFFSET(C61,-1,0)="s",OFFSET(C61,-1,0)=0),A61&lt;&gt;"s",A61&gt;OFFSET(B61,-1,0)),OFFSET(B61,-1,0),A61)))))</f>
        <v>S</v>
      </c>
      <c r="D61">
        <f ca="1">IF(OR(C61="S",C61=0),0,IF(ISERROR(K61),J61,SMALL(J61:K61,1)))</f>
        <v>0</v>
      </c>
      <c r="E61">
        <f ca="1">IF($C61=1,OFFSET(E61,-1,0)+MAX(1,COUNTIF(QCI!$A$13:$A$24,OFFSET(ORÇAMENTO!E61,-1,0))),OFFSET(E61,-1,0))</f>
        <v>2</v>
      </c>
      <c r="F61">
        <f ca="1">IF($C61=1,0,IF($C61=2,OFFSET(F61,-1,0)+1,OFFSET(F61,-1,0)))</f>
        <v>6</v>
      </c>
      <c r="G61">
        <f ca="1">IF(AND($C61&lt;=2,$C61&lt;&gt;0),0,IF($C61=3,OFFSET(G61,-1,0)+1,OFFSET(G61,-1,0)))</f>
        <v>0</v>
      </c>
      <c r="H61">
        <f ca="1">IF(AND($C61&lt;=3,$C61&lt;&gt;0),0,IF($C61=4,OFFSET(H61,-1,0)+1,OFFSET(H61,-1,0)))</f>
        <v>0</v>
      </c>
      <c r="I61">
        <f ca="1">IF(AND($C61&lt;=4,$C61&lt;&gt;0),0,IF(AND($C61="S",$X61&gt;0),OFFSET(I61,-1,0)+1,OFFSET(I61,-1,0)))</f>
        <v>0</v>
      </c>
      <c r="J61">
        <f t="shared" ca="1" si="18"/>
        <v>0</v>
      </c>
      <c r="K61">
        <f ca="1">IF(OR($C61="S",$C61=0),0,MATCH(OFFSET($D61,0,$C61)+IF($C61&lt;&gt;1,1,COUNTIF(QCI!$A$13:$A$24,ORÇAMENTO!E61)),OFFSET($D61,1,$C61,ROW($C$89)-ROW($C61)),0))</f>
        <v>0</v>
      </c>
      <c r="L61" s="116" t="str">
        <f ca="1">IF(OR($X61&gt;0,$C61=1,$C61=2,$C61=3,$C61=4),"F","")</f>
        <v/>
      </c>
      <c r="M61" s="117" t="s">
        <v>197</v>
      </c>
      <c r="N61" s="118" t="str">
        <f ca="1">CHOOSE(1+LOG(1+2*(C61=1)+4*(C61=2)+8*(C61=3)+16*(C61=4)+32*(C61="S"),2),"","Meta","Nível 2","Nível 3","Nível 4","Serviço")</f>
        <v>Serviço</v>
      </c>
      <c r="O61" s="119" t="str">
        <f ca="1">IF(OR($C61=0,$L61=""),"-",CONCATENATE(E61&amp;".",IF(AND($A$5&gt;=2,$C61&gt;=2),F61&amp;".",""),IF(AND($A$5&gt;=3,$C61&gt;=3),G61&amp;".",""),IF(AND($A$5&gt;=4,$C61&gt;=4),H61&amp;".",""),IF($C61="S",I61&amp;".","")))</f>
        <v>-</v>
      </c>
      <c r="P61" s="120" t="s">
        <v>245</v>
      </c>
      <c r="Q61" s="121" t="s">
        <v>982</v>
      </c>
      <c r="R61" s="122" t="str">
        <f ca="1">IF($C61="S",REFERENCIA.Descricao,"(digite a descrição aqui)")</f>
        <v>(abra o arquivo 'Referência 04-2026.xlsm)</v>
      </c>
      <c r="S61" s="123" t="str">
        <f ca="1">REFERENCIA.Unidade</f>
        <v>-</v>
      </c>
      <c r="T61" s="124">
        <f ca="1">OFFSET(CÁLCULO!H$15,ROW($T61)-ROW(T$15),0)</f>
        <v>154.26</v>
      </c>
      <c r="U61" s="125">
        <f t="shared" ca="1" si="17"/>
        <v>0</v>
      </c>
      <c r="V61" s="126" t="s">
        <v>155</v>
      </c>
      <c r="W61" s="124">
        <f ca="1">IF($C61="S",ROUND(IF(TIPOORCAMENTO="Proposto",ORÇAMENTO.CustoUnitario*(1+$AH61),ORÇAMENTO.PrecoUnitarioLicitado),15-13*$AF$10),0)</f>
        <v>0</v>
      </c>
      <c r="X61" s="127">
        <f ca="1">IF($C61="S",IF(OR(Import.TipoArredondamento&lt;&gt;"TransfereGOV",ACOMPANHAMENTO="BM"),VTOTAL1,SUM(OFFSET(CÁLCULO!$AA$15,ROW($X61)-ROW($X$15),1):OFFSET(CÁLCULO!$AL$15,ROW($X61)-ROW($X$15),-1))),IF($C61=0,0,ROUND(SomaAgrup,15-13*$AF$11)))</f>
        <v>0</v>
      </c>
      <c r="Y61" s="128" t="s">
        <v>243</v>
      </c>
      <c r="Z61" t="str">
        <f ca="1">IF(AND($C61="S",$X61&gt;0),IF(ISBLANK($Y61),"RA",LEFT($Y61,2)),"")</f>
        <v/>
      </c>
      <c r="AA61" s="129">
        <f ca="1">IF($C61="S",IF($Z61="CP",$X61,IF($Z61="RA",(($X61)*QCI!$AA$3),0)),SomaAgrup)</f>
        <v>0</v>
      </c>
      <c r="AB61" s="130">
        <f ca="1">IF($C61="S",IF($Z61="OU",ROUND($X61,2),0),SomaAgrup)</f>
        <v>0</v>
      </c>
      <c r="AC61" s="619" t="str">
        <f ca="1">IF($N61=""," ",
IF(AND($C61="S",OR($Q61&lt;&gt;0,$T61&gt;0,$U61&gt;0),$P61=0),"FONTE",
IF(AND($C61="S",$P61&lt;&gt;0,OR($T61&gt;0,$U61&gt;0),$Q61=0),"CÓDIGO",
IF(AND(OR($R61="",$R61="(digite a descrição aqui)"),OR($C61&lt;&gt;"S",AND($C61="S",OR($Q61&lt;&gt;0,$T61&gt;0,$U61&gt;0)))),"DESCRIÇÃO",
IF(AND($C61="S",$P61&lt;&gt;0,$Q61&lt;&gt;0,$S61=""),"UNIDADE",
IF(AND($C61="S",$P61&lt;&gt;0,$Q61&lt;&gt;0,$U61=0),"SEM CUSTO",
IF(AND(TIPOORCAMENTO="Licitado",$AL61=0,$AN61&gt;0),"SEM PREÇO",
IF(AND($C61="S",$P61&lt;&gt;0,$Q61&lt;&gt;0,$U61&gt;0,$V61=0),"BDI",
IF(OR(AND(TIPOORCAMENTO="Proposto",$AG61&lt;&gt;"",$AG61&gt;0,ORÇAMENTO.CustoUnitario&gt;$AG61),AND(TIPOORCAMENTO="LICITADO",ORÇAMENTO.PrecoUnitarioLicitado&gt;$AN61)),"ACIMA REF.",
IF(AND($C61="S",$P61&lt;&gt;0,$Q61&lt;&gt;0,$T61=0,$U61&gt;0),"QUANT.",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SEM CUSTO</v>
      </c>
      <c r="AD61" t="str">
        <f ca="1">IF(C61&lt;=CRONO.NivelExibicao,MAX($AD$15:OFFSET(AD61,-1,0))+IF($C61&lt;&gt;1,1,MAX(1,COUNTIF(QCI!$A$13:$A$24,OFFSET($E61,-1,0)))),"")</f>
        <v/>
      </c>
      <c r="AE61" s="7" t="str">
        <f ca="1">IF(AND($C61="S",ORÇAMENTO.CodBarra&lt;&gt;""),IF(ORÇAMENTO.Fonte="",ORÇAMENTO.CodBarra,CONCATENATE(ORÇAMENTO.Fonte," ",ORÇAMENTO.CodBarra)))</f>
        <v>SINAPI 92580</v>
      </c>
      <c r="AF61" s="13"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04-2026.xlsm)</v>
      </c>
      <c r="AG61" s="453">
        <f ca="1">ROUND(IF(DESONERACAO="sim",REFERENCIA.Desonerado,REFERENCIA.NaoDesonerado),2)</f>
        <v>0</v>
      </c>
      <c r="AH61" s="454">
        <f ca="1">ROUND(IF(ISNUMBER(ORÇAMENTO.OpcaoBDI),ORÇAMENTO.OpcaoBDI,IF(LEFT(ORÇAMENTO.OpcaoBDI,3)="BDI",HLOOKUP(ORÇAMENTO.OpcaoBDI,$F$4:$H$5,2,FALSE),0)),15-11*$AF$9)</f>
        <v>0.26329999999999998</v>
      </c>
      <c r="AJ61" s="456"/>
      <c r="AL61" s="471"/>
      <c r="AM61" s="348">
        <f t="shared" ca="1" si="44"/>
        <v>0</v>
      </c>
      <c r="AN61" s="504">
        <f ca="1">ROUND(ORÇAMENTO.CustoUnitario*(1+$AH61),2)</f>
        <v>0</v>
      </c>
    </row>
    <row r="62" spans="1:40" ht="38.25" x14ac:dyDescent="0.2">
      <c r="A62" t="str">
        <f t="shared" si="30"/>
        <v>S</v>
      </c>
      <c r="B62">
        <f t="shared" ca="1" si="31"/>
        <v>2</v>
      </c>
      <c r="C62" t="str">
        <f t="shared" ca="1" si="32"/>
        <v>S</v>
      </c>
      <c r="D62">
        <f t="shared" ca="1" si="33"/>
        <v>0</v>
      </c>
      <c r="E62">
        <f ca="1">IF($C62=1,OFFSET(E62,-1,0)+MAX(1,COUNTIF(QCI!$A$13:$A$24,OFFSET(ORÇAMENTO!E62,-1,0))),OFFSET(E62,-1,0))</f>
        <v>2</v>
      </c>
      <c r="F62">
        <f t="shared" ca="1" si="34"/>
        <v>6</v>
      </c>
      <c r="G62">
        <f t="shared" ca="1" si="35"/>
        <v>0</v>
      </c>
      <c r="H62">
        <f t="shared" ca="1" si="36"/>
        <v>0</v>
      </c>
      <c r="I62">
        <f t="shared" ca="1" si="37"/>
        <v>0</v>
      </c>
      <c r="J62">
        <f t="shared" ca="1" si="18"/>
        <v>0</v>
      </c>
      <c r="K62">
        <f ca="1">IF(OR($C62="S",$C62=0),0,MATCH(OFFSET($D62,0,$C62)+IF($C62&lt;&gt;1,1,COUNTIF(QCI!$A$13:$A$24,ORÇAMENTO!E62)),OFFSET($D62,1,$C62,ROW($C$89)-ROW($C62)),0))</f>
        <v>0</v>
      </c>
      <c r="L62" s="116" t="str">
        <f t="shared" ca="1" si="38"/>
        <v/>
      </c>
      <c r="M62" s="117" t="s">
        <v>197</v>
      </c>
      <c r="N62" s="118" t="str">
        <f t="shared" ca="1" si="39"/>
        <v>Serviço</v>
      </c>
      <c r="O62" s="119" t="str">
        <f t="shared" ca="1" si="40"/>
        <v>-</v>
      </c>
      <c r="P62" s="120" t="s">
        <v>245</v>
      </c>
      <c r="Q62" s="121" t="s">
        <v>1002</v>
      </c>
      <c r="R62" s="122" t="str">
        <f ca="1">IF($C62="S",REFERENCIA.Descricao,"(digite a descrição aqui)")</f>
        <v>(abra o arquivo 'Referência 04-2026.xlsm)</v>
      </c>
      <c r="S62" s="123" t="str">
        <f ca="1">REFERENCIA.Unidade</f>
        <v>-</v>
      </c>
      <c r="T62" s="124">
        <f ca="1">OFFSET(CÁLCULO!H$15,ROW($T62)-ROW(T$15),0)</f>
        <v>460.27</v>
      </c>
      <c r="U62" s="125">
        <f t="shared" ca="1" si="17"/>
        <v>0</v>
      </c>
      <c r="V62" s="126" t="s">
        <v>155</v>
      </c>
      <c r="W62" s="124">
        <f ca="1">IF($C62="S",ROUND(IF(TIPOORCAMENTO="Proposto",ORÇAMENTO.CustoUnitario*(1+$AH62),ORÇAMENTO.PrecoUnitarioLicitado),15-13*$AF$10),0)</f>
        <v>0</v>
      </c>
      <c r="X62" s="127">
        <f ca="1">IF($C62="S",IF(OR(Import.TipoArredondamento&lt;&gt;"TransfereGOV",ACOMPANHAMENTO="BM"),VTOTAL1,SUM(OFFSET(CÁLCULO!$AA$15,ROW($X62)-ROW($X$15),1):OFFSET(CÁLCULO!$AL$15,ROW($X62)-ROW($X$15),-1))),IF($C62=0,0,ROUND(SomaAgrup,15-13*$AF$11)))</f>
        <v>0</v>
      </c>
      <c r="Y62" s="128" t="s">
        <v>243</v>
      </c>
      <c r="Z62" t="str">
        <f t="shared" ca="1" si="41"/>
        <v/>
      </c>
      <c r="AA62" s="129">
        <f ca="1">IF($C62="S",IF($Z62="CP",$X62,IF($Z62="RA",(($X62)*QCI!$AA$3),0)),SomaAgrup)</f>
        <v>0</v>
      </c>
      <c r="AB62" s="130">
        <f t="shared" ca="1" si="42"/>
        <v>0</v>
      </c>
      <c r="AC62" s="619" t="str">
        <f ca="1">IF($N62=""," ",
IF(AND($C62="S",OR($Q62&lt;&gt;0,$T62&gt;0,$U62&gt;0),$P62=0),"FONTE",
IF(AND($C62="S",$P62&lt;&gt;0,OR($T62&gt;0,$U62&gt;0),$Q62=0),"CÓDIGO",
IF(AND(OR($R62="",$R62="(digite a descrição aqui)"),OR($C62&lt;&gt;"S",AND($C62="S",OR($Q62&lt;&gt;0,$T62&gt;0,$U62&gt;0)))),"DESCRIÇÃO",
IF(AND($C62="S",$P62&lt;&gt;0,$Q62&lt;&gt;0,$S62=""),"UNIDADE",
IF(AND($C62="S",$P62&lt;&gt;0,$Q62&lt;&gt;0,$U62=0),"SEM CUSTO",
IF(AND(TIPOORCAMENTO="Licitado",$AL62=0,$AN62&gt;0),"SEM PREÇO",
IF(AND($C62="S",$P62&lt;&gt;0,$Q62&lt;&gt;0,$U62&gt;0,$V62=0),"BDI",
IF(OR(AND(TIPOORCAMENTO="Proposto",$AG62&lt;&gt;"",$AG62&gt;0,ORÇAMENTO.CustoUnitario&gt;$AG62),AND(TIPOORCAMENTO="LICITADO",ORÇAMENTO.PrecoUnitarioLicitado&gt;$AN62)),"ACIMA REF.",
IF(AND($C62="S",$P62&lt;&gt;0,$Q62&lt;&gt;0,$T62=0,$U62&gt;0),"QUANT.",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SEM CUSTO</v>
      </c>
      <c r="AD62" t="str">
        <f ca="1">IF(C62&lt;=CRONO.NivelExibicao,MAX($AD$15:OFFSET(AD62,-1,0))+IF($C62&lt;&gt;1,1,MAX(1,COUNTIF(QCI!$A$13:$A$24,OFFSET($E62,-1,0)))),"")</f>
        <v/>
      </c>
      <c r="AE62" s="7" t="str">
        <f ca="1">IF(AND($C62="S",ORÇAMENTO.CodBarra&lt;&gt;""),IF(ORÇAMENTO.Fonte="",ORÇAMENTO.CodBarra,CONCATENATE(ORÇAMENTO.Fonte," ",ORÇAMENTO.CodBarra)))</f>
        <v>SINAPI 100719</v>
      </c>
      <c r="AF62" s="13"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04-2026.xlsm)</v>
      </c>
      <c r="AG62" s="453">
        <f ca="1">ROUND(IF(DESONERACAO="sim",REFERENCIA.Desonerado,REFERENCIA.NaoDesonerado),2)</f>
        <v>0</v>
      </c>
      <c r="AH62" s="454">
        <f t="shared" ca="1" si="43"/>
        <v>0.26329999999999998</v>
      </c>
      <c r="AJ62" s="456"/>
      <c r="AL62" s="471"/>
      <c r="AM62" s="348">
        <f t="shared" ca="1" si="44"/>
        <v>0</v>
      </c>
      <c r="AN62" s="504">
        <f t="shared" ca="1" si="45"/>
        <v>0</v>
      </c>
    </row>
    <row r="63" spans="1:40" ht="51" x14ac:dyDescent="0.2">
      <c r="A63" t="str">
        <f>CHOOSE(1+LOG(1+2*(ORÇAMENTO.Nivel="Meta")+4*(ORÇAMENTO.Nivel="Nível 2")+8*(ORÇAMENTO.Nivel="Nível 3")+16*(ORÇAMENTO.Nivel="Nível 4")+32*(ORÇAMENTO.Nivel="Serviço"),2),0,1,2,3,4,"S")</f>
        <v>S</v>
      </c>
      <c r="B63">
        <f ca="1">IF(OR(C63="s",C63=0),OFFSET(B63,-1,0),C63)</f>
        <v>2</v>
      </c>
      <c r="C63" t="str">
        <f ca="1">IF(OFFSET(C63,-1,0)="L",1,IF(OFFSET(C63,-1,0)=1,2,IF(OR(A63="s",A63=0),"S",IF(AND(OFFSET(C63,-1,0)=2,A63=4),3,IF(AND(OR(OFFSET(C63,-1,0)="s",OFFSET(C63,-1,0)=0),A63&lt;&gt;"s",A63&gt;OFFSET(B63,-1,0)),OFFSET(B63,-1,0),A63)))))</f>
        <v>S</v>
      </c>
      <c r="D63">
        <f ca="1">IF(OR(C63="S",C63=0),0,IF(ISERROR(K63),J63,SMALL(J63:K63,1)))</f>
        <v>0</v>
      </c>
      <c r="E63">
        <f ca="1">IF($C63=1,OFFSET(E63,-1,0)+MAX(1,COUNTIF(QCI!$A$13:$A$24,OFFSET(ORÇAMENTO!E63,-1,0))),OFFSET(E63,-1,0))</f>
        <v>2</v>
      </c>
      <c r="F63">
        <f ca="1">IF($C63=1,0,IF($C63=2,OFFSET(F63,-1,0)+1,OFFSET(F63,-1,0)))</f>
        <v>6</v>
      </c>
      <c r="G63">
        <f ca="1">IF(AND($C63&lt;=2,$C63&lt;&gt;0),0,IF($C63=3,OFFSET(G63,-1,0)+1,OFFSET(G63,-1,0)))</f>
        <v>0</v>
      </c>
      <c r="H63">
        <f ca="1">IF(AND($C63&lt;=3,$C63&lt;&gt;0),0,IF($C63=4,OFFSET(H63,-1,0)+1,OFFSET(H63,-1,0)))</f>
        <v>0</v>
      </c>
      <c r="I63">
        <f ca="1">IF(AND($C63&lt;=4,$C63&lt;&gt;0),0,IF(AND($C63="S",$X63&gt;0),OFFSET(I63,-1,0)+1,OFFSET(I63,-1,0)))</f>
        <v>0</v>
      </c>
      <c r="J63">
        <f t="shared" ca="1" si="18"/>
        <v>0</v>
      </c>
      <c r="K63">
        <f ca="1">IF(OR($C63="S",$C63=0),0,MATCH(OFFSET($D63,0,$C63)+IF($C63&lt;&gt;1,1,COUNTIF(QCI!$A$13:$A$24,ORÇAMENTO!E63)),OFFSET($D63,1,$C63,ROW($C$89)-ROW($C63)),0))</f>
        <v>0</v>
      </c>
      <c r="L63" s="116" t="str">
        <f ca="1">IF(OR($X63&gt;0,$C63=1,$C63=2,$C63=3,$C63=4),"F","")</f>
        <v/>
      </c>
      <c r="M63" s="117" t="s">
        <v>197</v>
      </c>
      <c r="N63" s="118" t="str">
        <f ca="1">CHOOSE(1+LOG(1+2*(C63=1)+4*(C63=2)+8*(C63=3)+16*(C63=4)+32*(C63="S"),2),"","Meta","Nível 2","Nível 3","Nível 4","Serviço")</f>
        <v>Serviço</v>
      </c>
      <c r="O63" s="119" t="str">
        <f ca="1">IF(OR($C63=0,$L63=""),"-",CONCATENATE(E63&amp;".",IF(AND($A$5&gt;=2,$C63&gt;=2),F63&amp;".",""),IF(AND($A$5&gt;=3,$C63&gt;=3),G63&amp;".",""),IF(AND($A$5&gt;=4,$C63&gt;=4),H63&amp;".",""),IF($C63="S",I63&amp;".","")))</f>
        <v>-</v>
      </c>
      <c r="P63" s="120" t="s">
        <v>245</v>
      </c>
      <c r="Q63" s="121" t="s">
        <v>1003</v>
      </c>
      <c r="R63" s="122" t="str">
        <f ca="1">IF($C63="S",REFERENCIA.Descricao,"(digite a descrição aqui)")</f>
        <v>(abra o arquivo 'Referência 04-2026.xlsm)</v>
      </c>
      <c r="S63" s="123" t="str">
        <f ca="1">REFERENCIA.Unidade</f>
        <v>-</v>
      </c>
      <c r="T63" s="124">
        <f ca="1">OFFSET(CÁLCULO!H$15,ROW($T63)-ROW(T$15),0)</f>
        <v>230.14</v>
      </c>
      <c r="U63" s="125">
        <f t="shared" ca="1" si="17"/>
        <v>0</v>
      </c>
      <c r="V63" s="126" t="s">
        <v>155</v>
      </c>
      <c r="W63" s="124">
        <f ca="1">IF($C63="S",ROUND(IF(TIPOORCAMENTO="Proposto",ORÇAMENTO.CustoUnitario*(1+$AH63),ORÇAMENTO.PrecoUnitarioLicitado),15-13*$AF$10),0)</f>
        <v>0</v>
      </c>
      <c r="X63" s="127">
        <f ca="1">IF($C63="S",IF(OR(Import.TipoArredondamento&lt;&gt;"TransfereGOV",ACOMPANHAMENTO="BM"),VTOTAL1,SUM(OFFSET(CÁLCULO!$AA$15,ROW($X63)-ROW($X$15),1):OFFSET(CÁLCULO!$AL$15,ROW($X63)-ROW($X$15),-1))),IF($C63=0,0,ROUND(SomaAgrup,15-13*$AF$11)))</f>
        <v>0</v>
      </c>
      <c r="Y63" s="128" t="s">
        <v>243</v>
      </c>
      <c r="Z63" t="str">
        <f ca="1">IF(AND($C63="S",$X63&gt;0),IF(ISBLANK($Y63),"RA",LEFT($Y63,2)),"")</f>
        <v/>
      </c>
      <c r="AA63" s="129">
        <f ca="1">IF($C63="S",IF($Z63="CP",$X63,IF($Z63="RA",(($X63)*QCI!$AA$3),0)),SomaAgrup)</f>
        <v>0</v>
      </c>
      <c r="AB63" s="130">
        <f ca="1">IF($C63="S",IF($Z63="OU",ROUND($X63,2),0),SomaAgrup)</f>
        <v>0</v>
      </c>
      <c r="AC63" s="619" t="str">
        <f ca="1">IF($N63=""," ",
IF(AND($C63="S",OR($Q63&lt;&gt;0,$T63&gt;0,$U63&gt;0),$P63=0),"FONTE",
IF(AND($C63="S",$P63&lt;&gt;0,OR($T63&gt;0,$U63&gt;0),$Q63=0),"CÓDIGO",
IF(AND(OR($R63="",$R63="(digite a descrição aqui)"),OR($C63&lt;&gt;"S",AND($C63="S",OR($Q63&lt;&gt;0,$T63&gt;0,$U63&gt;0)))),"DESCRIÇÃO",
IF(AND($C63="S",$P63&lt;&gt;0,$Q63&lt;&gt;0,$S63=""),"UNIDADE",
IF(AND($C63="S",$P63&lt;&gt;0,$Q63&lt;&gt;0,$U63=0),"SEM CUSTO",
IF(AND(TIPOORCAMENTO="Licitado",$AL63=0,$AN63&gt;0),"SEM PREÇO",
IF(AND($C63="S",$P63&lt;&gt;0,$Q63&lt;&gt;0,$U63&gt;0,$V63=0),"BDI",
IF(OR(AND(TIPOORCAMENTO="Proposto",$AG63&lt;&gt;"",$AG63&gt;0,ORÇAMENTO.CustoUnitario&gt;$AG63),AND(TIPOORCAMENTO="LICITADO",ORÇAMENTO.PrecoUnitarioLicitado&gt;$AN63)),"ACIMA REF.",
IF(AND($C63="S",$P63&lt;&gt;0,$Q63&lt;&gt;0,$T63=0,$U63&gt;0),"QUANT.",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SEM CUSTO</v>
      </c>
      <c r="AD63" t="str">
        <f ca="1">IF(C63&lt;=CRONO.NivelExibicao,MAX($AD$15:OFFSET(AD63,-1,0))+IF($C63&lt;&gt;1,1,MAX(1,COUNTIF(QCI!$A$13:$A$24,OFFSET($E63,-1,0)))),"")</f>
        <v/>
      </c>
      <c r="AE63" s="7" t="str">
        <f ca="1">IF(AND($C63="S",ORÇAMENTO.CodBarra&lt;&gt;""),IF(ORÇAMENTO.Fonte="",ORÇAMENTO.CodBarra,CONCATENATE(ORÇAMENTO.Fonte," ",ORÇAMENTO.CodBarra)))</f>
        <v>SINAPI 100757</v>
      </c>
      <c r="AF63" s="13"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04-2026.xlsm)</v>
      </c>
      <c r="AG63" s="453">
        <f ca="1">ROUND(IF(DESONERACAO="sim",REFERENCIA.Desonerado,REFERENCIA.NaoDesonerado),2)</f>
        <v>0</v>
      </c>
      <c r="AH63" s="454">
        <f ca="1">ROUND(IF(ISNUMBER(ORÇAMENTO.OpcaoBDI),ORÇAMENTO.OpcaoBDI,IF(LEFT(ORÇAMENTO.OpcaoBDI,3)="BDI",HLOOKUP(ORÇAMENTO.OpcaoBDI,$F$4:$H$5,2,FALSE),0)),15-11*$AF$9)</f>
        <v>0.26329999999999998</v>
      </c>
      <c r="AJ63" s="456"/>
      <c r="AL63" s="471"/>
      <c r="AM63" s="348">
        <f t="shared" ca="1" si="44"/>
        <v>0</v>
      </c>
      <c r="AN63" s="504">
        <f ca="1">ROUND(ORÇAMENTO.CustoUnitario*(1+$AH63),2)</f>
        <v>0</v>
      </c>
    </row>
    <row r="64" spans="1:40" ht="25.5" x14ac:dyDescent="0.2">
      <c r="A64" t="str">
        <f t="shared" si="30"/>
        <v>S</v>
      </c>
      <c r="B64">
        <f t="shared" ca="1" si="31"/>
        <v>2</v>
      </c>
      <c r="C64" t="str">
        <f t="shared" ca="1" si="32"/>
        <v>S</v>
      </c>
      <c r="D64">
        <f t="shared" ca="1" si="33"/>
        <v>0</v>
      </c>
      <c r="E64">
        <f ca="1">IF($C64=1,OFFSET(E64,-1,0)+MAX(1,COUNTIF(QCI!$A$13:$A$24,OFFSET(ORÇAMENTO!E64,-1,0))),OFFSET(E64,-1,0))</f>
        <v>2</v>
      </c>
      <c r="F64">
        <f t="shared" ca="1" si="34"/>
        <v>6</v>
      </c>
      <c r="G64">
        <f t="shared" ca="1" si="35"/>
        <v>0</v>
      </c>
      <c r="H64">
        <f t="shared" ca="1" si="36"/>
        <v>0</v>
      </c>
      <c r="I64">
        <f t="shared" ca="1" si="37"/>
        <v>0</v>
      </c>
      <c r="J64">
        <f t="shared" ca="1" si="18"/>
        <v>0</v>
      </c>
      <c r="K64">
        <f ca="1">IF(OR($C64="S",$C64=0),0,MATCH(OFFSET($D64,0,$C64)+IF($C64&lt;&gt;1,1,COUNTIF(QCI!$A$13:$A$24,ORÇAMENTO!E64)),OFFSET($D64,1,$C64,ROW($C$89)-ROW($C64)),0))</f>
        <v>0</v>
      </c>
      <c r="L64" s="116" t="str">
        <f t="shared" ca="1" si="38"/>
        <v/>
      </c>
      <c r="M64" s="117" t="s">
        <v>197</v>
      </c>
      <c r="N64" s="118" t="str">
        <f t="shared" ca="1" si="39"/>
        <v>Serviço</v>
      </c>
      <c r="O64" s="119" t="str">
        <f t="shared" ca="1" si="40"/>
        <v>-</v>
      </c>
      <c r="P64" s="120" t="s">
        <v>245</v>
      </c>
      <c r="Q64" s="121" t="s">
        <v>1014</v>
      </c>
      <c r="R64" s="122" t="str">
        <f ca="1">IF($C64="S",REFERENCIA.Descricao,"(digite a descrição aqui)")</f>
        <v>(abra o arquivo 'Referência 04-2026.xlsm)</v>
      </c>
      <c r="S64" s="123" t="str">
        <f ca="1">REFERENCIA.Unidade</f>
        <v>-</v>
      </c>
      <c r="T64" s="124">
        <f ca="1">OFFSET(CÁLCULO!H$15,ROW($T64)-ROW(T$15),0)</f>
        <v>154.26</v>
      </c>
      <c r="U64" s="125">
        <f t="shared" ca="1" si="17"/>
        <v>0</v>
      </c>
      <c r="V64" s="126" t="s">
        <v>155</v>
      </c>
      <c r="W64" s="124">
        <f ca="1">IF($C64="S",ROUND(IF(TIPOORCAMENTO="Proposto",ORÇAMENTO.CustoUnitario*(1+$AH64),ORÇAMENTO.PrecoUnitarioLicitado),15-13*$AF$10),0)</f>
        <v>0</v>
      </c>
      <c r="X64" s="127">
        <f ca="1">IF($C64="S",IF(OR(Import.TipoArredondamento&lt;&gt;"TransfereGOV",ACOMPANHAMENTO="BM"),VTOTAL1,SUM(OFFSET(CÁLCULO!$AA$15,ROW($X64)-ROW($X$15),1):OFFSET(CÁLCULO!$AL$15,ROW($X64)-ROW($X$15),-1))),IF($C64=0,0,ROUND(SomaAgrup,15-13*$AF$11)))</f>
        <v>0</v>
      </c>
      <c r="Y64" s="128" t="s">
        <v>243</v>
      </c>
      <c r="Z64" t="str">
        <f t="shared" ca="1" si="41"/>
        <v/>
      </c>
      <c r="AA64" s="129">
        <f ca="1">IF($C64="S",IF($Z64="CP",$X64,IF($Z64="RA",(($X64)*QCI!$AA$3),0)),SomaAgrup)</f>
        <v>0</v>
      </c>
      <c r="AB64" s="130">
        <f t="shared" ca="1" si="42"/>
        <v>0</v>
      </c>
      <c r="AC64" s="619" t="str">
        <f ca="1">IF($N64=""," ",
IF(AND($C64="S",OR($Q64&lt;&gt;0,$T64&gt;0,$U64&gt;0),$P64=0),"FONTE",
IF(AND($C64="S",$P64&lt;&gt;0,OR($T64&gt;0,$U64&gt;0),$Q64=0),"CÓDIGO",
IF(AND(OR($R64="",$R64="(digite a descrição aqui)"),OR($C64&lt;&gt;"S",AND($C64="S",OR($Q64&lt;&gt;0,$T64&gt;0,$U64&gt;0)))),"DESCRIÇÃO",
IF(AND($C64="S",$P64&lt;&gt;0,$Q64&lt;&gt;0,$S64=""),"UNIDADE",
IF(AND($C64="S",$P64&lt;&gt;0,$Q64&lt;&gt;0,$U64=0),"SEM CUSTO",
IF(AND(TIPOORCAMENTO="Licitado",$AL64=0,$AN64&gt;0),"SEM PREÇO",
IF(AND($C64="S",$P64&lt;&gt;0,$Q64&lt;&gt;0,$U64&gt;0,$V64=0),"BDI",
IF(OR(AND(TIPOORCAMENTO="Proposto",$AG64&lt;&gt;"",$AG64&gt;0,ORÇAMENTO.CustoUnitario&gt;$AG64),AND(TIPOORCAMENTO="LICITADO",ORÇAMENTO.PrecoUnitarioLicitado&gt;$AN64)),"ACIMA REF.",
IF(AND($C64="S",$P64&lt;&gt;0,$Q64&lt;&gt;0,$T64=0,$U64&gt;0),"QUANT.",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SEM CUSTO</v>
      </c>
      <c r="AD64" t="str">
        <f ca="1">IF(C64&lt;=CRONO.NivelExibicao,MAX($AD$15:OFFSET(AD64,-1,0))+IF($C64&lt;&gt;1,1,MAX(1,COUNTIF(QCI!$A$13:$A$24,OFFSET($E64,-1,0)))),"")</f>
        <v/>
      </c>
      <c r="AE64" s="7" t="str">
        <f ca="1">IF(AND($C64="S",ORÇAMENTO.CodBarra&lt;&gt;""),IF(ORÇAMENTO.Fonte="",ORÇAMENTO.CodBarra,CONCATENATE(ORÇAMENTO.Fonte," ",ORÇAMENTO.CodBarra)))</f>
        <v>SINAPI 94213</v>
      </c>
      <c r="AF64" s="13"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04-2026.xlsm)</v>
      </c>
      <c r="AG64" s="453">
        <f ca="1">ROUND(IF(DESONERACAO="sim",REFERENCIA.Desonerado,REFERENCIA.NaoDesonerado),2)</f>
        <v>0</v>
      </c>
      <c r="AH64" s="454">
        <f t="shared" ca="1" si="43"/>
        <v>0.26329999999999998</v>
      </c>
      <c r="AJ64" s="456"/>
      <c r="AL64" s="471"/>
      <c r="AM64" s="348">
        <f t="shared" ca="1" si="44"/>
        <v>0</v>
      </c>
      <c r="AN64" s="504">
        <f t="shared" ca="1" si="45"/>
        <v>0</v>
      </c>
    </row>
    <row r="65" spans="1:40" ht="25.5" x14ac:dyDescent="0.2">
      <c r="A65" t="str">
        <f t="shared" si="30"/>
        <v>S</v>
      </c>
      <c r="B65">
        <f t="shared" ca="1" si="31"/>
        <v>2</v>
      </c>
      <c r="C65" t="str">
        <f t="shared" ca="1" si="32"/>
        <v>S</v>
      </c>
      <c r="D65">
        <f t="shared" ca="1" si="33"/>
        <v>0</v>
      </c>
      <c r="E65">
        <f ca="1">IF($C65=1,OFFSET(E65,-1,0)+MAX(1,COUNTIF(QCI!$A$13:$A$24,OFFSET(ORÇAMENTO!E65,-1,0))),OFFSET(E65,-1,0))</f>
        <v>2</v>
      </c>
      <c r="F65">
        <f t="shared" ca="1" si="34"/>
        <v>6</v>
      </c>
      <c r="G65">
        <f t="shared" ca="1" si="35"/>
        <v>0</v>
      </c>
      <c r="H65">
        <f t="shared" ca="1" si="36"/>
        <v>0</v>
      </c>
      <c r="I65">
        <f t="shared" ca="1" si="37"/>
        <v>0</v>
      </c>
      <c r="J65">
        <f t="shared" ca="1" si="18"/>
        <v>0</v>
      </c>
      <c r="K65">
        <f ca="1">IF(OR($C65="S",$C65=0),0,MATCH(OFFSET($D65,0,$C65)+IF($C65&lt;&gt;1,1,COUNTIF(QCI!$A$13:$A$24,ORÇAMENTO!E65)),OFFSET($D65,1,$C65,ROW($C$89)-ROW($C65)),0))</f>
        <v>0</v>
      </c>
      <c r="L65" s="116" t="str">
        <f t="shared" ca="1" si="38"/>
        <v/>
      </c>
      <c r="M65" s="117" t="s">
        <v>197</v>
      </c>
      <c r="N65" s="118" t="str">
        <f t="shared" ca="1" si="39"/>
        <v>Serviço</v>
      </c>
      <c r="O65" s="119" t="str">
        <f t="shared" ca="1" si="40"/>
        <v>-</v>
      </c>
      <c r="P65" s="120" t="s">
        <v>245</v>
      </c>
      <c r="Q65" s="121" t="s">
        <v>957</v>
      </c>
      <c r="R65" s="122" t="str">
        <f ca="1">IF($C65="S",REFERENCIA.Descricao,"(digite a descrição aqui)")</f>
        <v>(abra o arquivo 'Referência 04-2026.xlsm)</v>
      </c>
      <c r="S65" s="123" t="str">
        <f ca="1">REFERENCIA.Unidade</f>
        <v>-</v>
      </c>
      <c r="T65" s="124">
        <f ca="1">OFFSET(CÁLCULO!H$15,ROW($T65)-ROW(T$15),0)</f>
        <v>53.4</v>
      </c>
      <c r="U65" s="125">
        <f t="shared" ca="1" si="17"/>
        <v>0</v>
      </c>
      <c r="V65" s="126" t="s">
        <v>155</v>
      </c>
      <c r="W65" s="124">
        <f ca="1">IF($C65="S",ROUND(IF(TIPOORCAMENTO="Proposto",ORÇAMENTO.CustoUnitario*(1+$AH65),ORÇAMENTO.PrecoUnitarioLicitado),15-13*$AF$10),0)</f>
        <v>0</v>
      </c>
      <c r="X65" s="127">
        <f ca="1">IF($C65="S",IF(OR(Import.TipoArredondamento&lt;&gt;"TransfereGOV",ACOMPANHAMENTO="BM"),VTOTAL1,SUM(OFFSET(CÁLCULO!$AA$15,ROW($X65)-ROW($X$15),1):OFFSET(CÁLCULO!$AL$15,ROW($X65)-ROW($X$15),-1))),IF($C65=0,0,ROUND(SomaAgrup,15-13*$AF$11)))</f>
        <v>0</v>
      </c>
      <c r="Y65" s="128" t="s">
        <v>243</v>
      </c>
      <c r="Z65" t="str">
        <f t="shared" ca="1" si="41"/>
        <v/>
      </c>
      <c r="AA65" s="129">
        <f ca="1">IF($C65="S",IF($Z65="CP",$X65,IF($Z65="RA",(($X65)*QCI!$AA$3),0)),SomaAgrup)</f>
        <v>0</v>
      </c>
      <c r="AB65" s="130">
        <f t="shared" ca="1" si="42"/>
        <v>0</v>
      </c>
      <c r="AC65" s="619" t="str">
        <f ca="1">IF($N65=""," ",
IF(AND($C65="S",OR($Q65&lt;&gt;0,$T65&gt;0,$U65&gt;0),$P65=0),"FONTE",
IF(AND($C65="S",$P65&lt;&gt;0,OR($T65&gt;0,$U65&gt;0),$Q65=0),"CÓDIGO",
IF(AND(OR($R65="",$R65="(digite a descrição aqui)"),OR($C65&lt;&gt;"S",AND($C65="S",OR($Q65&lt;&gt;0,$T65&gt;0,$U65&gt;0)))),"DESCRIÇÃO",
IF(AND($C65="S",$P65&lt;&gt;0,$Q65&lt;&gt;0,$S65=""),"UNIDADE",
IF(AND($C65="S",$P65&lt;&gt;0,$Q65&lt;&gt;0,$U65=0),"SEM CUSTO",
IF(AND(TIPOORCAMENTO="Licitado",$AL65=0,$AN65&gt;0),"SEM PREÇO",
IF(AND($C65="S",$P65&lt;&gt;0,$Q65&lt;&gt;0,$U65&gt;0,$V65=0),"BDI",
IF(OR(AND(TIPOORCAMENTO="Proposto",$AG65&lt;&gt;"",$AG65&gt;0,ORÇAMENTO.CustoUnitario&gt;$AG65),AND(TIPOORCAMENTO="LICITADO",ORÇAMENTO.PrecoUnitarioLicitado&gt;$AN65)),"ACIMA REF.",
IF(AND($C65="S",$P65&lt;&gt;0,$Q65&lt;&gt;0,$T65=0,$U65&gt;0),"QUANT.",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SEM CUSTO</v>
      </c>
      <c r="AD65" t="str">
        <f ca="1">IF(C65&lt;=CRONO.NivelExibicao,MAX($AD$15:OFFSET(AD65,-1,0))+IF($C65&lt;&gt;1,1,MAX(1,COUNTIF(QCI!$A$13:$A$24,OFFSET($E65,-1,0)))),"")</f>
        <v/>
      </c>
      <c r="AE65" s="7" t="str">
        <f ca="1">IF(AND($C65="S",ORÇAMENTO.CodBarra&lt;&gt;""),IF(ORÇAMENTO.Fonte="",ORÇAMENTO.CodBarra,CONCATENATE(ORÇAMENTO.Fonte," ",ORÇAMENTO.CodBarra)))</f>
        <v>SINAPI 94231</v>
      </c>
      <c r="AF65" s="13"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04-2026.xlsm)</v>
      </c>
      <c r="AG65" s="453">
        <f ca="1">ROUND(IF(DESONERACAO="sim",REFERENCIA.Desonerado,REFERENCIA.NaoDesonerado),2)</f>
        <v>0</v>
      </c>
      <c r="AH65" s="454">
        <f t="shared" ca="1" si="43"/>
        <v>0.26329999999999998</v>
      </c>
      <c r="AJ65" s="456"/>
      <c r="AL65" s="471"/>
      <c r="AM65" s="348">
        <f t="shared" ca="1" si="44"/>
        <v>0</v>
      </c>
      <c r="AN65" s="504">
        <f t="shared" ca="1" si="45"/>
        <v>0</v>
      </c>
    </row>
    <row r="66" spans="1:40" ht="38.25" x14ac:dyDescent="0.2">
      <c r="A66" t="str">
        <f t="shared" si="30"/>
        <v>S</v>
      </c>
      <c r="B66">
        <f t="shared" ca="1" si="31"/>
        <v>2</v>
      </c>
      <c r="C66" t="str">
        <f t="shared" ca="1" si="32"/>
        <v>S</v>
      </c>
      <c r="D66">
        <f t="shared" ca="1" si="33"/>
        <v>0</v>
      </c>
      <c r="E66">
        <f ca="1">IF($C66=1,OFFSET(E66,-1,0)+MAX(1,COUNTIF(QCI!$A$13:$A$24,OFFSET(ORÇAMENTO!E66,-1,0))),OFFSET(E66,-1,0))</f>
        <v>2</v>
      </c>
      <c r="F66">
        <f t="shared" ca="1" si="34"/>
        <v>6</v>
      </c>
      <c r="G66">
        <f t="shared" ca="1" si="35"/>
        <v>0</v>
      </c>
      <c r="H66">
        <f t="shared" ca="1" si="36"/>
        <v>0</v>
      </c>
      <c r="I66">
        <f t="shared" ca="1" si="37"/>
        <v>0</v>
      </c>
      <c r="J66">
        <f t="shared" ca="1" si="18"/>
        <v>0</v>
      </c>
      <c r="K66">
        <f ca="1">IF(OR($C66="S",$C66=0),0,MATCH(OFFSET($D66,0,$C66)+IF($C66&lt;&gt;1,1,COUNTIF(QCI!$A$13:$A$24,ORÇAMENTO!E66)),OFFSET($D66,1,$C66,ROW($C$89)-ROW($C66)),0))</f>
        <v>0</v>
      </c>
      <c r="L66" s="116" t="str">
        <f t="shared" ca="1" si="38"/>
        <v/>
      </c>
      <c r="M66" s="117" t="s">
        <v>197</v>
      </c>
      <c r="N66" s="118" t="str">
        <f t="shared" ca="1" si="39"/>
        <v>Serviço</v>
      </c>
      <c r="O66" s="119" t="str">
        <f t="shared" ca="1" si="40"/>
        <v>-</v>
      </c>
      <c r="P66" s="120" t="s">
        <v>245</v>
      </c>
      <c r="Q66" s="121" t="s">
        <v>958</v>
      </c>
      <c r="R66" s="122" t="str">
        <f ca="1">IF($C66="S",REFERENCIA.Descricao,"(digite a descrição aqui)")</f>
        <v>(abra o arquivo 'Referência 04-2026.xlsm)</v>
      </c>
      <c r="S66" s="123" t="str">
        <f ca="1">REFERENCIA.Unidade</f>
        <v>-</v>
      </c>
      <c r="T66" s="124">
        <f ca="1">OFFSET(CÁLCULO!H$15,ROW($T66)-ROW(T$15),0)</f>
        <v>14</v>
      </c>
      <c r="U66" s="125">
        <f t="shared" ca="1" si="17"/>
        <v>0</v>
      </c>
      <c r="V66" s="126" t="s">
        <v>155</v>
      </c>
      <c r="W66" s="124">
        <f ca="1">IF($C66="S",ROUND(IF(TIPOORCAMENTO="Proposto",ORÇAMENTO.CustoUnitario*(1+$AH66),ORÇAMENTO.PrecoUnitarioLicitado),15-13*$AF$10),0)</f>
        <v>0</v>
      </c>
      <c r="X66" s="127">
        <f ca="1">IF($C66="S",IF(OR(Import.TipoArredondamento&lt;&gt;"TransfereGOV",ACOMPANHAMENTO="BM"),VTOTAL1,SUM(OFFSET(CÁLCULO!$AA$15,ROW($X66)-ROW($X$15),1):OFFSET(CÁLCULO!$AL$15,ROW($X66)-ROW($X$15),-1))),IF($C66=0,0,ROUND(SomaAgrup,15-13*$AF$11)))</f>
        <v>0</v>
      </c>
      <c r="Y66" s="128" t="s">
        <v>243</v>
      </c>
      <c r="Z66" t="str">
        <f t="shared" ca="1" si="41"/>
        <v/>
      </c>
      <c r="AA66" s="129">
        <f ca="1">IF($C66="S",IF($Z66="CP",$X66,IF($Z66="RA",(($X66)*QCI!$AA$3),0)),SomaAgrup)</f>
        <v>0</v>
      </c>
      <c r="AB66" s="130">
        <f t="shared" ca="1" si="42"/>
        <v>0</v>
      </c>
      <c r="AC66" s="619" t="str">
        <f ca="1">IF($N66=""," ",
IF(AND($C66="S",OR($Q66&lt;&gt;0,$T66&gt;0,$U66&gt;0),$P66=0),"FONTE",
IF(AND($C66="S",$P66&lt;&gt;0,OR($T66&gt;0,$U66&gt;0),$Q66=0),"CÓDIGO",
IF(AND(OR($R66="",$R66="(digite a descrição aqui)"),OR($C66&lt;&gt;"S",AND($C66="S",OR($Q66&lt;&gt;0,$T66&gt;0,$U66&gt;0)))),"DESCRIÇÃO",
IF(AND($C66="S",$P66&lt;&gt;0,$Q66&lt;&gt;0,$S66=""),"UNIDADE",
IF(AND($C66="S",$P66&lt;&gt;0,$Q66&lt;&gt;0,$U66=0),"SEM CUSTO",
IF(AND(TIPOORCAMENTO="Licitado",$AL66=0,$AN66&gt;0),"SEM PREÇO",
IF(AND($C66="S",$P66&lt;&gt;0,$Q66&lt;&gt;0,$U66&gt;0,$V66=0),"BDI",
IF(OR(AND(TIPOORCAMENTO="Proposto",$AG66&lt;&gt;"",$AG66&gt;0,ORÇAMENTO.CustoUnitario&gt;$AG66),AND(TIPOORCAMENTO="LICITADO",ORÇAMENTO.PrecoUnitarioLicitado&gt;$AN66)),"ACIMA REF.",
IF(AND($C66="S",$P66&lt;&gt;0,$Q66&lt;&gt;0,$T66=0,$U66&gt;0),"QUANT.",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SEM CUSTO</v>
      </c>
      <c r="AD66" t="str">
        <f ca="1">IF(C66&lt;=CRONO.NivelExibicao,MAX($AD$15:OFFSET(AD66,-1,0))+IF($C66&lt;&gt;1,1,MAX(1,COUNTIF(QCI!$A$13:$A$24,OFFSET($E66,-1,0)))),"")</f>
        <v/>
      </c>
      <c r="AE66" s="7" t="str">
        <f ca="1">IF(AND($C66="S",ORÇAMENTO.CodBarra&lt;&gt;""),IF(ORÇAMENTO.Fonte="",ORÇAMENTO.CodBarra,CONCATENATE(ORÇAMENTO.Fonte," ",ORÇAMENTO.CodBarra)))</f>
        <v>SINAPI 94227</v>
      </c>
      <c r="AF66" s="13"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04-2026.xlsm)</v>
      </c>
      <c r="AG66" s="453">
        <f ca="1">ROUND(IF(DESONERACAO="sim",REFERENCIA.Desonerado,REFERENCIA.NaoDesonerado),2)</f>
        <v>0</v>
      </c>
      <c r="AH66" s="454">
        <f t="shared" ca="1" si="43"/>
        <v>0.26329999999999998</v>
      </c>
      <c r="AJ66" s="456"/>
      <c r="AL66" s="471"/>
      <c r="AM66" s="348">
        <f t="shared" ca="1" si="44"/>
        <v>0</v>
      </c>
      <c r="AN66" s="504">
        <f t="shared" ca="1" si="45"/>
        <v>0</v>
      </c>
    </row>
    <row r="67" spans="1:40" ht="38.25" x14ac:dyDescent="0.2">
      <c r="A67" t="str">
        <f t="shared" si="30"/>
        <v>S</v>
      </c>
      <c r="B67">
        <f t="shared" ca="1" si="31"/>
        <v>2</v>
      </c>
      <c r="C67" t="str">
        <f t="shared" ca="1" si="32"/>
        <v>S</v>
      </c>
      <c r="D67">
        <f t="shared" ca="1" si="33"/>
        <v>0</v>
      </c>
      <c r="E67">
        <f ca="1">IF($C67=1,OFFSET(E67,-1,0)+MAX(1,COUNTIF(QCI!$A$13:$A$24,OFFSET(ORÇAMENTO!E67,-1,0))),OFFSET(E67,-1,0))</f>
        <v>2</v>
      </c>
      <c r="F67">
        <f t="shared" ca="1" si="34"/>
        <v>6</v>
      </c>
      <c r="G67">
        <f t="shared" ca="1" si="35"/>
        <v>0</v>
      </c>
      <c r="H67">
        <f t="shared" ca="1" si="36"/>
        <v>0</v>
      </c>
      <c r="I67">
        <f t="shared" ca="1" si="37"/>
        <v>0</v>
      </c>
      <c r="J67">
        <f t="shared" ca="1" si="18"/>
        <v>0</v>
      </c>
      <c r="K67">
        <f ca="1">IF(OR($C67="S",$C67=0),0,MATCH(OFFSET($D67,0,$C67)+IF($C67&lt;&gt;1,1,COUNTIF(QCI!$A$13:$A$24,ORÇAMENTO!E67)),OFFSET($D67,1,$C67,ROW($C$89)-ROW($C67)),0))</f>
        <v>0</v>
      </c>
      <c r="L67" s="116" t="str">
        <f t="shared" ca="1" si="38"/>
        <v/>
      </c>
      <c r="M67" s="117" t="s">
        <v>197</v>
      </c>
      <c r="N67" s="118" t="str">
        <f t="shared" ca="1" si="39"/>
        <v>Serviço</v>
      </c>
      <c r="O67" s="119" t="str">
        <f t="shared" ca="1" si="40"/>
        <v>-</v>
      </c>
      <c r="P67" s="120" t="s">
        <v>245</v>
      </c>
      <c r="Q67" s="121" t="s">
        <v>959</v>
      </c>
      <c r="R67" s="122" t="str">
        <f ca="1">IF($C67="S",REFERENCIA.Descricao,"(digite a descrição aqui)")</f>
        <v>(abra o arquivo 'Referência 04-2026.xlsm)</v>
      </c>
      <c r="S67" s="123" t="str">
        <f ca="1">REFERENCIA.Unidade</f>
        <v>-</v>
      </c>
      <c r="T67" s="124">
        <f ca="1">OFFSET(CÁLCULO!H$15,ROW($T67)-ROW(T$15),0)</f>
        <v>24</v>
      </c>
      <c r="U67" s="125">
        <f t="shared" ca="1" si="17"/>
        <v>0</v>
      </c>
      <c r="V67" s="126" t="s">
        <v>155</v>
      </c>
      <c r="W67" s="124">
        <f ca="1">IF($C67="S",ROUND(IF(TIPOORCAMENTO="Proposto",ORÇAMENTO.CustoUnitario*(1+$AH67),ORÇAMENTO.PrecoUnitarioLicitado),15-13*$AF$10),0)</f>
        <v>0</v>
      </c>
      <c r="X67" s="127">
        <f ca="1">IF($C67="S",IF(OR(Import.TipoArredondamento&lt;&gt;"TransfereGOV",ACOMPANHAMENTO="BM"),VTOTAL1,SUM(OFFSET(CÁLCULO!$AA$15,ROW($X67)-ROW($X$15),1):OFFSET(CÁLCULO!$AL$15,ROW($X67)-ROW($X$15),-1))),IF($C67=0,0,ROUND(SomaAgrup,15-13*$AF$11)))</f>
        <v>0</v>
      </c>
      <c r="Y67" s="128" t="s">
        <v>243</v>
      </c>
      <c r="Z67" t="str">
        <f t="shared" ca="1" si="41"/>
        <v/>
      </c>
      <c r="AA67" s="129">
        <f ca="1">IF($C67="S",IF($Z67="CP",$X67,IF($Z67="RA",(($X67)*QCI!$AA$3),0)),SomaAgrup)</f>
        <v>0</v>
      </c>
      <c r="AB67" s="130">
        <f t="shared" ca="1" si="42"/>
        <v>0</v>
      </c>
      <c r="AC67" s="619" t="str">
        <f ca="1">IF($N67=""," ",
IF(AND($C67="S",OR($Q67&lt;&gt;0,$T67&gt;0,$U67&gt;0),$P67=0),"FONTE",
IF(AND($C67="S",$P67&lt;&gt;0,OR($T67&gt;0,$U67&gt;0),$Q67=0),"CÓDIGO",
IF(AND(OR($R67="",$R67="(digite a descrição aqui)"),OR($C67&lt;&gt;"S",AND($C67="S",OR($Q67&lt;&gt;0,$T67&gt;0,$U67&gt;0)))),"DESCRIÇÃO",
IF(AND($C67="S",$P67&lt;&gt;0,$Q67&lt;&gt;0,$S67=""),"UNIDADE",
IF(AND($C67="S",$P67&lt;&gt;0,$Q67&lt;&gt;0,$U67=0),"SEM CUSTO",
IF(AND(TIPOORCAMENTO="Licitado",$AL67=0,$AN67&gt;0),"SEM PREÇO",
IF(AND($C67="S",$P67&lt;&gt;0,$Q67&lt;&gt;0,$U67&gt;0,$V67=0),"BDI",
IF(OR(AND(TIPOORCAMENTO="Proposto",$AG67&lt;&gt;"",$AG67&gt;0,ORÇAMENTO.CustoUnitario&gt;$AG67),AND(TIPOORCAMENTO="LICITADO",ORÇAMENTO.PrecoUnitarioLicitado&gt;$AN67)),"ACIMA REF.",
IF(AND($C67="S",$P67&lt;&gt;0,$Q67&lt;&gt;0,$T67=0,$U67&gt;0),"QUANT.",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SEM CUSTO</v>
      </c>
      <c r="AD67" t="str">
        <f ca="1">IF(C67&lt;=CRONO.NivelExibicao,MAX($AD$15:OFFSET(AD67,-1,0))+IF($C67&lt;&gt;1,1,MAX(1,COUNTIF(QCI!$A$13:$A$24,OFFSET($E67,-1,0)))),"")</f>
        <v/>
      </c>
      <c r="AE67" s="7" t="str">
        <f ca="1">IF(AND($C67="S",ORÇAMENTO.CodBarra&lt;&gt;""),IF(ORÇAMENTO.Fonte="",ORÇAMENTO.CodBarra,CONCATENATE(ORÇAMENTO.Fonte," ",ORÇAMENTO.CodBarra)))</f>
        <v>SINAPI 89848</v>
      </c>
      <c r="AF67" s="13"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04-2026.xlsm)</v>
      </c>
      <c r="AG67" s="453">
        <f ca="1">ROUND(IF(DESONERACAO="sim",REFERENCIA.Desonerado,REFERENCIA.NaoDesonerado),2)</f>
        <v>0</v>
      </c>
      <c r="AH67" s="454">
        <f t="shared" ca="1" si="43"/>
        <v>0.26329999999999998</v>
      </c>
      <c r="AJ67" s="456"/>
      <c r="AL67" s="471"/>
      <c r="AM67" s="348">
        <f t="shared" ca="1" si="44"/>
        <v>0</v>
      </c>
      <c r="AN67" s="504">
        <f t="shared" ca="1" si="45"/>
        <v>0</v>
      </c>
    </row>
    <row r="68" spans="1:40" x14ac:dyDescent="0.2">
      <c r="A68">
        <f t="shared" si="30"/>
        <v>2</v>
      </c>
      <c r="B68">
        <f t="shared" ca="1" si="31"/>
        <v>2</v>
      </c>
      <c r="C68">
        <f t="shared" ca="1" si="32"/>
        <v>2</v>
      </c>
      <c r="D68">
        <f t="shared" ca="1" si="33"/>
        <v>3</v>
      </c>
      <c r="E68">
        <f ca="1">IF($C68=1,OFFSET(E68,-1,0)+MAX(1,COUNTIF(QCI!$A$13:$A$24,OFFSET(ORÇAMENTO!E68,-1,0))),OFFSET(E68,-1,0))</f>
        <v>2</v>
      </c>
      <c r="F68">
        <f t="shared" ca="1" si="34"/>
        <v>7</v>
      </c>
      <c r="G68">
        <f t="shared" ca="1" si="35"/>
        <v>0</v>
      </c>
      <c r="H68">
        <f t="shared" ca="1" si="36"/>
        <v>0</v>
      </c>
      <c r="I68">
        <f t="shared" ca="1" si="37"/>
        <v>0</v>
      </c>
      <c r="J68">
        <f t="shared" ca="1" si="18"/>
        <v>21</v>
      </c>
      <c r="K68">
        <f ca="1">IF(OR($C68="S",$C68=0),0,MATCH(OFFSET($D68,0,$C68)+IF($C68&lt;&gt;1,1,COUNTIF(QCI!$A$13:$A$24,ORÇAMENTO!E68)),OFFSET($D68,1,$C68,ROW($C$89)-ROW($C68)),0))</f>
        <v>3</v>
      </c>
      <c r="L68" s="116" t="str">
        <f t="shared" ca="1" si="38"/>
        <v>F</v>
      </c>
      <c r="M68" s="117" t="s">
        <v>194</v>
      </c>
      <c r="N68" s="118" t="str">
        <f t="shared" ca="1" si="39"/>
        <v>Nível 2</v>
      </c>
      <c r="O68" s="119" t="str">
        <f t="shared" ca="1" si="40"/>
        <v>2.7.</v>
      </c>
      <c r="P68" s="120" t="s">
        <v>245</v>
      </c>
      <c r="Q68" s="121" t="s">
        <v>1024</v>
      </c>
      <c r="R68" s="122" t="s">
        <v>1064</v>
      </c>
      <c r="S68" s="123" t="str">
        <f ca="1">REFERENCIA.Unidade</f>
        <v>-</v>
      </c>
      <c r="T68" s="124">
        <f ca="1">OFFSET(CÁLCULO!H$15,ROW($T68)-ROW(T$15),0)</f>
        <v>0</v>
      </c>
      <c r="U68" s="125">
        <f t="shared" ref="U68:U88" ca="1" si="46">AG68</f>
        <v>0</v>
      </c>
      <c r="V68" s="126" t="s">
        <v>155</v>
      </c>
      <c r="W68" s="124">
        <f ca="1">IF($C68="S",ROUND(IF(TIPOORCAMENTO="Proposto",ORÇAMENTO.CustoUnitario*(1+$AH68),ORÇAMENTO.PrecoUnitarioLicitado),15-13*$AF$10),0)</f>
        <v>0</v>
      </c>
      <c r="X68" s="127">
        <f ca="1">IF($C68="S",IF(OR(Import.TipoArredondamento&lt;&gt;"TransfereGOV",ACOMPANHAMENTO="BM"),VTOTAL1,SUM(OFFSET(CÁLCULO!$AA$15,ROW($X68)-ROW($X$15),1):OFFSET(CÁLCULO!$AL$15,ROW($X68)-ROW($X$15),-1))),IF($C68=0,0,ROUND(SomaAgrup,15-13*$AF$11)))</f>
        <v>0</v>
      </c>
      <c r="Y68" s="128" t="s">
        <v>243</v>
      </c>
      <c r="Z68" t="str">
        <f t="shared" ca="1" si="41"/>
        <v/>
      </c>
      <c r="AA68" s="129">
        <f ca="1">IF($C68="S",IF($Z68="CP",$X68,IF($Z68="RA",(($X68)*QCI!$AA$3),0)),SomaAgrup)</f>
        <v>0</v>
      </c>
      <c r="AB68" s="130">
        <f t="shared" ca="1" si="42"/>
        <v>0</v>
      </c>
      <c r="AC68" s="619" t="str">
        <f ca="1">IF($N68=""," ",
IF(AND($C68="S",OR($Q68&lt;&gt;0,$T68&gt;0,$U68&gt;0),$P68=0),"FONTE",
IF(AND($C68="S",$P68&lt;&gt;0,OR($T68&gt;0,$U68&gt;0),$Q68=0),"CÓDIGO",
IF(AND(OR($R68="",$R68="(digite a descrição aqui)"),OR($C68&lt;&gt;"S",AND($C68="S",OR($Q68&lt;&gt;0,$T68&gt;0,$U68&gt;0)))),"DESCRIÇÃO",
IF(AND($C68="S",$P68&lt;&gt;0,$Q68&lt;&gt;0,$S68=""),"UNIDADE",
IF(AND($C68="S",$P68&lt;&gt;0,$Q68&lt;&gt;0,$U68=0),"SEM CUSTO",
IF(AND(TIPOORCAMENTO="Licitado",$AL68=0,$AN68&gt;0),"SEM PREÇO",
IF(AND($C68="S",$P68&lt;&gt;0,$Q68&lt;&gt;0,$U68&gt;0,$V68=0),"BDI",
IF(OR(AND(TIPOORCAMENTO="Proposto",$AG68&lt;&gt;"",$AG68&gt;0,ORÇAMENTO.CustoUnitario&gt;$AG68),AND(TIPOORCAMENTO="LICITADO",ORÇAMENTO.PrecoUnitarioLicitado&gt;$AN68)),"ACIMA REF.",
IF(AND($C68="S",$P68&lt;&gt;0,$Q68&lt;&gt;0,$T68=0,$U68&gt;0),"QUANT.",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f ca="1">IF(C68&lt;=CRONO.NivelExibicao,MAX($AD$15:OFFSET(AD68,-1,0))+IF($C68&lt;&gt;1,1,MAX(1,COUNTIF(QCI!$A$13:$A$24,OFFSET($E68,-1,0)))),"")</f>
        <v>11</v>
      </c>
      <c r="AE68" s="7" t="b">
        <f ca="1">IF(AND($C68="S",ORÇAMENTO.CodBarra&lt;&gt;""),IF(ORÇAMENTO.Fonte="",ORÇAMENTO.CodBarra,CONCATENATE(ORÇAMENTO.Fonte," ",ORÇAMENTO.CodBarra)))</f>
        <v>0</v>
      </c>
      <c r="AF68" s="13"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04-2026.xlsm)</v>
      </c>
      <c r="AG68" s="453">
        <f ca="1">ROUND(IF(DESONERACAO="sim",REFERENCIA.Desonerado,REFERENCIA.NaoDesonerado),2)</f>
        <v>0</v>
      </c>
      <c r="AH68" s="454">
        <f t="shared" ca="1" si="43"/>
        <v>0.26329999999999998</v>
      </c>
      <c r="AJ68" s="456"/>
      <c r="AL68" s="471"/>
      <c r="AM68" s="348">
        <f t="shared" ca="1" si="44"/>
        <v>0</v>
      </c>
      <c r="AN68" s="504">
        <f t="shared" ca="1" si="45"/>
        <v>0</v>
      </c>
    </row>
    <row r="69" spans="1:40" ht="38.25" x14ac:dyDescent="0.2">
      <c r="A69" t="str">
        <f t="shared" si="30"/>
        <v>S</v>
      </c>
      <c r="B69">
        <f t="shared" ca="1" si="31"/>
        <v>2</v>
      </c>
      <c r="C69" t="str">
        <f t="shared" ca="1" si="32"/>
        <v>S</v>
      </c>
      <c r="D69">
        <f t="shared" ca="1" si="33"/>
        <v>0</v>
      </c>
      <c r="E69">
        <f ca="1">IF($C69=1,OFFSET(E69,-1,0)+MAX(1,COUNTIF(QCI!$A$13:$A$24,OFFSET(ORÇAMENTO!E69,-1,0))),OFFSET(E69,-1,0))</f>
        <v>2</v>
      </c>
      <c r="F69">
        <f t="shared" ca="1" si="34"/>
        <v>7</v>
      </c>
      <c r="G69">
        <f t="shared" ca="1" si="35"/>
        <v>0</v>
      </c>
      <c r="H69">
        <f t="shared" ca="1" si="36"/>
        <v>0</v>
      </c>
      <c r="I69">
        <f t="shared" ca="1" si="37"/>
        <v>0</v>
      </c>
      <c r="J69">
        <f t="shared" ca="1" si="18"/>
        <v>0</v>
      </c>
      <c r="K69">
        <f ca="1">IF(OR($C69="S",$C69=0),0,MATCH(OFFSET($D69,0,$C69)+IF($C69&lt;&gt;1,1,COUNTIF(QCI!$A$13:$A$24,ORÇAMENTO!E69)),OFFSET($D69,1,$C69,ROW($C$89)-ROW($C69)),0))</f>
        <v>0</v>
      </c>
      <c r="L69" s="116" t="str">
        <f t="shared" ca="1" si="38"/>
        <v/>
      </c>
      <c r="M69" s="117" t="s">
        <v>197</v>
      </c>
      <c r="N69" s="118" t="str">
        <f t="shared" ca="1" si="39"/>
        <v>Serviço</v>
      </c>
      <c r="O69" s="119" t="str">
        <f t="shared" ca="1" si="40"/>
        <v>-</v>
      </c>
      <c r="P69" s="120" t="s">
        <v>955</v>
      </c>
      <c r="Q69" s="121" t="s">
        <v>1025</v>
      </c>
      <c r="R69" s="122" t="str">
        <f ca="1">IF($C69="S",REFERENCIA.Descricao,"(digite a descrição aqui)")</f>
        <v>(abra o arquivo 'Referência 04-2026.xlsm)</v>
      </c>
      <c r="S69" s="123" t="str">
        <f ca="1">REFERENCIA.Unidade</f>
        <v>-</v>
      </c>
      <c r="T69" s="124">
        <f ca="1">OFFSET(CÁLCULO!H$15,ROW($T69)-ROW(T$15),0)</f>
        <v>0.88</v>
      </c>
      <c r="U69" s="125">
        <f t="shared" ca="1" si="46"/>
        <v>0</v>
      </c>
      <c r="V69" s="126" t="s">
        <v>155</v>
      </c>
      <c r="W69" s="124">
        <f ca="1">IF($C69="S",ROUND(IF(TIPOORCAMENTO="Proposto",ORÇAMENTO.CustoUnitario*(1+$AH69),ORÇAMENTO.PrecoUnitarioLicitado),15-13*$AF$10),0)</f>
        <v>0</v>
      </c>
      <c r="X69" s="127">
        <f ca="1">IF($C69="S",IF(OR(Import.TipoArredondamento&lt;&gt;"TransfereGOV",ACOMPANHAMENTO="BM"),VTOTAL1,SUM(OFFSET(CÁLCULO!$AA$15,ROW($X69)-ROW($X$15),1):OFFSET(CÁLCULO!$AL$15,ROW($X69)-ROW($X$15),-1))),IF($C69=0,0,ROUND(SomaAgrup,15-13*$AF$11)))</f>
        <v>0</v>
      </c>
      <c r="Y69" s="128" t="s">
        <v>243</v>
      </c>
      <c r="Z69" t="str">
        <f t="shared" ca="1" si="41"/>
        <v/>
      </c>
      <c r="AA69" s="129">
        <f ca="1">IF($C69="S",IF($Z69="CP",$X69,IF($Z69="RA",(($X69)*QCI!$AA$3),0)),SomaAgrup)</f>
        <v>0</v>
      </c>
      <c r="AB69" s="130">
        <f t="shared" ca="1" si="42"/>
        <v>0</v>
      </c>
      <c r="AC69" s="619" t="str">
        <f ca="1">IF($N69=""," ",
IF(AND($C69="S",OR($Q69&lt;&gt;0,$T69&gt;0,$U69&gt;0),$P69=0),"FONTE",
IF(AND($C69="S",$P69&lt;&gt;0,OR($T69&gt;0,$U69&gt;0),$Q69=0),"CÓDIGO",
IF(AND(OR($R69="",$R69="(digite a descrição aqui)"),OR($C69&lt;&gt;"S",AND($C69="S",OR($Q69&lt;&gt;0,$T69&gt;0,$U69&gt;0)))),"DESCRIÇÃO",
IF(AND($C69="S",$P69&lt;&gt;0,$Q69&lt;&gt;0,$S69=""),"UNIDADE",
IF(AND($C69="S",$P69&lt;&gt;0,$Q69&lt;&gt;0,$U69=0),"SEM CUSTO",
IF(AND(TIPOORCAMENTO="Licitado",$AL69=0,$AN69&gt;0),"SEM PREÇO",
IF(AND($C69="S",$P69&lt;&gt;0,$Q69&lt;&gt;0,$U69&gt;0,$V69=0),"BDI",
IF(OR(AND(TIPOORCAMENTO="Proposto",$AG69&lt;&gt;"",$AG69&gt;0,ORÇAMENTO.CustoUnitario&gt;$AG69),AND(TIPOORCAMENTO="LICITADO",ORÇAMENTO.PrecoUnitarioLicitado&gt;$AN69)),"ACIMA REF.",
IF(AND($C69="S",$P69&lt;&gt;0,$Q69&lt;&gt;0,$T69=0,$U69&gt;0),"QUANT.",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SEM CUSTO</v>
      </c>
      <c r="AD69" t="str">
        <f ca="1">IF(C69&lt;=CRONO.NivelExibicao,MAX($AD$15:OFFSET(AD69,-1,0))+IF($C69&lt;&gt;1,1,MAX(1,COUNTIF(QCI!$A$13:$A$24,OFFSET($E69,-1,0)))),"")</f>
        <v/>
      </c>
      <c r="AE69" s="7" t="str">
        <f ca="1">IF(AND($C69="S",ORÇAMENTO.CodBarra&lt;&gt;""),IF(ORÇAMENTO.Fonte="",ORÇAMENTO.CodBarra,CONCATENATE(ORÇAMENTO.Fonte," ",ORÇAMENTO.CodBarra)))</f>
        <v>SINAPI-I 11692</v>
      </c>
      <c r="AF69" s="13"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04-2026.xlsm)</v>
      </c>
      <c r="AG69" s="453">
        <f ca="1">ROUND(IF(DESONERACAO="sim",REFERENCIA.Desonerado,REFERENCIA.NaoDesonerado),2)</f>
        <v>0</v>
      </c>
      <c r="AH69" s="454">
        <f t="shared" ca="1" si="43"/>
        <v>0.26329999999999998</v>
      </c>
      <c r="AJ69" s="456"/>
      <c r="AL69" s="471"/>
      <c r="AM69" s="348">
        <f t="shared" ca="1" si="44"/>
        <v>0</v>
      </c>
      <c r="AN69" s="504">
        <f t="shared" ca="1" si="45"/>
        <v>0</v>
      </c>
    </row>
    <row r="70" spans="1:40" ht="38.25" x14ac:dyDescent="0.2">
      <c r="A70" t="str">
        <f t="shared" si="30"/>
        <v>S</v>
      </c>
      <c r="B70">
        <f t="shared" ca="1" si="31"/>
        <v>2</v>
      </c>
      <c r="C70" t="str">
        <f t="shared" ca="1" si="32"/>
        <v>S</v>
      </c>
      <c r="D70">
        <f t="shared" ca="1" si="33"/>
        <v>0</v>
      </c>
      <c r="E70">
        <f ca="1">IF($C70=1,OFFSET(E70,-1,0)+MAX(1,COUNTIF(QCI!$A$13:$A$24,OFFSET(ORÇAMENTO!E70,-1,0))),OFFSET(E70,-1,0))</f>
        <v>2</v>
      </c>
      <c r="F70">
        <f t="shared" ca="1" si="34"/>
        <v>7</v>
      </c>
      <c r="G70">
        <f t="shared" ca="1" si="35"/>
        <v>0</v>
      </c>
      <c r="H70">
        <f t="shared" ca="1" si="36"/>
        <v>0</v>
      </c>
      <c r="I70">
        <f t="shared" ca="1" si="37"/>
        <v>0</v>
      </c>
      <c r="J70">
        <f t="shared" ca="1" si="18"/>
        <v>0</v>
      </c>
      <c r="K70">
        <f ca="1">IF(OR($C70="S",$C70=0),0,MATCH(OFFSET($D70,0,$C70)+IF($C70&lt;&gt;1,1,COUNTIF(QCI!$A$13:$A$24,ORÇAMENTO!E70)),OFFSET($D70,1,$C70,ROW($C$89)-ROW($C70)),0))</f>
        <v>0</v>
      </c>
      <c r="L70" s="116" t="str">
        <f t="shared" ca="1" si="38"/>
        <v/>
      </c>
      <c r="M70" s="117" t="s">
        <v>197</v>
      </c>
      <c r="N70" s="118" t="str">
        <f t="shared" ca="1" si="39"/>
        <v>Serviço</v>
      </c>
      <c r="O70" s="119" t="str">
        <f t="shared" ca="1" si="40"/>
        <v>-</v>
      </c>
      <c r="P70" s="120" t="s">
        <v>939</v>
      </c>
      <c r="Q70" s="121" t="s">
        <v>1026</v>
      </c>
      <c r="R70" s="122" t="str">
        <f ca="1">IF($C70="S",REFERENCIA.Descricao,"(digite a descrição aqui)")</f>
        <v>(abra o arquivo 'Referência 04-2026.xlsm)</v>
      </c>
      <c r="S70" s="123" t="str">
        <f ca="1">REFERENCIA.Unidade</f>
        <v>-</v>
      </c>
      <c r="T70" s="124">
        <f ca="1">OFFSET(CÁLCULO!H$15,ROW($T70)-ROW(T$15),0)</f>
        <v>2.2999999999999998</v>
      </c>
      <c r="U70" s="125">
        <f t="shared" ca="1" si="46"/>
        <v>0</v>
      </c>
      <c r="V70" s="126" t="s">
        <v>155</v>
      </c>
      <c r="W70" s="124">
        <f ca="1">IF($C70="S",ROUND(IF(TIPOORCAMENTO="Proposto",ORÇAMENTO.CustoUnitario*(1+$AH70),ORÇAMENTO.PrecoUnitarioLicitado),15-13*$AF$10),0)</f>
        <v>0</v>
      </c>
      <c r="X70" s="127">
        <f ca="1">IF($C70="S",IF(OR(Import.TipoArredondamento&lt;&gt;"TransfereGOV",ACOMPANHAMENTO="BM"),VTOTAL1,SUM(OFFSET(CÁLCULO!$AA$15,ROW($X70)-ROW($X$15),1):OFFSET(CÁLCULO!$AL$15,ROW($X70)-ROW($X$15),-1))),IF($C70=0,0,ROUND(SomaAgrup,15-13*$AF$11)))</f>
        <v>0</v>
      </c>
      <c r="Y70" s="128" t="s">
        <v>243</v>
      </c>
      <c r="Z70" t="str">
        <f t="shared" ca="1" si="41"/>
        <v/>
      </c>
      <c r="AA70" s="129">
        <f ca="1">IF($C70="S",IF($Z70="CP",$X70,IF($Z70="RA",(($X70)*QCI!$AA$3),0)),SomaAgrup)</f>
        <v>0</v>
      </c>
      <c r="AB70" s="130">
        <f t="shared" ca="1" si="42"/>
        <v>0</v>
      </c>
      <c r="AC70" s="619" t="str">
        <f ca="1">IF($N70=""," ",
IF(AND($C70="S",OR($Q70&lt;&gt;0,$T70&gt;0,$U70&gt;0),$P70=0),"FONTE",
IF(AND($C70="S",$P70&lt;&gt;0,OR($T70&gt;0,$U70&gt;0),$Q70=0),"CÓDIGO",
IF(AND(OR($R70="",$R70="(digite a descrição aqui)"),OR($C70&lt;&gt;"S",AND($C70="S",OR($Q70&lt;&gt;0,$T70&gt;0,$U70&gt;0)))),"DESCRIÇÃO",
IF(AND($C70="S",$P70&lt;&gt;0,$Q70&lt;&gt;0,$S70=""),"UNIDADE",
IF(AND($C70="S",$P70&lt;&gt;0,$Q70&lt;&gt;0,$U70=0),"SEM CUSTO",
IF(AND(TIPOORCAMENTO="Licitado",$AL70=0,$AN70&gt;0),"SEM PREÇO",
IF(AND($C70="S",$P70&lt;&gt;0,$Q70&lt;&gt;0,$U70&gt;0,$V70=0),"BDI",
IF(OR(AND(TIPOORCAMENTO="Proposto",$AG70&lt;&gt;"",$AG70&gt;0,ORÇAMENTO.CustoUnitario&gt;$AG70),AND(TIPOORCAMENTO="LICITADO",ORÇAMENTO.PrecoUnitarioLicitado&gt;$AN70)),"ACIMA REF.",
IF(AND($C70="S",$P70&lt;&gt;0,$Q70&lt;&gt;0,$T70=0,$U70&gt;0),"QUANT.",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SEM CUSTO</v>
      </c>
      <c r="AD70" t="str">
        <f ca="1">IF(C70&lt;=CRONO.NivelExibicao,MAX($AD$15:OFFSET(AD70,-1,0))+IF($C70&lt;&gt;1,1,MAX(1,COUNTIF(QCI!$A$13:$A$24,OFFSET($E70,-1,0)))),"")</f>
        <v/>
      </c>
      <c r="AE70" s="7" t="str">
        <f ca="1">IF(AND($C70="S",ORÇAMENTO.CodBarra&lt;&gt;""),IF(ORÇAMENTO.Fonte="",ORÇAMENTO.CodBarra,CONCATENATE(ORÇAMENTO.Fonte," ",ORÇAMENTO.CodBarra)))</f>
        <v>Composição COMP-05</v>
      </c>
      <c r="AF70" s="13"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04-2026.xlsm)</v>
      </c>
      <c r="AG70" s="453">
        <f ca="1">ROUND(IF(DESONERACAO="sim",REFERENCIA.Desonerado,REFERENCIA.NaoDesonerado),2)</f>
        <v>0</v>
      </c>
      <c r="AH70" s="454">
        <f t="shared" ca="1" si="43"/>
        <v>0.26329999999999998</v>
      </c>
      <c r="AJ70" s="456"/>
      <c r="AL70" s="471"/>
      <c r="AM70" s="348">
        <f t="shared" ca="1" si="44"/>
        <v>0</v>
      </c>
      <c r="AN70" s="504">
        <f t="shared" ca="1" si="45"/>
        <v>0</v>
      </c>
    </row>
    <row r="71" spans="1:40" x14ac:dyDescent="0.2">
      <c r="A71">
        <f t="shared" si="30"/>
        <v>2</v>
      </c>
      <c r="B71">
        <f t="shared" ca="1" si="31"/>
        <v>2</v>
      </c>
      <c r="C71">
        <f t="shared" ca="1" si="32"/>
        <v>2</v>
      </c>
      <c r="D71">
        <f t="shared" ca="1" si="33"/>
        <v>18</v>
      </c>
      <c r="E71">
        <f ca="1">IF($C71=1,OFFSET(E71,-1,0)+MAX(1,COUNTIF(QCI!$A$13:$A$24,OFFSET(ORÇAMENTO!E71,-1,0))),OFFSET(E71,-1,0))</f>
        <v>2</v>
      </c>
      <c r="F71">
        <f t="shared" ca="1" si="34"/>
        <v>8</v>
      </c>
      <c r="G71">
        <f t="shared" ca="1" si="35"/>
        <v>0</v>
      </c>
      <c r="H71">
        <f t="shared" ca="1" si="36"/>
        <v>0</v>
      </c>
      <c r="I71">
        <f t="shared" ca="1" si="37"/>
        <v>0</v>
      </c>
      <c r="J71">
        <f t="shared" ca="1" si="18"/>
        <v>18</v>
      </c>
      <c r="K71" t="e">
        <f ca="1">IF(OR($C71="S",$C71=0),0,MATCH(OFFSET($D71,0,$C71)+IF($C71&lt;&gt;1,1,COUNTIF(QCI!$A$13:$A$24,ORÇAMENTO!E71)),OFFSET($D71,1,$C71,ROW($C$89)-ROW($C71)),0))</f>
        <v>#N/A</v>
      </c>
      <c r="L71" s="116" t="str">
        <f t="shared" ca="1" si="38"/>
        <v>F</v>
      </c>
      <c r="M71" s="117" t="s">
        <v>194</v>
      </c>
      <c r="N71" s="118" t="str">
        <f t="shared" ca="1" si="39"/>
        <v>Nível 2</v>
      </c>
      <c r="O71" s="119" t="str">
        <f t="shared" ca="1" si="40"/>
        <v>2.8.</v>
      </c>
      <c r="P71" s="120" t="s">
        <v>245</v>
      </c>
      <c r="Q71" s="121"/>
      <c r="R71" s="122" t="s">
        <v>1027</v>
      </c>
      <c r="S71" s="123" t="str">
        <f ca="1">REFERENCIA.Unidade</f>
        <v>-</v>
      </c>
      <c r="T71" s="124">
        <f ca="1">OFFSET(CÁLCULO!H$15,ROW($T71)-ROW(T$15),0)</f>
        <v>0</v>
      </c>
      <c r="U71" s="125">
        <f t="shared" ca="1" si="46"/>
        <v>0</v>
      </c>
      <c r="V71" s="126" t="s">
        <v>155</v>
      </c>
      <c r="W71" s="124">
        <f ca="1">IF($C71="S",ROUND(IF(TIPOORCAMENTO="Proposto",ORÇAMENTO.CustoUnitario*(1+$AH71),ORÇAMENTO.PrecoUnitarioLicitado),15-13*$AF$10),0)</f>
        <v>0</v>
      </c>
      <c r="X71" s="127">
        <f ca="1">IF($C71="S",IF(OR(Import.TipoArredondamento&lt;&gt;"TransfereGOV",ACOMPANHAMENTO="BM"),VTOTAL1,SUM(OFFSET(CÁLCULO!$AA$15,ROW($X71)-ROW($X$15),1):OFFSET(CÁLCULO!$AL$15,ROW($X71)-ROW($X$15),-1))),IF($C71=0,0,ROUND(SomaAgrup,15-13*$AF$11)))</f>
        <v>0</v>
      </c>
      <c r="Y71" s="128" t="s">
        <v>243</v>
      </c>
      <c r="Z71" t="str">
        <f t="shared" ca="1" si="41"/>
        <v/>
      </c>
      <c r="AA71" s="129">
        <f ca="1">IF($C71="S",IF($Z71="CP",$X71,IF($Z71="RA",(($X71)*QCI!$AA$3),0)),SomaAgrup)</f>
        <v>0</v>
      </c>
      <c r="AB71" s="130">
        <f t="shared" ca="1" si="42"/>
        <v>0</v>
      </c>
      <c r="AC71" s="619" t="str">
        <f ca="1">IF($N71=""," ",
IF(AND($C71="S",OR($Q71&lt;&gt;0,$T71&gt;0,$U71&gt;0),$P71=0),"FONTE",
IF(AND($C71="S",$P71&lt;&gt;0,OR($T71&gt;0,$U71&gt;0),$Q71=0),"CÓDIGO",
IF(AND(OR($R71="",$R71="(digite a descrição aqui)"),OR($C71&lt;&gt;"S",AND($C71="S",OR($Q71&lt;&gt;0,$T71&gt;0,$U71&gt;0)))),"DESCRIÇÃO",
IF(AND($C71="S",$P71&lt;&gt;0,$Q71&lt;&gt;0,$S71=""),"UNIDADE",
IF(AND($C71="S",$P71&lt;&gt;0,$Q71&lt;&gt;0,$U71=0),"SEM CUSTO",
IF(AND(TIPOORCAMENTO="Licitado",$AL71=0,$AN71&gt;0),"SEM PREÇO",
IF(AND($C71="S",$P71&lt;&gt;0,$Q71&lt;&gt;0,$U71&gt;0,$V71=0),"BDI",
IF(OR(AND(TIPOORCAMENTO="Proposto",$AG71&lt;&gt;"",$AG71&gt;0,ORÇAMENTO.CustoUnitario&gt;$AG71),AND(TIPOORCAMENTO="LICITADO",ORÇAMENTO.PrecoUnitarioLicitado&gt;$AN71)),"ACIMA REF.",
IF(AND($C71="S",$P71&lt;&gt;0,$Q71&lt;&gt;0,$T71=0,$U71&gt;0),"QUANT.",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f ca="1">IF(C71&lt;=CRONO.NivelExibicao,MAX($AD$15:OFFSET(AD71,-1,0))+IF($C71&lt;&gt;1,1,MAX(1,COUNTIF(QCI!$A$13:$A$24,OFFSET($E71,-1,0)))),"")</f>
        <v>12</v>
      </c>
      <c r="AE71" s="7" t="b">
        <f ca="1">IF(AND($C71="S",ORÇAMENTO.CodBarra&lt;&gt;""),IF(ORÇAMENTO.Fonte="",ORÇAMENTO.CodBarra,CONCATENATE(ORÇAMENTO.Fonte," ",ORÇAMENTO.CodBarra)))</f>
        <v>0</v>
      </c>
      <c r="AF71" s="13"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04-2026.xlsm)</v>
      </c>
      <c r="AG71" s="453">
        <f ca="1">ROUND(IF(DESONERACAO="sim",REFERENCIA.Desonerado,REFERENCIA.NaoDesonerado),2)</f>
        <v>0</v>
      </c>
      <c r="AH71" s="454">
        <f t="shared" ca="1" si="43"/>
        <v>0.26329999999999998</v>
      </c>
      <c r="AJ71" s="456"/>
      <c r="AL71" s="471"/>
      <c r="AM71" s="348">
        <f t="shared" ca="1" si="44"/>
        <v>0</v>
      </c>
      <c r="AN71" s="504">
        <f t="shared" ca="1" si="45"/>
        <v>0</v>
      </c>
    </row>
    <row r="72" spans="1:40" x14ac:dyDescent="0.2">
      <c r="A72" t="str">
        <f t="shared" si="30"/>
        <v>S</v>
      </c>
      <c r="B72">
        <f t="shared" ca="1" si="31"/>
        <v>2</v>
      </c>
      <c r="C72" t="str">
        <f t="shared" ca="1" si="32"/>
        <v>S</v>
      </c>
      <c r="D72">
        <f t="shared" ca="1" si="33"/>
        <v>0</v>
      </c>
      <c r="E72">
        <f ca="1">IF($C72=1,OFFSET(E72,-1,0)+MAX(1,COUNTIF(QCI!$A$13:$A$24,OFFSET(ORÇAMENTO!E72,-1,0))),OFFSET(E72,-1,0))</f>
        <v>2</v>
      </c>
      <c r="F72">
        <f t="shared" ca="1" si="34"/>
        <v>8</v>
      </c>
      <c r="G72">
        <f t="shared" ca="1" si="35"/>
        <v>0</v>
      </c>
      <c r="H72">
        <f t="shared" ca="1" si="36"/>
        <v>0</v>
      </c>
      <c r="I72">
        <f t="shared" ca="1" si="37"/>
        <v>0</v>
      </c>
      <c r="J72">
        <f t="shared" ca="1" si="18"/>
        <v>0</v>
      </c>
      <c r="K72">
        <f ca="1">IF(OR($C72="S",$C72=0),0,MATCH(OFFSET($D72,0,$C72)+IF($C72&lt;&gt;1,1,COUNTIF(QCI!$A$13:$A$24,ORÇAMENTO!E72)),OFFSET($D72,1,$C72,ROW($C$89)-ROW($C72)),0))</f>
        <v>0</v>
      </c>
      <c r="L72" s="116" t="str">
        <f t="shared" ca="1" si="38"/>
        <v/>
      </c>
      <c r="M72" s="117" t="s">
        <v>197</v>
      </c>
      <c r="N72" s="118" t="str">
        <f t="shared" ca="1" si="39"/>
        <v>Serviço</v>
      </c>
      <c r="O72" s="119" t="str">
        <f t="shared" ca="1" si="40"/>
        <v>-</v>
      </c>
      <c r="P72" s="120" t="s">
        <v>955</v>
      </c>
      <c r="Q72" s="121" t="s">
        <v>1028</v>
      </c>
      <c r="R72" s="122" t="str">
        <f ca="1">IF($C72="S",REFERENCIA.Descricao,"(digite a descrição aqui)")</f>
        <v>(abra o arquivo 'Referência 04-2026.xlsm)</v>
      </c>
      <c r="S72" s="123" t="str">
        <f ca="1">REFERENCIA.Unidade</f>
        <v>-</v>
      </c>
      <c r="T72" s="124">
        <f ca="1">OFFSET(CÁLCULO!H$15,ROW($T72)-ROW(T$15),0)</f>
        <v>13</v>
      </c>
      <c r="U72" s="125">
        <f t="shared" ca="1" si="46"/>
        <v>0</v>
      </c>
      <c r="V72" s="126" t="s">
        <v>155</v>
      </c>
      <c r="W72" s="124">
        <f ca="1">IF($C72="S",ROUND(IF(TIPOORCAMENTO="Proposto",ORÇAMENTO.CustoUnitario*(1+$AH72),ORÇAMENTO.PrecoUnitarioLicitado),15-13*$AF$10),0)</f>
        <v>0</v>
      </c>
      <c r="X72" s="127">
        <f ca="1">IF($C72="S",IF(OR(Import.TipoArredondamento&lt;&gt;"TransfereGOV",ACOMPANHAMENTO="BM"),VTOTAL1,SUM(OFFSET(CÁLCULO!$AA$15,ROW($X72)-ROW($X$15),1):OFFSET(CÁLCULO!$AL$15,ROW($X72)-ROW($X$15),-1))),IF($C72=0,0,ROUND(SomaAgrup,15-13*$AF$11)))</f>
        <v>0</v>
      </c>
      <c r="Y72" s="128" t="s">
        <v>243</v>
      </c>
      <c r="Z72" t="str">
        <f t="shared" ca="1" si="41"/>
        <v/>
      </c>
      <c r="AA72" s="129">
        <f ca="1">IF($C72="S",IF($Z72="CP",$X72,IF($Z72="RA",(($X72)*QCI!$AA$3),0)),SomaAgrup)</f>
        <v>0</v>
      </c>
      <c r="AB72" s="130">
        <f t="shared" ca="1" si="42"/>
        <v>0</v>
      </c>
      <c r="AC72" s="619" t="str">
        <f ca="1">IF($N72=""," ",
IF(AND($C72="S",OR($Q72&lt;&gt;0,$T72&gt;0,$U72&gt;0),$P72=0),"FONTE",
IF(AND($C72="S",$P72&lt;&gt;0,OR($T72&gt;0,$U72&gt;0),$Q72=0),"CÓDIGO",
IF(AND(OR($R72="",$R72="(digite a descrição aqui)"),OR($C72&lt;&gt;"S",AND($C72="S",OR($Q72&lt;&gt;0,$T72&gt;0,$U72&gt;0)))),"DESCRIÇÃO",
IF(AND($C72="S",$P72&lt;&gt;0,$Q72&lt;&gt;0,$S72=""),"UNIDADE",
IF(AND($C72="S",$P72&lt;&gt;0,$Q72&lt;&gt;0,$U72=0),"SEM CUSTO",
IF(AND(TIPOORCAMENTO="Licitado",$AL72=0,$AN72&gt;0),"SEM PREÇO",
IF(AND($C72="S",$P72&lt;&gt;0,$Q72&lt;&gt;0,$U72&gt;0,$V72=0),"BDI",
IF(OR(AND(TIPOORCAMENTO="Proposto",$AG72&lt;&gt;"",$AG72&gt;0,ORÇAMENTO.CustoUnitario&gt;$AG72),AND(TIPOORCAMENTO="LICITADO",ORÇAMENTO.PrecoUnitarioLicitado&gt;$AN72)),"ACIMA REF.",
IF(AND($C72="S",$P72&lt;&gt;0,$Q72&lt;&gt;0,$T72=0,$U72&gt;0),"QUANT.",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SEM CUSTO</v>
      </c>
      <c r="AD72" t="str">
        <f ca="1">IF(C72&lt;=CRONO.NivelExibicao,MAX($AD$15:OFFSET(AD72,-1,0))+IF($C72&lt;&gt;1,1,MAX(1,COUNTIF(QCI!$A$13:$A$24,OFFSET($E72,-1,0)))),"")</f>
        <v/>
      </c>
      <c r="AE72" s="7" t="str">
        <f ca="1">IF(AND($C72="S",ORÇAMENTO.CodBarra&lt;&gt;""),IF(ORÇAMENTO.Fonte="",ORÇAMENTO.CodBarra,CONCATENATE(ORÇAMENTO.Fonte," ",ORÇAMENTO.CodBarra)))</f>
        <v>SINAPI-I 11945</v>
      </c>
      <c r="AF72" s="13"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04-2026.xlsm)</v>
      </c>
      <c r="AG72" s="453">
        <f ca="1">ROUND(IF(DESONERACAO="sim",REFERENCIA.Desonerado,REFERENCIA.NaoDesonerado),2)</f>
        <v>0</v>
      </c>
      <c r="AH72" s="454">
        <f t="shared" ca="1" si="43"/>
        <v>0.26329999999999998</v>
      </c>
      <c r="AJ72" s="456"/>
      <c r="AL72" s="471"/>
      <c r="AM72" s="348">
        <f t="shared" ca="1" si="44"/>
        <v>0</v>
      </c>
      <c r="AN72" s="504">
        <f t="shared" ca="1" si="45"/>
        <v>0</v>
      </c>
    </row>
    <row r="73" spans="1:40" ht="25.5" x14ac:dyDescent="0.2">
      <c r="A73" t="str">
        <f>CHOOSE(1+LOG(1+2*(ORÇAMENTO.Nivel="Meta")+4*(ORÇAMENTO.Nivel="Nível 2")+8*(ORÇAMENTO.Nivel="Nível 3")+16*(ORÇAMENTO.Nivel="Nível 4")+32*(ORÇAMENTO.Nivel="Serviço"),2),0,1,2,3,4,"S")</f>
        <v>S</v>
      </c>
      <c r="B73">
        <f ca="1">IF(OR(C73="s",C73=0),OFFSET(B73,-1,0),C73)</f>
        <v>2</v>
      </c>
      <c r="C73" t="str">
        <f ca="1">IF(OFFSET(C73,-1,0)="L",1,IF(OFFSET(C73,-1,0)=1,2,IF(OR(A73="s",A73=0),"S",IF(AND(OFFSET(C73,-1,0)=2,A73=4),3,IF(AND(OR(OFFSET(C73,-1,0)="s",OFFSET(C73,-1,0)=0),A73&lt;&gt;"s",A73&gt;OFFSET(B73,-1,0)),OFFSET(B73,-1,0),A73)))))</f>
        <v>S</v>
      </c>
      <c r="D73">
        <f ca="1">IF(OR(C73="S",C73=0),0,IF(ISERROR(K73),J73,SMALL(J73:K73,1)))</f>
        <v>0</v>
      </c>
      <c r="E73">
        <f ca="1">IF($C73=1,OFFSET(E73,-1,0)+MAX(1,COUNTIF(QCI!$A$13:$A$24,OFFSET(ORÇAMENTO!E73,-1,0))),OFFSET(E73,-1,0))</f>
        <v>2</v>
      </c>
      <c r="F73">
        <f ca="1">IF($C73=1,0,IF($C73=2,OFFSET(F73,-1,0)+1,OFFSET(F73,-1,0)))</f>
        <v>8</v>
      </c>
      <c r="G73">
        <f ca="1">IF(AND($C73&lt;=2,$C73&lt;&gt;0),0,IF($C73=3,OFFSET(G73,-1,0)+1,OFFSET(G73,-1,0)))</f>
        <v>0</v>
      </c>
      <c r="H73">
        <f ca="1">IF(AND($C73&lt;=3,$C73&lt;&gt;0),0,IF($C73=4,OFFSET(H73,-1,0)+1,OFFSET(H73,-1,0)))</f>
        <v>0</v>
      </c>
      <c r="I73">
        <f ca="1">IF(AND($C73&lt;=4,$C73&lt;&gt;0),0,IF(AND($C73="S",$X73&gt;0),OFFSET(I73,-1,0)+1,OFFSET(I73,-1,0)))</f>
        <v>0</v>
      </c>
      <c r="J73">
        <f t="shared" ca="1" si="18"/>
        <v>0</v>
      </c>
      <c r="K73">
        <f ca="1">IF(OR($C73="S",$C73=0),0,MATCH(OFFSET($D73,0,$C73)+IF($C73&lt;&gt;1,1,COUNTIF(QCI!$A$13:$A$24,ORÇAMENTO!E73)),OFFSET($D73,1,$C73,ROW($C$89)-ROW($C73)),0))</f>
        <v>0</v>
      </c>
      <c r="L73" s="116" t="str">
        <f ca="1">IF(OR($X73&gt;0,$C73=1,$C73=2,$C73=3,$C73=4),"F","")</f>
        <v/>
      </c>
      <c r="M73" s="117" t="s">
        <v>197</v>
      </c>
      <c r="N73" s="118" t="str">
        <f ca="1">CHOOSE(1+LOG(1+2*(C73=1)+4*(C73=2)+8*(C73=3)+16*(C73=4)+32*(C73="S"),2),"","Meta","Nível 2","Nível 3","Nível 4","Serviço")</f>
        <v>Serviço</v>
      </c>
      <c r="O73" s="119" t="str">
        <f ca="1">IF(OR($C73=0,$L73=""),"-",CONCATENATE(E73&amp;".",IF(AND($A$5&gt;=2,$C73&gt;=2),F73&amp;".",""),IF(AND($A$5&gt;=3,$C73&gt;=3),G73&amp;".",""),IF(AND($A$5&gt;=4,$C73&gt;=4),H73&amp;".",""),IF($C73="S",I73&amp;".","")))</f>
        <v>-</v>
      </c>
      <c r="P73" s="120" t="s">
        <v>245</v>
      </c>
      <c r="Q73" s="121" t="s">
        <v>1065</v>
      </c>
      <c r="R73" s="122" t="str">
        <f ca="1">IF($C73="S",REFERENCIA.Descricao,"(digite a descrição aqui)")</f>
        <v>(abra o arquivo 'Referência 04-2026.xlsm)</v>
      </c>
      <c r="S73" s="123" t="str">
        <f ca="1">REFERENCIA.Unidade</f>
        <v>-</v>
      </c>
      <c r="T73" s="124">
        <f ca="1">OFFSET(CÁLCULO!H$15,ROW($T73)-ROW(T$15),0)</f>
        <v>8</v>
      </c>
      <c r="U73" s="125">
        <f t="shared" ca="1" si="46"/>
        <v>0</v>
      </c>
      <c r="V73" s="126" t="s">
        <v>155</v>
      </c>
      <c r="W73" s="124">
        <f ca="1">IF($C73="S",ROUND(IF(TIPOORCAMENTO="Proposto",ORÇAMENTO.CustoUnitario*(1+$AH73),ORÇAMENTO.PrecoUnitarioLicitado),15-13*$AF$10),0)</f>
        <v>0</v>
      </c>
      <c r="X73" s="127">
        <f ca="1">IF($C73="S",IF(OR(Import.TipoArredondamento&lt;&gt;"TransfereGOV",ACOMPANHAMENTO="BM"),VTOTAL1,SUM(OFFSET(CÁLCULO!$AA$15,ROW($X73)-ROW($X$15),1):OFFSET(CÁLCULO!$AL$15,ROW($X73)-ROW($X$15),-1))),IF($C73=0,0,ROUND(SomaAgrup,15-13*$AF$11)))</f>
        <v>0</v>
      </c>
      <c r="Y73" s="128" t="s">
        <v>243</v>
      </c>
      <c r="Z73" t="str">
        <f ca="1">IF(AND($C73="S",$X73&gt;0),IF(ISBLANK($Y73),"RA",LEFT($Y73,2)),"")</f>
        <v/>
      </c>
      <c r="AA73" s="129">
        <f ca="1">IF($C73="S",IF($Z73="CP",$X73,IF($Z73="RA",(($X73)*QCI!$AA$3),0)),SomaAgrup)</f>
        <v>0</v>
      </c>
      <c r="AB73" s="130">
        <f ca="1">IF($C73="S",IF($Z73="OU",ROUND($X73,2),0),SomaAgrup)</f>
        <v>0</v>
      </c>
      <c r="AC73" s="619" t="str">
        <f ca="1">IF($N73=""," ",
IF(AND($C73="S",OR($Q73&lt;&gt;0,$T73&gt;0,$U73&gt;0),$P73=0),"FONTE",
IF(AND($C73="S",$P73&lt;&gt;0,OR($T73&gt;0,$U73&gt;0),$Q73=0),"CÓDIGO",
IF(AND(OR($R73="",$R73="(digite a descrição aqui)"),OR($C73&lt;&gt;"S",AND($C73="S",OR($Q73&lt;&gt;0,$T73&gt;0,$U73&gt;0)))),"DESCRIÇÃO",
IF(AND($C73="S",$P73&lt;&gt;0,$Q73&lt;&gt;0,$S73=""),"UNIDADE",
IF(AND($C73="S",$P73&lt;&gt;0,$Q73&lt;&gt;0,$U73=0),"SEM CUSTO",
IF(AND(TIPOORCAMENTO="Licitado",$AL73=0,$AN73&gt;0),"SEM PREÇO",
IF(AND($C73="S",$P73&lt;&gt;0,$Q73&lt;&gt;0,$U73&gt;0,$V73=0),"BDI",
IF(OR(AND(TIPOORCAMENTO="Proposto",$AG73&lt;&gt;"",$AG73&gt;0,ORÇAMENTO.CustoUnitario&gt;$AG73),AND(TIPOORCAMENTO="LICITADO",ORÇAMENTO.PrecoUnitarioLicitado&gt;$AN73)),"ACIMA REF.",
IF(AND($C73="S",$P73&lt;&gt;0,$Q73&lt;&gt;0,$T73=0,$U73&gt;0),"QUANT.",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SEM CUSTO</v>
      </c>
      <c r="AD73" t="str">
        <f ca="1">IF(C73&lt;=CRONO.NivelExibicao,MAX($AD$15:OFFSET(AD73,-1,0))+IF($C73&lt;&gt;1,1,MAX(1,COUNTIF(QCI!$A$13:$A$24,OFFSET($E73,-1,0)))),"")</f>
        <v/>
      </c>
      <c r="AE73" s="7" t="str">
        <f ca="1">IF(AND($C73="S",ORÇAMENTO.CodBarra&lt;&gt;""),IF(ORÇAMENTO.Fonte="",ORÇAMENTO.CodBarra,CONCATENATE(ORÇAMENTO.Fonte," ",ORÇAMENTO.CodBarra)))</f>
        <v>SINAPI 104448</v>
      </c>
      <c r="AF73" s="13"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04-2026.xlsm)</v>
      </c>
      <c r="AG73" s="453">
        <f ca="1">ROUND(IF(DESONERACAO="sim",REFERENCIA.Desonerado,REFERENCIA.NaoDesonerado),2)</f>
        <v>0</v>
      </c>
      <c r="AH73" s="454">
        <f ca="1">ROUND(IF(ISNUMBER(ORÇAMENTO.OpcaoBDI),ORÇAMENTO.OpcaoBDI,IF(LEFT(ORÇAMENTO.OpcaoBDI,3)="BDI",HLOOKUP(ORÇAMENTO.OpcaoBDI,$F$4:$H$5,2,FALSE),0)),15-11*$AF$9)</f>
        <v>0.26329999999999998</v>
      </c>
      <c r="AJ73" s="456"/>
      <c r="AL73" s="471"/>
      <c r="AM73" s="348">
        <f t="shared" ca="1" si="44"/>
        <v>0</v>
      </c>
      <c r="AN73" s="504">
        <f ca="1">ROUND(ORÇAMENTO.CustoUnitario*(1+$AH73),2)</f>
        <v>0</v>
      </c>
    </row>
    <row r="74" spans="1:40" ht="25.5" x14ac:dyDescent="0.2">
      <c r="A74" t="str">
        <f t="shared" si="30"/>
        <v>S</v>
      </c>
      <c r="B74">
        <f t="shared" ca="1" si="31"/>
        <v>2</v>
      </c>
      <c r="C74" t="str">
        <f t="shared" ca="1" si="32"/>
        <v>S</v>
      </c>
      <c r="D74">
        <f t="shared" ca="1" si="33"/>
        <v>0</v>
      </c>
      <c r="E74">
        <f ca="1">IF($C74=1,OFFSET(E74,-1,0)+MAX(1,COUNTIF(QCI!$A$13:$A$24,OFFSET(ORÇAMENTO!E74,-1,0))),OFFSET(E74,-1,0))</f>
        <v>2</v>
      </c>
      <c r="F74">
        <f t="shared" ca="1" si="34"/>
        <v>8</v>
      </c>
      <c r="G74">
        <f t="shared" ca="1" si="35"/>
        <v>0</v>
      </c>
      <c r="H74">
        <f t="shared" ca="1" si="36"/>
        <v>0</v>
      </c>
      <c r="I74">
        <f t="shared" ca="1" si="37"/>
        <v>0</v>
      </c>
      <c r="J74">
        <f t="shared" ca="1" si="18"/>
        <v>0</v>
      </c>
      <c r="K74">
        <f ca="1">IF(OR($C74="S",$C74=0),0,MATCH(OFFSET($D74,0,$C74)+IF($C74&lt;&gt;1,1,COUNTIF(QCI!$A$13:$A$24,ORÇAMENTO!E74)),OFFSET($D74,1,$C74,ROW($C$89)-ROW($C74)),0))</f>
        <v>0</v>
      </c>
      <c r="L74" s="116" t="str">
        <f t="shared" ca="1" si="38"/>
        <v/>
      </c>
      <c r="M74" s="117" t="s">
        <v>197</v>
      </c>
      <c r="N74" s="118" t="str">
        <f t="shared" ca="1" si="39"/>
        <v>Serviço</v>
      </c>
      <c r="O74" s="119" t="str">
        <f t="shared" ca="1" si="40"/>
        <v>-</v>
      </c>
      <c r="P74" s="120" t="s">
        <v>955</v>
      </c>
      <c r="Q74" s="121" t="s">
        <v>1029</v>
      </c>
      <c r="R74" s="122" t="str">
        <f ca="1">IF($C74="S",REFERENCIA.Descricao,"(digite a descrição aqui)")</f>
        <v>(abra o arquivo 'Referência 04-2026.xlsm)</v>
      </c>
      <c r="S74" s="123" t="str">
        <f ca="1">REFERENCIA.Unidade</f>
        <v>-</v>
      </c>
      <c r="T74" s="124">
        <f ca="1">OFFSET(CÁLCULO!H$15,ROW($T74)-ROW(T$15),0)</f>
        <v>13</v>
      </c>
      <c r="U74" s="125">
        <f t="shared" ca="1" si="46"/>
        <v>0</v>
      </c>
      <c r="V74" s="126" t="s">
        <v>155</v>
      </c>
      <c r="W74" s="124">
        <f ca="1">IF($C74="S",ROUND(IF(TIPOORCAMENTO="Proposto",ORÇAMENTO.CustoUnitario*(1+$AH74),ORÇAMENTO.PrecoUnitarioLicitado),15-13*$AF$10),0)</f>
        <v>0</v>
      </c>
      <c r="X74" s="127">
        <f ca="1">IF($C74="S",IF(OR(Import.TipoArredondamento&lt;&gt;"TransfereGOV",ACOMPANHAMENTO="BM"),VTOTAL1,SUM(OFFSET(CÁLCULO!$AA$15,ROW($X74)-ROW($X$15),1):OFFSET(CÁLCULO!$AL$15,ROW($X74)-ROW($X$15),-1))),IF($C74=0,0,ROUND(SomaAgrup,15-13*$AF$11)))</f>
        <v>0</v>
      </c>
      <c r="Y74" s="128" t="s">
        <v>243</v>
      </c>
      <c r="Z74" t="str">
        <f t="shared" ca="1" si="41"/>
        <v/>
      </c>
      <c r="AA74" s="129">
        <f ca="1">IF($C74="S",IF($Z74="CP",$X74,IF($Z74="RA",(($X74)*QCI!$AA$3),0)),SomaAgrup)</f>
        <v>0</v>
      </c>
      <c r="AB74" s="130">
        <f t="shared" ca="1" si="42"/>
        <v>0</v>
      </c>
      <c r="AC74" s="619" t="str">
        <f ca="1">IF($N74=""," ",
IF(AND($C74="S",OR($Q74&lt;&gt;0,$T74&gt;0,$U74&gt;0),$P74=0),"FONTE",
IF(AND($C74="S",$P74&lt;&gt;0,OR($T74&gt;0,$U74&gt;0),$Q74=0),"CÓDIGO",
IF(AND(OR($R74="",$R74="(digite a descrição aqui)"),OR($C74&lt;&gt;"S",AND($C74="S",OR($Q74&lt;&gt;0,$T74&gt;0,$U74&gt;0)))),"DESCRIÇÃO",
IF(AND($C74="S",$P74&lt;&gt;0,$Q74&lt;&gt;0,$S74=""),"UNIDADE",
IF(AND($C74="S",$P74&lt;&gt;0,$Q74&lt;&gt;0,$U74=0),"SEM CUSTO",
IF(AND(TIPOORCAMENTO="Licitado",$AL74=0,$AN74&gt;0),"SEM PREÇO",
IF(AND($C74="S",$P74&lt;&gt;0,$Q74&lt;&gt;0,$U74&gt;0,$V74=0),"BDI",
IF(OR(AND(TIPOORCAMENTO="Proposto",$AG74&lt;&gt;"",$AG74&gt;0,ORÇAMENTO.CustoUnitario&gt;$AG74),AND(TIPOORCAMENTO="LICITADO",ORÇAMENTO.PrecoUnitarioLicitado&gt;$AN74)),"ACIMA REF.",
IF(AND($C74="S",$P74&lt;&gt;0,$Q74&lt;&gt;0,$T74=0,$U74&gt;0),"QUANT.",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SEM CUSTO</v>
      </c>
      <c r="AD74" t="str">
        <f ca="1">IF(C74&lt;=CRONO.NivelExibicao,MAX($AD$15:OFFSET(AD74,-1,0))+IF($C74&lt;&gt;1,1,MAX(1,COUNTIF(QCI!$A$13:$A$24,OFFSET($E74,-1,0)))),"")</f>
        <v/>
      </c>
      <c r="AE74" s="7" t="str">
        <f ca="1">IF(AND($C74="S",ORÇAMENTO.CodBarra&lt;&gt;""),IF(ORÇAMENTO.Fonte="",ORÇAMENTO.CodBarra,CONCATENATE(ORÇAMENTO.Fonte," ",ORÇAMENTO.CodBarra)))</f>
        <v>SINAPI-I 11055</v>
      </c>
      <c r="AF74" s="13"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04-2026.xlsm)</v>
      </c>
      <c r="AG74" s="453">
        <f ca="1">ROUND(IF(DESONERACAO="sim",REFERENCIA.Desonerado,REFERENCIA.NaoDesonerado),2)</f>
        <v>0</v>
      </c>
      <c r="AH74" s="454">
        <f t="shared" ca="1" si="43"/>
        <v>0.26329999999999998</v>
      </c>
      <c r="AJ74" s="456"/>
      <c r="AL74" s="471"/>
      <c r="AM74" s="348">
        <f t="shared" ca="1" si="44"/>
        <v>0</v>
      </c>
      <c r="AN74" s="504">
        <f t="shared" ca="1" si="45"/>
        <v>0</v>
      </c>
    </row>
    <row r="75" spans="1:40" ht="38.25" x14ac:dyDescent="0.2">
      <c r="A75" t="str">
        <f t="shared" si="30"/>
        <v>S</v>
      </c>
      <c r="B75">
        <f t="shared" ca="1" si="31"/>
        <v>2</v>
      </c>
      <c r="C75" t="str">
        <f t="shared" ca="1" si="32"/>
        <v>S</v>
      </c>
      <c r="D75">
        <f t="shared" ca="1" si="33"/>
        <v>0</v>
      </c>
      <c r="E75">
        <f ca="1">IF($C75=1,OFFSET(E75,-1,0)+MAX(1,COUNTIF(QCI!$A$13:$A$24,OFFSET(ORÇAMENTO!E75,-1,0))),OFFSET(E75,-1,0))</f>
        <v>2</v>
      </c>
      <c r="F75">
        <f t="shared" ca="1" si="34"/>
        <v>8</v>
      </c>
      <c r="G75">
        <f t="shared" ca="1" si="35"/>
        <v>0</v>
      </c>
      <c r="H75">
        <f t="shared" ca="1" si="36"/>
        <v>0</v>
      </c>
      <c r="I75">
        <f t="shared" ca="1" si="37"/>
        <v>0</v>
      </c>
      <c r="J75">
        <f t="shared" ca="1" si="18"/>
        <v>0</v>
      </c>
      <c r="K75">
        <f ca="1">IF(OR($C75="S",$C75=0),0,MATCH(OFFSET($D75,0,$C75)+IF($C75&lt;&gt;1,1,COUNTIF(QCI!$A$13:$A$24,ORÇAMENTO!E75)),OFFSET($D75,1,$C75,ROW($C$89)-ROW($C75)),0))</f>
        <v>0</v>
      </c>
      <c r="L75" s="116" t="str">
        <f t="shared" ca="1" si="38"/>
        <v/>
      </c>
      <c r="M75" s="117" t="s">
        <v>197</v>
      </c>
      <c r="N75" s="118" t="str">
        <f t="shared" ca="1" si="39"/>
        <v>Serviço</v>
      </c>
      <c r="O75" s="119" t="str">
        <f t="shared" ca="1" si="40"/>
        <v>-</v>
      </c>
      <c r="P75" s="120" t="s">
        <v>245</v>
      </c>
      <c r="Q75" s="121" t="s">
        <v>1030</v>
      </c>
      <c r="R75" s="122" t="str">
        <f ca="1">IF($C75="S",REFERENCIA.Descricao,"(digite a descrição aqui)")</f>
        <v>(abra o arquivo 'Referência 04-2026.xlsm)</v>
      </c>
      <c r="S75" s="123" t="str">
        <f ca="1">REFERENCIA.Unidade</f>
        <v>-</v>
      </c>
      <c r="T75" s="124">
        <f ca="1">OFFSET(CÁLCULO!H$15,ROW($T75)-ROW(T$15),0)</f>
        <v>192.26</v>
      </c>
      <c r="U75" s="125">
        <f t="shared" ca="1" si="46"/>
        <v>0</v>
      </c>
      <c r="V75" s="126" t="s">
        <v>155</v>
      </c>
      <c r="W75" s="124">
        <f ca="1">IF($C75="S",ROUND(IF(TIPOORCAMENTO="Proposto",ORÇAMENTO.CustoUnitario*(1+$AH75),ORÇAMENTO.PrecoUnitarioLicitado),15-13*$AF$10),0)</f>
        <v>0</v>
      </c>
      <c r="X75" s="127">
        <f ca="1">IF($C75="S",IF(OR(Import.TipoArredondamento&lt;&gt;"TransfereGOV",ACOMPANHAMENTO="BM"),VTOTAL1,SUM(OFFSET(CÁLCULO!$AA$15,ROW($X75)-ROW($X$15),1):OFFSET(CÁLCULO!$AL$15,ROW($X75)-ROW($X$15),-1))),IF($C75=0,0,ROUND(SomaAgrup,15-13*$AF$11)))</f>
        <v>0</v>
      </c>
      <c r="Y75" s="128" t="s">
        <v>243</v>
      </c>
      <c r="Z75" t="str">
        <f t="shared" ca="1" si="41"/>
        <v/>
      </c>
      <c r="AA75" s="129">
        <f ca="1">IF($C75="S",IF($Z75="CP",$X75,IF($Z75="RA",(($X75)*QCI!$AA$3),0)),SomaAgrup)</f>
        <v>0</v>
      </c>
      <c r="AB75" s="130">
        <f t="shared" ca="1" si="42"/>
        <v>0</v>
      </c>
      <c r="AC75" s="619" t="str">
        <f ca="1">IF($N75=""," ",
IF(AND($C75="S",OR($Q75&lt;&gt;0,$T75&gt;0,$U75&gt;0),$P75=0),"FONTE",
IF(AND($C75="S",$P75&lt;&gt;0,OR($T75&gt;0,$U75&gt;0),$Q75=0),"CÓDIGO",
IF(AND(OR($R75="",$R75="(digite a descrição aqui)"),OR($C75&lt;&gt;"S",AND($C75="S",OR($Q75&lt;&gt;0,$T75&gt;0,$U75&gt;0)))),"DESCRIÇÃO",
IF(AND($C75="S",$P75&lt;&gt;0,$Q75&lt;&gt;0,$S75=""),"UNIDADE",
IF(AND($C75="S",$P75&lt;&gt;0,$Q75&lt;&gt;0,$U75=0),"SEM CUSTO",
IF(AND(TIPOORCAMENTO="Licitado",$AL75=0,$AN75&gt;0),"SEM PREÇO",
IF(AND($C75="S",$P75&lt;&gt;0,$Q75&lt;&gt;0,$U75&gt;0,$V75=0),"BDI",
IF(OR(AND(TIPOORCAMENTO="Proposto",$AG75&lt;&gt;"",$AG75&gt;0,ORÇAMENTO.CustoUnitario&gt;$AG75),AND(TIPOORCAMENTO="LICITADO",ORÇAMENTO.PrecoUnitarioLicitado&gt;$AN75)),"ACIMA REF.",
IF(AND($C75="S",$P75&lt;&gt;0,$Q75&lt;&gt;0,$T75=0,$U75&gt;0),"QUANT.",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SEM CUSTO</v>
      </c>
      <c r="AD75" t="str">
        <f ca="1">IF(C75&lt;=CRONO.NivelExibicao,MAX($AD$15:OFFSET(AD75,-1,0))+IF($C75&lt;&gt;1,1,MAX(1,COUNTIF(QCI!$A$13:$A$24,OFFSET($E75,-1,0)))),"")</f>
        <v/>
      </c>
      <c r="AE75" s="7" t="str">
        <f ca="1">IF(AND($C75="S",ORÇAMENTO.CodBarra&lt;&gt;""),IF(ORÇAMENTO.Fonte="",ORÇAMENTO.CodBarra,CONCATENATE(ORÇAMENTO.Fonte," ",ORÇAMENTO.CodBarra)))</f>
        <v>SINAPI 91924</v>
      </c>
      <c r="AF75" s="13"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04-2026.xlsm)</v>
      </c>
      <c r="AG75" s="453">
        <f ca="1">ROUND(IF(DESONERACAO="sim",REFERENCIA.Desonerado,REFERENCIA.NaoDesonerado),2)</f>
        <v>0</v>
      </c>
      <c r="AH75" s="454">
        <f t="shared" ca="1" si="43"/>
        <v>0.26329999999999998</v>
      </c>
      <c r="AJ75" s="456"/>
      <c r="AL75" s="471"/>
      <c r="AM75" s="348">
        <f t="shared" ca="1" si="44"/>
        <v>0</v>
      </c>
      <c r="AN75" s="504">
        <f t="shared" ca="1" si="45"/>
        <v>0</v>
      </c>
    </row>
    <row r="76" spans="1:40" ht="38.25" x14ac:dyDescent="0.2">
      <c r="A76" t="str">
        <f t="shared" si="30"/>
        <v>S</v>
      </c>
      <c r="B76">
        <f t="shared" ca="1" si="31"/>
        <v>2</v>
      </c>
      <c r="C76" t="str">
        <f t="shared" ca="1" si="32"/>
        <v>S</v>
      </c>
      <c r="D76">
        <f t="shared" ca="1" si="33"/>
        <v>0</v>
      </c>
      <c r="E76">
        <f ca="1">IF($C76=1,OFFSET(E76,-1,0)+MAX(1,COUNTIF(QCI!$A$13:$A$24,OFFSET(ORÇAMENTO!E76,-1,0))),OFFSET(E76,-1,0))</f>
        <v>2</v>
      </c>
      <c r="F76">
        <f t="shared" ca="1" si="34"/>
        <v>8</v>
      </c>
      <c r="G76">
        <f t="shared" ca="1" si="35"/>
        <v>0</v>
      </c>
      <c r="H76">
        <f t="shared" ca="1" si="36"/>
        <v>0</v>
      </c>
      <c r="I76">
        <f t="shared" ca="1" si="37"/>
        <v>0</v>
      </c>
      <c r="J76">
        <f t="shared" ca="1" si="18"/>
        <v>0</v>
      </c>
      <c r="K76">
        <f ca="1">IF(OR($C76="S",$C76=0),0,MATCH(OFFSET($D76,0,$C76)+IF($C76&lt;&gt;1,1,COUNTIF(QCI!$A$13:$A$24,ORÇAMENTO!E76)),OFFSET($D76,1,$C76,ROW($C$89)-ROW($C76)),0))</f>
        <v>0</v>
      </c>
      <c r="L76" s="116" t="str">
        <f t="shared" ca="1" si="38"/>
        <v/>
      </c>
      <c r="M76" s="117" t="s">
        <v>197</v>
      </c>
      <c r="N76" s="118" t="str">
        <f t="shared" ca="1" si="39"/>
        <v>Serviço</v>
      </c>
      <c r="O76" s="119" t="str">
        <f t="shared" ca="1" si="40"/>
        <v>-</v>
      </c>
      <c r="P76" s="120" t="s">
        <v>245</v>
      </c>
      <c r="Q76" s="121" t="s">
        <v>1031</v>
      </c>
      <c r="R76" s="122" t="str">
        <f ca="1">IF($C76="S",REFERENCIA.Descricao,"(digite a descrição aqui)")</f>
        <v>(abra o arquivo 'Referência 04-2026.xlsm)</v>
      </c>
      <c r="S76" s="123" t="str">
        <f ca="1">REFERENCIA.Unidade</f>
        <v>-</v>
      </c>
      <c r="T76" s="124">
        <f ca="1">OFFSET(CÁLCULO!H$15,ROW($T76)-ROW(T$15),0)</f>
        <v>161.34</v>
      </c>
      <c r="U76" s="125">
        <f t="shared" ca="1" si="46"/>
        <v>0</v>
      </c>
      <c r="V76" s="126" t="s">
        <v>155</v>
      </c>
      <c r="W76" s="124">
        <f ca="1">IF($C76="S",ROUND(IF(TIPOORCAMENTO="Proposto",ORÇAMENTO.CustoUnitario*(1+$AH76),ORÇAMENTO.PrecoUnitarioLicitado),15-13*$AF$10),0)</f>
        <v>0</v>
      </c>
      <c r="X76" s="127">
        <f ca="1">IF($C76="S",IF(OR(Import.TipoArredondamento&lt;&gt;"TransfereGOV",ACOMPANHAMENTO="BM"),VTOTAL1,SUM(OFFSET(CÁLCULO!$AA$15,ROW($X76)-ROW($X$15),1):OFFSET(CÁLCULO!$AL$15,ROW($X76)-ROW($X$15),-1))),IF($C76=0,0,ROUND(SomaAgrup,15-13*$AF$11)))</f>
        <v>0</v>
      </c>
      <c r="Y76" s="128" t="s">
        <v>243</v>
      </c>
      <c r="Z76" t="str">
        <f t="shared" ca="1" si="41"/>
        <v/>
      </c>
      <c r="AA76" s="129">
        <f ca="1">IF($C76="S",IF($Z76="CP",$X76,IF($Z76="RA",(($X76)*QCI!$AA$3),0)),SomaAgrup)</f>
        <v>0</v>
      </c>
      <c r="AB76" s="130">
        <f t="shared" ca="1" si="42"/>
        <v>0</v>
      </c>
      <c r="AC76" s="619" t="str">
        <f ca="1">IF($N76=""," ",
IF(AND($C76="S",OR($Q76&lt;&gt;0,$T76&gt;0,$U76&gt;0),$P76=0),"FONTE",
IF(AND($C76="S",$P76&lt;&gt;0,OR($T76&gt;0,$U76&gt;0),$Q76=0),"CÓDIGO",
IF(AND(OR($R76="",$R76="(digite a descrição aqui)"),OR($C76&lt;&gt;"S",AND($C76="S",OR($Q76&lt;&gt;0,$T76&gt;0,$U76&gt;0)))),"DESCRIÇÃO",
IF(AND($C76="S",$P76&lt;&gt;0,$Q76&lt;&gt;0,$S76=""),"UNIDADE",
IF(AND($C76="S",$P76&lt;&gt;0,$Q76&lt;&gt;0,$U76=0),"SEM CUSTO",
IF(AND(TIPOORCAMENTO="Licitado",$AL76=0,$AN76&gt;0),"SEM PREÇO",
IF(AND($C76="S",$P76&lt;&gt;0,$Q76&lt;&gt;0,$U76&gt;0,$V76=0),"BDI",
IF(OR(AND(TIPOORCAMENTO="Proposto",$AG76&lt;&gt;"",$AG76&gt;0,ORÇAMENTO.CustoUnitario&gt;$AG76),AND(TIPOORCAMENTO="LICITADO",ORÇAMENTO.PrecoUnitarioLicitado&gt;$AN76)),"ACIMA REF.",
IF(AND($C76="S",$P76&lt;&gt;0,$Q76&lt;&gt;0,$T76=0,$U76&gt;0),"QUANT.",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SEM CUSTO</v>
      </c>
      <c r="AD76" t="str">
        <f ca="1">IF(C76&lt;=CRONO.NivelExibicao,MAX($AD$15:OFFSET(AD76,-1,0))+IF($C76&lt;&gt;1,1,MAX(1,COUNTIF(QCI!$A$13:$A$24,OFFSET($E76,-1,0)))),"")</f>
        <v/>
      </c>
      <c r="AE76" s="7" t="str">
        <f ca="1">IF(AND($C76="S",ORÇAMENTO.CodBarra&lt;&gt;""),IF(ORÇAMENTO.Fonte="",ORÇAMENTO.CodBarra,CONCATENATE(ORÇAMENTO.Fonte," ",ORÇAMENTO.CodBarra)))</f>
        <v>SINAPI 91926</v>
      </c>
      <c r="AF76" s="13"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04-2026.xlsm)</v>
      </c>
      <c r="AG76" s="453">
        <f ca="1">ROUND(IF(DESONERACAO="sim",REFERENCIA.Desonerado,REFERENCIA.NaoDesonerado),2)</f>
        <v>0</v>
      </c>
      <c r="AH76" s="454">
        <f t="shared" ca="1" si="43"/>
        <v>0.26329999999999998</v>
      </c>
      <c r="AJ76" s="456"/>
      <c r="AL76" s="471"/>
      <c r="AM76" s="348">
        <f t="shared" ca="1" si="44"/>
        <v>0</v>
      </c>
      <c r="AN76" s="504">
        <f t="shared" ca="1" si="45"/>
        <v>0</v>
      </c>
    </row>
    <row r="77" spans="1:40" ht="38.25" x14ac:dyDescent="0.2">
      <c r="A77" t="str">
        <f t="shared" si="30"/>
        <v>S</v>
      </c>
      <c r="B77">
        <f t="shared" ca="1" si="31"/>
        <v>2</v>
      </c>
      <c r="C77" t="str">
        <f t="shared" ca="1" si="32"/>
        <v>S</v>
      </c>
      <c r="D77">
        <f t="shared" ca="1" si="33"/>
        <v>0</v>
      </c>
      <c r="E77">
        <f ca="1">IF($C77=1,OFFSET(E77,-1,0)+MAX(1,COUNTIF(QCI!$A$13:$A$24,OFFSET(ORÇAMENTO!E77,-1,0))),OFFSET(E77,-1,0))</f>
        <v>2</v>
      </c>
      <c r="F77">
        <f t="shared" ca="1" si="34"/>
        <v>8</v>
      </c>
      <c r="G77">
        <f t="shared" ca="1" si="35"/>
        <v>0</v>
      </c>
      <c r="H77">
        <f t="shared" ca="1" si="36"/>
        <v>0</v>
      </c>
      <c r="I77">
        <f t="shared" ca="1" si="37"/>
        <v>0</v>
      </c>
      <c r="J77">
        <f t="shared" ca="1" si="18"/>
        <v>0</v>
      </c>
      <c r="K77">
        <f ca="1">IF(OR($C77="S",$C77=0),0,MATCH(OFFSET($D77,0,$C77)+IF($C77&lt;&gt;1,1,COUNTIF(QCI!$A$13:$A$24,ORÇAMENTO!E77)),OFFSET($D77,1,$C77,ROW($C$89)-ROW($C77)),0))</f>
        <v>0</v>
      </c>
      <c r="L77" s="116" t="str">
        <f t="shared" ca="1" si="38"/>
        <v/>
      </c>
      <c r="M77" s="117" t="s">
        <v>197</v>
      </c>
      <c r="N77" s="118" t="str">
        <f t="shared" ca="1" si="39"/>
        <v>Serviço</v>
      </c>
      <c r="O77" s="119" t="str">
        <f t="shared" ca="1" si="40"/>
        <v>-</v>
      </c>
      <c r="P77" s="120" t="s">
        <v>245</v>
      </c>
      <c r="Q77" s="121" t="s">
        <v>1032</v>
      </c>
      <c r="R77" s="122" t="str">
        <f ca="1">IF($C77="S",REFERENCIA.Descricao,"(digite a descrição aqui)")</f>
        <v>(abra o arquivo 'Referência 04-2026.xlsm)</v>
      </c>
      <c r="S77" s="123" t="str">
        <f ca="1">REFERENCIA.Unidade</f>
        <v>-</v>
      </c>
      <c r="T77" s="124">
        <f ca="1">OFFSET(CÁLCULO!H$15,ROW($T77)-ROW(T$15),0)</f>
        <v>48.7</v>
      </c>
      <c r="U77" s="125">
        <f t="shared" ca="1" si="46"/>
        <v>0</v>
      </c>
      <c r="V77" s="126" t="s">
        <v>155</v>
      </c>
      <c r="W77" s="124">
        <f ca="1">IF($C77="S",ROUND(IF(TIPOORCAMENTO="Proposto",ORÇAMENTO.CustoUnitario*(1+$AH77),ORÇAMENTO.PrecoUnitarioLicitado),15-13*$AF$10),0)</f>
        <v>0</v>
      </c>
      <c r="X77" s="127">
        <f ca="1">IF($C77="S",IF(OR(Import.TipoArredondamento&lt;&gt;"TransfereGOV",ACOMPANHAMENTO="BM"),VTOTAL1,SUM(OFFSET(CÁLCULO!$AA$15,ROW($X77)-ROW($X$15),1):OFFSET(CÁLCULO!$AL$15,ROW($X77)-ROW($X$15),-1))),IF($C77=0,0,ROUND(SomaAgrup,15-13*$AF$11)))</f>
        <v>0</v>
      </c>
      <c r="Y77" s="128" t="s">
        <v>243</v>
      </c>
      <c r="Z77" t="str">
        <f t="shared" ca="1" si="41"/>
        <v/>
      </c>
      <c r="AA77" s="129">
        <f ca="1">IF($C77="S",IF($Z77="CP",$X77,IF($Z77="RA",(($X77)*QCI!$AA$3),0)),SomaAgrup)</f>
        <v>0</v>
      </c>
      <c r="AB77" s="130">
        <f t="shared" ca="1" si="42"/>
        <v>0</v>
      </c>
      <c r="AC77" s="619" t="str">
        <f ca="1">IF($N77=""," ",
IF(AND($C77="S",OR($Q77&lt;&gt;0,$T77&gt;0,$U77&gt;0),$P77=0),"FONTE",
IF(AND($C77="S",$P77&lt;&gt;0,OR($T77&gt;0,$U77&gt;0),$Q77=0),"CÓDIGO",
IF(AND(OR($R77="",$R77="(digite a descrição aqui)"),OR($C77&lt;&gt;"S",AND($C77="S",OR($Q77&lt;&gt;0,$T77&gt;0,$U77&gt;0)))),"DESCRIÇÃO",
IF(AND($C77="S",$P77&lt;&gt;0,$Q77&lt;&gt;0,$S77=""),"UNIDADE",
IF(AND($C77="S",$P77&lt;&gt;0,$Q77&lt;&gt;0,$U77=0),"SEM CUSTO",
IF(AND(TIPOORCAMENTO="Licitado",$AL77=0,$AN77&gt;0),"SEM PREÇO",
IF(AND($C77="S",$P77&lt;&gt;0,$Q77&lt;&gt;0,$U77&gt;0,$V77=0),"BDI",
IF(OR(AND(TIPOORCAMENTO="Proposto",$AG77&lt;&gt;"",$AG77&gt;0,ORÇAMENTO.CustoUnitario&gt;$AG77),AND(TIPOORCAMENTO="LICITADO",ORÇAMENTO.PrecoUnitarioLicitado&gt;$AN77)),"ACIMA REF.",
IF(AND($C77="S",$P77&lt;&gt;0,$Q77&lt;&gt;0,$T77=0,$U77&gt;0),"QUANT.",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SEM CUSTO</v>
      </c>
      <c r="AD77" t="str">
        <f ca="1">IF(C77&lt;=CRONO.NivelExibicao,MAX($AD$15:OFFSET(AD77,-1,0))+IF($C77&lt;&gt;1,1,MAX(1,COUNTIF(QCI!$A$13:$A$24,OFFSET($E77,-1,0)))),"")</f>
        <v/>
      </c>
      <c r="AE77" s="7" t="str">
        <f ca="1">IF(AND($C77="S",ORÇAMENTO.CodBarra&lt;&gt;""),IF(ORÇAMENTO.Fonte="",ORÇAMENTO.CodBarra,CONCATENATE(ORÇAMENTO.Fonte," ",ORÇAMENTO.CodBarra)))</f>
        <v>SINAPI 91928</v>
      </c>
      <c r="AF77" s="13"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04-2026.xlsm)</v>
      </c>
      <c r="AG77" s="453">
        <f ca="1">ROUND(IF(DESONERACAO="sim",REFERENCIA.Desonerado,REFERENCIA.NaoDesonerado),2)</f>
        <v>0</v>
      </c>
      <c r="AH77" s="454">
        <f t="shared" ca="1" si="43"/>
        <v>0.26329999999999998</v>
      </c>
      <c r="AJ77" s="456"/>
      <c r="AL77" s="471"/>
      <c r="AM77" s="348">
        <f t="shared" ca="1" si="44"/>
        <v>0</v>
      </c>
      <c r="AN77" s="504">
        <f t="shared" ca="1" si="45"/>
        <v>0</v>
      </c>
    </row>
    <row r="78" spans="1:40" x14ac:dyDescent="0.2">
      <c r="A78" t="str">
        <f t="shared" si="30"/>
        <v>S</v>
      </c>
      <c r="B78">
        <f t="shared" ca="1" si="31"/>
        <v>2</v>
      </c>
      <c r="C78" t="str">
        <f t="shared" ca="1" si="32"/>
        <v>S</v>
      </c>
      <c r="D78">
        <f t="shared" ca="1" si="33"/>
        <v>0</v>
      </c>
      <c r="E78">
        <f ca="1">IF($C78=1,OFFSET(E78,-1,0)+MAX(1,COUNTIF(QCI!$A$13:$A$24,OFFSET(ORÇAMENTO!E78,-1,0))),OFFSET(E78,-1,0))</f>
        <v>2</v>
      </c>
      <c r="F78">
        <f t="shared" ca="1" si="34"/>
        <v>8</v>
      </c>
      <c r="G78">
        <f t="shared" ca="1" si="35"/>
        <v>0</v>
      </c>
      <c r="H78">
        <f t="shared" ca="1" si="36"/>
        <v>0</v>
      </c>
      <c r="I78">
        <f t="shared" ca="1" si="37"/>
        <v>0</v>
      </c>
      <c r="J78">
        <f t="shared" ca="1" si="18"/>
        <v>0</v>
      </c>
      <c r="K78">
        <f ca="1">IF(OR($C78="S",$C78=0),0,MATCH(OFFSET($D78,0,$C78)+IF($C78&lt;&gt;1,1,COUNTIF(QCI!$A$13:$A$24,ORÇAMENTO!E78)),OFFSET($D78,1,$C78,ROW($C$89)-ROW($C78)),0))</f>
        <v>0</v>
      </c>
      <c r="L78" s="116" t="str">
        <f t="shared" ca="1" si="38"/>
        <v/>
      </c>
      <c r="M78" s="117" t="s">
        <v>197</v>
      </c>
      <c r="N78" s="118" t="str">
        <f t="shared" ca="1" si="39"/>
        <v>Serviço</v>
      </c>
      <c r="O78" s="119" t="str">
        <f t="shared" ca="1" si="40"/>
        <v>-</v>
      </c>
      <c r="P78" s="120" t="s">
        <v>955</v>
      </c>
      <c r="Q78" s="121" t="s">
        <v>1066</v>
      </c>
      <c r="R78" s="122" t="str">
        <f ca="1">IF($C78="S",REFERENCIA.Descricao,"(digite a descrição aqui)")</f>
        <v>(abra o arquivo 'Referência 04-2026.xlsm)</v>
      </c>
      <c r="S78" s="123" t="str">
        <f ca="1">REFERENCIA.Unidade</f>
        <v>-</v>
      </c>
      <c r="T78" s="124">
        <f ca="1">OFFSET(CÁLCULO!H$15,ROW($T78)-ROW(T$15),0)</f>
        <v>102</v>
      </c>
      <c r="U78" s="125">
        <f t="shared" ca="1" si="46"/>
        <v>0</v>
      </c>
      <c r="V78" s="126" t="s">
        <v>155</v>
      </c>
      <c r="W78" s="124">
        <f ca="1">IF($C78="S",ROUND(IF(TIPOORCAMENTO="Proposto",ORÇAMENTO.CustoUnitario*(1+$AH78),ORÇAMENTO.PrecoUnitarioLicitado),15-13*$AF$10),0)</f>
        <v>0</v>
      </c>
      <c r="X78" s="127">
        <f ca="1">IF($C78="S",IF(OR(Import.TipoArredondamento&lt;&gt;"TransfereGOV",ACOMPANHAMENTO="BM"),VTOTAL1,SUM(OFFSET(CÁLCULO!$AA$15,ROW($X78)-ROW($X$15),1):OFFSET(CÁLCULO!$AL$15,ROW($X78)-ROW($X$15),-1))),IF($C78=0,0,ROUND(SomaAgrup,15-13*$AF$11)))</f>
        <v>0</v>
      </c>
      <c r="Y78" s="128" t="s">
        <v>243</v>
      </c>
      <c r="Z78" t="str">
        <f t="shared" ca="1" si="41"/>
        <v/>
      </c>
      <c r="AA78" s="129">
        <f ca="1">IF($C78="S",IF($Z78="CP",$X78,IF($Z78="RA",(($X78)*QCI!$AA$3),0)),SomaAgrup)</f>
        <v>0</v>
      </c>
      <c r="AB78" s="130">
        <f t="shared" ca="1" si="42"/>
        <v>0</v>
      </c>
      <c r="AC78" s="619" t="str">
        <f ca="1">IF($N78=""," ",
IF(AND($C78="S",OR($Q78&lt;&gt;0,$T78&gt;0,$U78&gt;0),$P78=0),"FONTE",
IF(AND($C78="S",$P78&lt;&gt;0,OR($T78&gt;0,$U78&gt;0),$Q78=0),"CÓDIGO",
IF(AND(OR($R78="",$R78="(digite a descrição aqui)"),OR($C78&lt;&gt;"S",AND($C78="S",OR($Q78&lt;&gt;0,$T78&gt;0,$U78&gt;0)))),"DESCRIÇÃO",
IF(AND($C78="S",$P78&lt;&gt;0,$Q78&lt;&gt;0,$S78=""),"UNIDADE",
IF(AND($C78="S",$P78&lt;&gt;0,$Q78&lt;&gt;0,$U78=0),"SEM CUSTO",
IF(AND(TIPOORCAMENTO="Licitado",$AL78=0,$AN78&gt;0),"SEM PREÇO",
IF(AND($C78="S",$P78&lt;&gt;0,$Q78&lt;&gt;0,$U78&gt;0,$V78=0),"BDI",
IF(OR(AND(TIPOORCAMENTO="Proposto",$AG78&lt;&gt;"",$AG78&gt;0,ORÇAMENTO.CustoUnitario&gt;$AG78),AND(TIPOORCAMENTO="LICITADO",ORÇAMENTO.PrecoUnitarioLicitado&gt;$AN78)),"ACIMA REF.",
IF(AND($C78="S",$P78&lt;&gt;0,$Q78&lt;&gt;0,$T78=0,$U78&gt;0),"QUANT.",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SEM CUSTO</v>
      </c>
      <c r="AD78" t="str">
        <f ca="1">IF(C78&lt;=CRONO.NivelExibicao,MAX($AD$15:OFFSET(AD78,-1,0))+IF($C78&lt;&gt;1,1,MAX(1,COUNTIF(QCI!$A$13:$A$24,OFFSET($E78,-1,0)))),"")</f>
        <v/>
      </c>
      <c r="AE78" s="7" t="str">
        <f ca="1">IF(AND($C78="S",ORÇAMENTO.CodBarra&lt;&gt;""),IF(ORÇAMENTO.Fonte="",ORÇAMENTO.CodBarra,CONCATENATE(ORÇAMENTO.Fonte," ",ORÇAMENTO.CodBarra)))</f>
        <v>SINAPI-I 2678</v>
      </c>
      <c r="AF78" s="13"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04-2026.xlsm)</v>
      </c>
      <c r="AG78" s="453">
        <f ca="1">ROUND(IF(DESONERACAO="sim",REFERENCIA.Desonerado,REFERENCIA.NaoDesonerado),2)</f>
        <v>0</v>
      </c>
      <c r="AH78" s="454">
        <f t="shared" ca="1" si="43"/>
        <v>0.26329999999999998</v>
      </c>
      <c r="AJ78" s="456"/>
      <c r="AL78" s="471"/>
      <c r="AM78" s="348">
        <f t="shared" ca="1" si="44"/>
        <v>0</v>
      </c>
      <c r="AN78" s="504">
        <f t="shared" ca="1" si="45"/>
        <v>0</v>
      </c>
    </row>
    <row r="79" spans="1:40" ht="25.5" x14ac:dyDescent="0.2">
      <c r="A79" t="str">
        <f t="shared" si="30"/>
        <v>S</v>
      </c>
      <c r="B79">
        <f t="shared" ca="1" si="31"/>
        <v>2</v>
      </c>
      <c r="C79" t="str">
        <f t="shared" ca="1" si="32"/>
        <v>S</v>
      </c>
      <c r="D79">
        <f t="shared" ca="1" si="33"/>
        <v>0</v>
      </c>
      <c r="E79">
        <f ca="1">IF($C79=1,OFFSET(E79,-1,0)+MAX(1,COUNTIF(QCI!$A$13:$A$24,OFFSET(ORÇAMENTO!E79,-1,0))),OFFSET(E79,-1,0))</f>
        <v>2</v>
      </c>
      <c r="F79">
        <f t="shared" ca="1" si="34"/>
        <v>8</v>
      </c>
      <c r="G79">
        <f t="shared" ca="1" si="35"/>
        <v>0</v>
      </c>
      <c r="H79">
        <f t="shared" ca="1" si="36"/>
        <v>0</v>
      </c>
      <c r="I79">
        <f t="shared" ca="1" si="37"/>
        <v>0</v>
      </c>
      <c r="J79">
        <f t="shared" ca="1" si="18"/>
        <v>0</v>
      </c>
      <c r="K79">
        <f ca="1">IF(OR($C79="S",$C79=0),0,MATCH(OFFSET($D79,0,$C79)+IF($C79&lt;&gt;1,1,COUNTIF(QCI!$A$13:$A$24,ORÇAMENTO!E79)),OFFSET($D79,1,$C79,ROW($C$89)-ROW($C79)),0))</f>
        <v>0</v>
      </c>
      <c r="L79" s="116" t="str">
        <f t="shared" ca="1" si="38"/>
        <v/>
      </c>
      <c r="M79" s="117" t="s">
        <v>197</v>
      </c>
      <c r="N79" s="118" t="str">
        <f t="shared" ca="1" si="39"/>
        <v>Serviço</v>
      </c>
      <c r="O79" s="119" t="str">
        <f t="shared" ca="1" si="40"/>
        <v>-</v>
      </c>
      <c r="P79" s="120" t="s">
        <v>955</v>
      </c>
      <c r="Q79" s="121" t="s">
        <v>1033</v>
      </c>
      <c r="R79" s="122" t="str">
        <f ca="1">IF($C79="S",REFERENCIA.Descricao,"(digite a descrição aqui)")</f>
        <v>(abra o arquivo 'Referência 04-2026.xlsm)</v>
      </c>
      <c r="S79" s="123" t="str">
        <f ca="1">REFERENCIA.Unidade</f>
        <v>-</v>
      </c>
      <c r="T79" s="124">
        <f ca="1">OFFSET(CÁLCULO!H$15,ROW($T79)-ROW(T$15),0)</f>
        <v>13</v>
      </c>
      <c r="U79" s="125">
        <f t="shared" ca="1" si="46"/>
        <v>0</v>
      </c>
      <c r="V79" s="126" t="s">
        <v>155</v>
      </c>
      <c r="W79" s="124">
        <f ca="1">IF($C79="S",ROUND(IF(TIPOORCAMENTO="Proposto",ORÇAMENTO.CustoUnitario*(1+$AH79),ORÇAMENTO.PrecoUnitarioLicitado),15-13*$AF$10),0)</f>
        <v>0</v>
      </c>
      <c r="X79" s="127">
        <f ca="1">IF($C79="S",IF(OR(Import.TipoArredondamento&lt;&gt;"TransfereGOV",ACOMPANHAMENTO="BM"),VTOTAL1,SUM(OFFSET(CÁLCULO!$AA$15,ROW($X79)-ROW($X$15),1):OFFSET(CÁLCULO!$AL$15,ROW($X79)-ROW($X$15),-1))),IF($C79=0,0,ROUND(SomaAgrup,15-13*$AF$11)))</f>
        <v>0</v>
      </c>
      <c r="Y79" s="128" t="s">
        <v>243</v>
      </c>
      <c r="Z79" t="str">
        <f t="shared" ca="1" si="41"/>
        <v/>
      </c>
      <c r="AA79" s="129">
        <f ca="1">IF($C79="S",IF($Z79="CP",$X79,IF($Z79="RA",(($X79)*QCI!$AA$3),0)),SomaAgrup)</f>
        <v>0</v>
      </c>
      <c r="AB79" s="130">
        <f t="shared" ca="1" si="42"/>
        <v>0</v>
      </c>
      <c r="AC79" s="619" t="str">
        <f ca="1">IF($N79=""," ",
IF(AND($C79="S",OR($Q79&lt;&gt;0,$T79&gt;0,$U79&gt;0),$P79=0),"FONTE",
IF(AND($C79="S",$P79&lt;&gt;0,OR($T79&gt;0,$U79&gt;0),$Q79=0),"CÓDIGO",
IF(AND(OR($R79="",$R79="(digite a descrição aqui)"),OR($C79&lt;&gt;"S",AND($C79="S",OR($Q79&lt;&gt;0,$T79&gt;0,$U79&gt;0)))),"DESCRIÇÃO",
IF(AND($C79="S",$P79&lt;&gt;0,$Q79&lt;&gt;0,$S79=""),"UNIDADE",
IF(AND($C79="S",$P79&lt;&gt;0,$Q79&lt;&gt;0,$U79=0),"SEM CUSTO",
IF(AND(TIPOORCAMENTO="Licitado",$AL79=0,$AN79&gt;0),"SEM PREÇO",
IF(AND($C79="S",$P79&lt;&gt;0,$Q79&lt;&gt;0,$U79&gt;0,$V79=0),"BDI",
IF(OR(AND(TIPOORCAMENTO="Proposto",$AG79&lt;&gt;"",$AG79&gt;0,ORÇAMENTO.CustoUnitario&gt;$AG79),AND(TIPOORCAMENTO="LICITADO",ORÇAMENTO.PrecoUnitarioLicitado&gt;$AN79)),"ACIMA REF.",
IF(AND($C79="S",$P79&lt;&gt;0,$Q79&lt;&gt;0,$T79=0,$U79&gt;0),"QUANT.",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SEM CUSTO</v>
      </c>
      <c r="AD79" t="str">
        <f ca="1">IF(C79&lt;=CRONO.NivelExibicao,MAX($AD$15:OFFSET(AD79,-1,0))+IF($C79&lt;&gt;1,1,MAX(1,COUNTIF(QCI!$A$13:$A$24,OFFSET($E79,-1,0)))),"")</f>
        <v/>
      </c>
      <c r="AE79" s="7" t="str">
        <f ca="1">IF(AND($C79="S",ORÇAMENTO.CodBarra&lt;&gt;""),IF(ORÇAMENTO.Fonte="",ORÇAMENTO.CodBarra,CONCATENATE(ORÇAMENTO.Fonte," ",ORÇAMENTO.CodBarra)))</f>
        <v>SINAPI-I 12615</v>
      </c>
      <c r="AF79" s="13"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04-2026.xlsm)</v>
      </c>
      <c r="AG79" s="453">
        <f ca="1">ROUND(IF(DESONERACAO="sim",REFERENCIA.Desonerado,REFERENCIA.NaoDesonerado),2)</f>
        <v>0</v>
      </c>
      <c r="AH79" s="454">
        <f t="shared" ca="1" si="43"/>
        <v>0.26329999999999998</v>
      </c>
      <c r="AJ79" s="456"/>
      <c r="AL79" s="471"/>
      <c r="AM79" s="348">
        <f t="shared" ca="1" si="44"/>
        <v>0</v>
      </c>
      <c r="AN79" s="504">
        <f t="shared" ca="1" si="45"/>
        <v>0</v>
      </c>
    </row>
    <row r="80" spans="1:40" ht="25.5" x14ac:dyDescent="0.2">
      <c r="A80" t="str">
        <f t="shared" si="30"/>
        <v>S</v>
      </c>
      <c r="B80">
        <f t="shared" ca="1" si="31"/>
        <v>2</v>
      </c>
      <c r="C80" t="str">
        <f t="shared" ca="1" si="32"/>
        <v>S</v>
      </c>
      <c r="D80">
        <f t="shared" ca="1" si="33"/>
        <v>0</v>
      </c>
      <c r="E80">
        <f ca="1">IF($C80=1,OFFSET(E80,-1,0)+MAX(1,COUNTIF(QCI!$A$13:$A$24,OFFSET(ORÇAMENTO!E80,-1,0))),OFFSET(E80,-1,0))</f>
        <v>2</v>
      </c>
      <c r="F80">
        <f t="shared" ca="1" si="34"/>
        <v>8</v>
      </c>
      <c r="G80">
        <f t="shared" ca="1" si="35"/>
        <v>0</v>
      </c>
      <c r="H80">
        <f t="shared" ca="1" si="36"/>
        <v>0</v>
      </c>
      <c r="I80">
        <f t="shared" ca="1" si="37"/>
        <v>0</v>
      </c>
      <c r="J80">
        <f t="shared" ref="J80:J88" ca="1" si="47">IF(OR($C80="S",$C80=0),0,MATCH(0,OFFSET($D80,1,$C80,ROW($C$89)-ROW($C80)),0))</f>
        <v>0</v>
      </c>
      <c r="K80">
        <f ca="1">IF(OR($C80="S",$C80=0),0,MATCH(OFFSET($D80,0,$C80)+IF($C80&lt;&gt;1,1,COUNTIF(QCI!$A$13:$A$24,ORÇAMENTO!E80)),OFFSET($D80,1,$C80,ROW($C$89)-ROW($C80)),0))</f>
        <v>0</v>
      </c>
      <c r="L80" s="116" t="str">
        <f t="shared" ca="1" si="38"/>
        <v/>
      </c>
      <c r="M80" s="117" t="s">
        <v>197</v>
      </c>
      <c r="N80" s="118" t="str">
        <f t="shared" ca="1" si="39"/>
        <v>Serviço</v>
      </c>
      <c r="O80" s="119" t="str">
        <f t="shared" ca="1" si="40"/>
        <v>-</v>
      </c>
      <c r="P80" s="120" t="s">
        <v>955</v>
      </c>
      <c r="Q80" s="121" t="s">
        <v>1034</v>
      </c>
      <c r="R80" s="122" t="str">
        <f ca="1">IF($C80="S",REFERENCIA.Descricao,"(digite a descrição aqui)")</f>
        <v>(abra o arquivo 'Referência 04-2026.xlsm)</v>
      </c>
      <c r="S80" s="123" t="str">
        <f ca="1">REFERENCIA.Unidade</f>
        <v>-</v>
      </c>
      <c r="T80" s="124">
        <f ca="1">OFFSET(CÁLCULO!H$15,ROW($T80)-ROW(T$15),0)</f>
        <v>3</v>
      </c>
      <c r="U80" s="125">
        <f t="shared" ca="1" si="46"/>
        <v>0</v>
      </c>
      <c r="V80" s="126" t="s">
        <v>155</v>
      </c>
      <c r="W80" s="124">
        <f ca="1">IF($C80="S",ROUND(IF(TIPOORCAMENTO="Proposto",ORÇAMENTO.CustoUnitario*(1+$AH80),ORÇAMENTO.PrecoUnitarioLicitado),15-13*$AF$10),0)</f>
        <v>0</v>
      </c>
      <c r="X80" s="127">
        <f ca="1">IF($C80="S",IF(OR(Import.TipoArredondamento&lt;&gt;"TransfereGOV",ACOMPANHAMENTO="BM"),VTOTAL1,SUM(OFFSET(CÁLCULO!$AA$15,ROW($X80)-ROW($X$15),1):OFFSET(CÁLCULO!$AL$15,ROW($X80)-ROW($X$15),-1))),IF($C80=0,0,ROUND(SomaAgrup,15-13*$AF$11)))</f>
        <v>0</v>
      </c>
      <c r="Y80" s="128" t="s">
        <v>243</v>
      </c>
      <c r="Z80" t="str">
        <f t="shared" ca="1" si="41"/>
        <v/>
      </c>
      <c r="AA80" s="129">
        <f ca="1">IF($C80="S",IF($Z80="CP",$X80,IF($Z80="RA",(($X80)*QCI!$AA$3),0)),SomaAgrup)</f>
        <v>0</v>
      </c>
      <c r="AB80" s="130">
        <f t="shared" ca="1" si="42"/>
        <v>0</v>
      </c>
      <c r="AC80" s="619" t="str">
        <f ca="1">IF($N80=""," ",
IF(AND($C80="S",OR($Q80&lt;&gt;0,$T80&gt;0,$U80&gt;0),$P80=0),"FONTE",
IF(AND($C80="S",$P80&lt;&gt;0,OR($T80&gt;0,$U80&gt;0),$Q80=0),"CÓDIGO",
IF(AND(OR($R80="",$R80="(digite a descrição aqui)"),OR($C80&lt;&gt;"S",AND($C80="S",OR($Q80&lt;&gt;0,$T80&gt;0,$U80&gt;0)))),"DESCRIÇÃO",
IF(AND($C80="S",$P80&lt;&gt;0,$Q80&lt;&gt;0,$S80=""),"UNIDADE",
IF(AND($C80="S",$P80&lt;&gt;0,$Q80&lt;&gt;0,$U80=0),"SEM CUSTO",
IF(AND(TIPOORCAMENTO="Licitado",$AL80=0,$AN80&gt;0),"SEM PREÇO",
IF(AND($C80="S",$P80&lt;&gt;0,$Q80&lt;&gt;0,$U80&gt;0,$V80=0),"BDI",
IF(OR(AND(TIPOORCAMENTO="Proposto",$AG80&lt;&gt;"",$AG80&gt;0,ORÇAMENTO.CustoUnitario&gt;$AG80),AND(TIPOORCAMENTO="LICITADO",ORÇAMENTO.PrecoUnitarioLicitado&gt;$AN80)),"ACIMA REF.",
IF(AND($C80="S",$P80&lt;&gt;0,$Q80&lt;&gt;0,$T80=0,$U80&gt;0),"QUANT.",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SEM CUSTO</v>
      </c>
      <c r="AD80" t="str">
        <f ca="1">IF(C80&lt;=CRONO.NivelExibicao,MAX($AD$15:OFFSET(AD80,-1,0))+IF($C80&lt;&gt;1,1,MAX(1,COUNTIF(QCI!$A$13:$A$24,OFFSET($E80,-1,0)))),"")</f>
        <v/>
      </c>
      <c r="AE80" s="7" t="str">
        <f ca="1">IF(AND($C80="S",ORÇAMENTO.CodBarra&lt;&gt;""),IF(ORÇAMENTO.Fonte="",ORÇAMENTO.CodBarra,CONCATENATE(ORÇAMENTO.Fonte," ",ORÇAMENTO.CodBarra)))</f>
        <v>SINAPI-I 2388</v>
      </c>
      <c r="AF80" s="13"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04-2026.xlsm)</v>
      </c>
      <c r="AG80" s="453">
        <f ca="1">ROUND(IF(DESONERACAO="sim",REFERENCIA.Desonerado,REFERENCIA.NaoDesonerado),2)</f>
        <v>0</v>
      </c>
      <c r="AH80" s="454">
        <f t="shared" ca="1" si="43"/>
        <v>0.26329999999999998</v>
      </c>
      <c r="AJ80" s="456"/>
      <c r="AL80" s="471"/>
      <c r="AM80" s="348">
        <f t="shared" ca="1" si="44"/>
        <v>0</v>
      </c>
      <c r="AN80" s="504">
        <f t="shared" ca="1" si="45"/>
        <v>0</v>
      </c>
    </row>
    <row r="81" spans="1:40" ht="25.5" x14ac:dyDescent="0.2">
      <c r="A81" t="str">
        <f t="shared" si="30"/>
        <v>S</v>
      </c>
      <c r="B81">
        <f t="shared" ca="1" si="31"/>
        <v>2</v>
      </c>
      <c r="C81" t="str">
        <f t="shared" ca="1" si="32"/>
        <v>S</v>
      </c>
      <c r="D81">
        <f t="shared" ca="1" si="33"/>
        <v>0</v>
      </c>
      <c r="E81">
        <f ca="1">IF($C81=1,OFFSET(E81,-1,0)+MAX(1,COUNTIF(QCI!$A$13:$A$24,OFFSET(ORÇAMENTO!E81,-1,0))),OFFSET(E81,-1,0))</f>
        <v>2</v>
      </c>
      <c r="F81">
        <f t="shared" ca="1" si="34"/>
        <v>8</v>
      </c>
      <c r="G81">
        <f t="shared" ca="1" si="35"/>
        <v>0</v>
      </c>
      <c r="H81">
        <f t="shared" ca="1" si="36"/>
        <v>0</v>
      </c>
      <c r="I81">
        <f t="shared" ca="1" si="37"/>
        <v>0</v>
      </c>
      <c r="J81">
        <f t="shared" ca="1" si="47"/>
        <v>0</v>
      </c>
      <c r="K81">
        <f ca="1">IF(OR($C81="S",$C81=0),0,MATCH(OFFSET($D81,0,$C81)+IF($C81&lt;&gt;1,1,COUNTIF(QCI!$A$13:$A$24,ORÇAMENTO!E81)),OFFSET($D81,1,$C81,ROW($C$89)-ROW($C81)),0))</f>
        <v>0</v>
      </c>
      <c r="L81" s="116" t="str">
        <f t="shared" ca="1" si="38"/>
        <v/>
      </c>
      <c r="M81" s="117" t="s">
        <v>197</v>
      </c>
      <c r="N81" s="118" t="str">
        <f t="shared" ca="1" si="39"/>
        <v>Serviço</v>
      </c>
      <c r="O81" s="119" t="str">
        <f t="shared" ca="1" si="40"/>
        <v>-</v>
      </c>
      <c r="P81" s="120" t="s">
        <v>955</v>
      </c>
      <c r="Q81" s="121" t="s">
        <v>1035</v>
      </c>
      <c r="R81" s="122" t="str">
        <f ca="1">IF($C81="S",REFERENCIA.Descricao,"(digite a descrição aqui)")</f>
        <v>(abra o arquivo 'Referência 04-2026.xlsm)</v>
      </c>
      <c r="S81" s="123" t="str">
        <f ca="1">REFERENCIA.Unidade</f>
        <v>-</v>
      </c>
      <c r="T81" s="124">
        <f ca="1">OFFSET(CÁLCULO!H$15,ROW($T81)-ROW(T$15),0)</f>
        <v>4</v>
      </c>
      <c r="U81" s="125">
        <f t="shared" ca="1" si="46"/>
        <v>0</v>
      </c>
      <c r="V81" s="126" t="s">
        <v>155</v>
      </c>
      <c r="W81" s="124">
        <f ca="1">IF($C81="S",ROUND(IF(TIPOORCAMENTO="Proposto",ORÇAMENTO.CustoUnitario*(1+$AH81),ORÇAMENTO.PrecoUnitarioLicitado),15-13*$AF$10),0)</f>
        <v>0</v>
      </c>
      <c r="X81" s="127">
        <f ca="1">IF($C81="S",IF(OR(Import.TipoArredondamento&lt;&gt;"TransfereGOV",ACOMPANHAMENTO="BM"),VTOTAL1,SUM(OFFSET(CÁLCULO!$AA$15,ROW($X81)-ROW($X$15),1):OFFSET(CÁLCULO!$AL$15,ROW($X81)-ROW($X$15),-1))),IF($C81=0,0,ROUND(SomaAgrup,15-13*$AF$11)))</f>
        <v>0</v>
      </c>
      <c r="Y81" s="128" t="s">
        <v>243</v>
      </c>
      <c r="Z81" t="str">
        <f t="shared" ca="1" si="41"/>
        <v/>
      </c>
      <c r="AA81" s="129">
        <f ca="1">IF($C81="S",IF($Z81="CP",$X81,IF($Z81="RA",(($X81)*QCI!$AA$3),0)),SomaAgrup)</f>
        <v>0</v>
      </c>
      <c r="AB81" s="130">
        <f t="shared" ca="1" si="42"/>
        <v>0</v>
      </c>
      <c r="AC81" s="619" t="str">
        <f ca="1">IF($N81=""," ",
IF(AND($C81="S",OR($Q81&lt;&gt;0,$T81&gt;0,$U81&gt;0),$P81=0),"FONTE",
IF(AND($C81="S",$P81&lt;&gt;0,OR($T81&gt;0,$U81&gt;0),$Q81=0),"CÓDIGO",
IF(AND(OR($R81="",$R81="(digite a descrição aqui)"),OR($C81&lt;&gt;"S",AND($C81="S",OR($Q81&lt;&gt;0,$T81&gt;0,$U81&gt;0)))),"DESCRIÇÃO",
IF(AND($C81="S",$P81&lt;&gt;0,$Q81&lt;&gt;0,$S81=""),"UNIDADE",
IF(AND($C81="S",$P81&lt;&gt;0,$Q81&lt;&gt;0,$U81=0),"SEM CUSTO",
IF(AND(TIPOORCAMENTO="Licitado",$AL81=0,$AN81&gt;0),"SEM PREÇO",
IF(AND($C81="S",$P81&lt;&gt;0,$Q81&lt;&gt;0,$U81&gt;0,$V81=0),"BDI",
IF(OR(AND(TIPOORCAMENTO="Proposto",$AG81&lt;&gt;"",$AG81&gt;0,ORÇAMENTO.CustoUnitario&gt;$AG81),AND(TIPOORCAMENTO="LICITADO",ORÇAMENTO.PrecoUnitarioLicitado&gt;$AN81)),"ACIMA REF.",
IF(AND($C81="S",$P81&lt;&gt;0,$Q81&lt;&gt;0,$T81=0,$U81&gt;0),"QUANT.",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SEM CUSTO</v>
      </c>
      <c r="AD81" t="str">
        <f ca="1">IF(C81&lt;=CRONO.NivelExibicao,MAX($AD$15:OFFSET(AD81,-1,0))+IF($C81&lt;&gt;1,1,MAX(1,COUNTIF(QCI!$A$13:$A$24,OFFSET($E81,-1,0)))),"")</f>
        <v/>
      </c>
      <c r="AE81" s="7" t="str">
        <f ca="1">IF(AND($C81="S",ORÇAMENTO.CodBarra&lt;&gt;""),IF(ORÇAMENTO.Fonte="",ORÇAMENTO.CodBarra,CONCATENATE(ORÇAMENTO.Fonte," ",ORÇAMENTO.CodBarra)))</f>
        <v>SINAPI-I 20111</v>
      </c>
      <c r="AF81" s="13"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04-2026.xlsm)</v>
      </c>
      <c r="AG81" s="453">
        <f ca="1">ROUND(IF(DESONERACAO="sim",REFERENCIA.Desonerado,REFERENCIA.NaoDesonerado),2)</f>
        <v>0</v>
      </c>
      <c r="AH81" s="454">
        <f t="shared" ca="1" si="43"/>
        <v>0.26329999999999998</v>
      </c>
      <c r="AJ81" s="456"/>
      <c r="AL81" s="471"/>
      <c r="AM81" s="348">
        <f t="shared" ca="1" si="44"/>
        <v>0</v>
      </c>
      <c r="AN81" s="504">
        <f t="shared" ca="1" si="45"/>
        <v>0</v>
      </c>
    </row>
    <row r="82" spans="1:40" ht="25.5" x14ac:dyDescent="0.2">
      <c r="A82" t="str">
        <f t="shared" si="30"/>
        <v>S</v>
      </c>
      <c r="B82">
        <f t="shared" ca="1" si="31"/>
        <v>2</v>
      </c>
      <c r="C82" t="str">
        <f t="shared" ca="1" si="32"/>
        <v>S</v>
      </c>
      <c r="D82">
        <f t="shared" ca="1" si="33"/>
        <v>0</v>
      </c>
      <c r="E82">
        <f ca="1">IF($C82=1,OFFSET(E82,-1,0)+MAX(1,COUNTIF(QCI!$A$13:$A$24,OFFSET(ORÇAMENTO!E82,-1,0))),OFFSET(E82,-1,0))</f>
        <v>2</v>
      </c>
      <c r="F82">
        <f t="shared" ca="1" si="34"/>
        <v>8</v>
      </c>
      <c r="G82">
        <f t="shared" ca="1" si="35"/>
        <v>0</v>
      </c>
      <c r="H82">
        <f t="shared" ca="1" si="36"/>
        <v>0</v>
      </c>
      <c r="I82">
        <f t="shared" ca="1" si="37"/>
        <v>0</v>
      </c>
      <c r="J82">
        <f t="shared" ca="1" si="47"/>
        <v>0</v>
      </c>
      <c r="K82">
        <f ca="1">IF(OR($C82="S",$C82=0),0,MATCH(OFFSET($D82,0,$C82)+IF($C82&lt;&gt;1,1,COUNTIF(QCI!$A$13:$A$24,ORÇAMENTO!E82)),OFFSET($D82,1,$C82,ROW($C$89)-ROW($C82)),0))</f>
        <v>0</v>
      </c>
      <c r="L82" s="116" t="str">
        <f t="shared" ca="1" si="38"/>
        <v/>
      </c>
      <c r="M82" s="117" t="s">
        <v>197</v>
      </c>
      <c r="N82" s="118" t="str">
        <f t="shared" ca="1" si="39"/>
        <v>Serviço</v>
      </c>
      <c r="O82" s="119" t="str">
        <f t="shared" ca="1" si="40"/>
        <v>-</v>
      </c>
      <c r="P82" s="120" t="s">
        <v>245</v>
      </c>
      <c r="Q82" s="121" t="s">
        <v>1036</v>
      </c>
      <c r="R82" s="122" t="str">
        <f ca="1">IF($C82="S",REFERENCIA.Descricao,"(digite a descrição aqui)")</f>
        <v>(abra o arquivo 'Referência 04-2026.xlsm)</v>
      </c>
      <c r="S82" s="123" t="str">
        <f ca="1">REFERENCIA.Unidade</f>
        <v>-</v>
      </c>
      <c r="T82" s="124">
        <f ca="1">OFFSET(CÁLCULO!H$15,ROW($T82)-ROW(T$15),0)</f>
        <v>35</v>
      </c>
      <c r="U82" s="125">
        <f t="shared" ca="1" si="46"/>
        <v>0</v>
      </c>
      <c r="V82" s="126" t="s">
        <v>155</v>
      </c>
      <c r="W82" s="124">
        <f ca="1">IF($C82="S",ROUND(IF(TIPOORCAMENTO="Proposto",ORÇAMENTO.CustoUnitario*(1+$AH82),ORÇAMENTO.PrecoUnitarioLicitado),15-13*$AF$10),0)</f>
        <v>0</v>
      </c>
      <c r="X82" s="127">
        <f ca="1">IF($C82="S",IF(OR(Import.TipoArredondamento&lt;&gt;"TransfereGOV",ACOMPANHAMENTO="BM"),VTOTAL1,SUM(OFFSET(CÁLCULO!$AA$15,ROW($X82)-ROW($X$15),1):OFFSET(CÁLCULO!$AL$15,ROW($X82)-ROW($X$15),-1))),IF($C82=0,0,ROUND(SomaAgrup,15-13*$AF$11)))</f>
        <v>0</v>
      </c>
      <c r="Y82" s="128" t="s">
        <v>243</v>
      </c>
      <c r="Z82" t="str">
        <f t="shared" ca="1" si="41"/>
        <v/>
      </c>
      <c r="AA82" s="129">
        <f ca="1">IF($C82="S",IF($Z82="CP",$X82,IF($Z82="RA",(($X82)*QCI!$AA$3),0)),SomaAgrup)</f>
        <v>0</v>
      </c>
      <c r="AB82" s="130">
        <f t="shared" ca="1" si="42"/>
        <v>0</v>
      </c>
      <c r="AC82" s="619" t="str">
        <f ca="1">IF($N82=""," ",
IF(AND($C82="S",OR($Q82&lt;&gt;0,$T82&gt;0,$U82&gt;0),$P82=0),"FONTE",
IF(AND($C82="S",$P82&lt;&gt;0,OR($T82&gt;0,$U82&gt;0),$Q82=0),"CÓDIGO",
IF(AND(OR($R82="",$R82="(digite a descrição aqui)"),OR($C82&lt;&gt;"S",AND($C82="S",OR($Q82&lt;&gt;0,$T82&gt;0,$U82&gt;0)))),"DESCRIÇÃO",
IF(AND($C82="S",$P82&lt;&gt;0,$Q82&lt;&gt;0,$S82=""),"UNIDADE",
IF(AND($C82="S",$P82&lt;&gt;0,$Q82&lt;&gt;0,$U82=0),"SEM CUSTO",
IF(AND(TIPOORCAMENTO="Licitado",$AL82=0,$AN82&gt;0),"SEM PREÇO",
IF(AND($C82="S",$P82&lt;&gt;0,$Q82&lt;&gt;0,$U82&gt;0,$V82=0),"BDI",
IF(OR(AND(TIPOORCAMENTO="Proposto",$AG82&lt;&gt;"",$AG82&gt;0,ORÇAMENTO.CustoUnitario&gt;$AG82),AND(TIPOORCAMENTO="LICITADO",ORÇAMENTO.PrecoUnitarioLicitado&gt;$AN82)),"ACIMA REF.",
IF(AND($C82="S",$P82&lt;&gt;0,$Q82&lt;&gt;0,$T82=0,$U82&gt;0),"QUANT.",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SEM CUSTO</v>
      </c>
      <c r="AD82" t="str">
        <f ca="1">IF(C82&lt;=CRONO.NivelExibicao,MAX($AD$15:OFFSET(AD82,-1,0))+IF($C82&lt;&gt;1,1,MAX(1,COUNTIF(QCI!$A$13:$A$24,OFFSET($E82,-1,0)))),"")</f>
        <v/>
      </c>
      <c r="AE82" s="7" t="str">
        <f ca="1">IF(AND($C82="S",ORÇAMENTO.CodBarra&lt;&gt;""),IF(ORÇAMENTO.Fonte="",ORÇAMENTO.CodBarra,CONCATENATE(ORÇAMENTO.Fonte," ",ORÇAMENTO.CodBarra)))</f>
        <v>SINAPI 91937</v>
      </c>
      <c r="AF82" s="13"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04-2026.xlsm)</v>
      </c>
      <c r="AG82" s="453">
        <f ca="1">ROUND(IF(DESONERACAO="sim",REFERENCIA.Desonerado,REFERENCIA.NaoDesonerado),2)</f>
        <v>0</v>
      </c>
      <c r="AH82" s="454">
        <f t="shared" ca="1" si="43"/>
        <v>0.26329999999999998</v>
      </c>
      <c r="AJ82" s="456"/>
      <c r="AL82" s="471"/>
      <c r="AM82" s="348">
        <f t="shared" ca="1" si="44"/>
        <v>0</v>
      </c>
      <c r="AN82" s="504">
        <f t="shared" ca="1" si="45"/>
        <v>0</v>
      </c>
    </row>
    <row r="83" spans="1:40" ht="25.5" x14ac:dyDescent="0.2">
      <c r="A83" t="str">
        <f t="shared" si="30"/>
        <v>S</v>
      </c>
      <c r="B83">
        <f t="shared" ca="1" si="31"/>
        <v>2</v>
      </c>
      <c r="C83" t="str">
        <f t="shared" ca="1" si="32"/>
        <v>S</v>
      </c>
      <c r="D83">
        <f t="shared" ca="1" si="33"/>
        <v>0</v>
      </c>
      <c r="E83">
        <f ca="1">IF($C83=1,OFFSET(E83,-1,0)+MAX(1,COUNTIF(QCI!$A$13:$A$24,OFFSET(ORÇAMENTO!E83,-1,0))),OFFSET(E83,-1,0))</f>
        <v>2</v>
      </c>
      <c r="F83">
        <f t="shared" ca="1" si="34"/>
        <v>8</v>
      </c>
      <c r="G83">
        <f t="shared" ca="1" si="35"/>
        <v>0</v>
      </c>
      <c r="H83">
        <f t="shared" ca="1" si="36"/>
        <v>0</v>
      </c>
      <c r="I83">
        <f t="shared" ca="1" si="37"/>
        <v>0</v>
      </c>
      <c r="J83">
        <f t="shared" ca="1" si="47"/>
        <v>0</v>
      </c>
      <c r="K83">
        <f ca="1">IF(OR($C83="S",$C83=0),0,MATCH(OFFSET($D83,0,$C83)+IF($C83&lt;&gt;1,1,COUNTIF(QCI!$A$13:$A$24,ORÇAMENTO!E83)),OFFSET($D83,1,$C83,ROW($C$89)-ROW($C83)),0))</f>
        <v>0</v>
      </c>
      <c r="L83" s="116" t="str">
        <f t="shared" ca="1" si="38"/>
        <v/>
      </c>
      <c r="M83" s="117" t="s">
        <v>197</v>
      </c>
      <c r="N83" s="118" t="str">
        <f t="shared" ca="1" si="39"/>
        <v>Serviço</v>
      </c>
      <c r="O83" s="119" t="str">
        <f t="shared" ca="1" si="40"/>
        <v>-</v>
      </c>
      <c r="P83" s="120" t="s">
        <v>955</v>
      </c>
      <c r="Q83" s="121" t="s">
        <v>1037</v>
      </c>
      <c r="R83" s="122" t="str">
        <f ca="1">IF($C83="S",REFERENCIA.Descricao,"(digite a descrição aqui)")</f>
        <v>(abra o arquivo 'Referência 04-2026.xlsm)</v>
      </c>
      <c r="S83" s="123" t="str">
        <f ca="1">REFERENCIA.Unidade</f>
        <v>-</v>
      </c>
      <c r="T83" s="124">
        <f ca="1">OFFSET(CÁLCULO!H$15,ROW($T83)-ROW(T$15),0)</f>
        <v>5</v>
      </c>
      <c r="U83" s="125">
        <f t="shared" ca="1" si="46"/>
        <v>0</v>
      </c>
      <c r="V83" s="126" t="s">
        <v>155</v>
      </c>
      <c r="W83" s="124">
        <f ca="1">IF($C83="S",ROUND(IF(TIPOORCAMENTO="Proposto",ORÇAMENTO.CustoUnitario*(1+$AH83),ORÇAMENTO.PrecoUnitarioLicitado),15-13*$AF$10),0)</f>
        <v>0</v>
      </c>
      <c r="X83" s="127">
        <f ca="1">IF($C83="S",IF(OR(Import.TipoArredondamento&lt;&gt;"TransfereGOV",ACOMPANHAMENTO="BM"),VTOTAL1,SUM(OFFSET(CÁLCULO!$AA$15,ROW($X83)-ROW($X$15),1):OFFSET(CÁLCULO!$AL$15,ROW($X83)-ROW($X$15),-1))),IF($C83=0,0,ROUND(SomaAgrup,15-13*$AF$11)))</f>
        <v>0</v>
      </c>
      <c r="Y83" s="128" t="s">
        <v>243</v>
      </c>
      <c r="Z83" t="str">
        <f t="shared" ca="1" si="41"/>
        <v/>
      </c>
      <c r="AA83" s="129">
        <f ca="1">IF($C83="S",IF($Z83="CP",$X83,IF($Z83="RA",(($X83)*QCI!$AA$3),0)),SomaAgrup)</f>
        <v>0</v>
      </c>
      <c r="AB83" s="130">
        <f t="shared" ca="1" si="42"/>
        <v>0</v>
      </c>
      <c r="AC83" s="619" t="str">
        <f ca="1">IF($N83=""," ",
IF(AND($C83="S",OR($Q83&lt;&gt;0,$T83&gt;0,$U83&gt;0),$P83=0),"FONTE",
IF(AND($C83="S",$P83&lt;&gt;0,OR($T83&gt;0,$U83&gt;0),$Q83=0),"CÓDIGO",
IF(AND(OR($R83="",$R83="(digite a descrição aqui)"),OR($C83&lt;&gt;"S",AND($C83="S",OR($Q83&lt;&gt;0,$T83&gt;0,$U83&gt;0)))),"DESCRIÇÃO",
IF(AND($C83="S",$P83&lt;&gt;0,$Q83&lt;&gt;0,$S83=""),"UNIDADE",
IF(AND($C83="S",$P83&lt;&gt;0,$Q83&lt;&gt;0,$U83=0),"SEM CUSTO",
IF(AND(TIPOORCAMENTO="Licitado",$AL83=0,$AN83&gt;0),"SEM PREÇO",
IF(AND($C83="S",$P83&lt;&gt;0,$Q83&lt;&gt;0,$U83&gt;0,$V83=0),"BDI",
IF(OR(AND(TIPOORCAMENTO="Proposto",$AG83&lt;&gt;"",$AG83&gt;0,ORÇAMENTO.CustoUnitario&gt;$AG83),AND(TIPOORCAMENTO="LICITADO",ORÇAMENTO.PrecoUnitarioLicitado&gt;$AN83)),"ACIMA REF.",
IF(AND($C83="S",$P83&lt;&gt;0,$Q83&lt;&gt;0,$T83=0,$U83&gt;0),"QUANT.",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SEM CUSTO</v>
      </c>
      <c r="AD83" t="str">
        <f ca="1">IF(C83&lt;=CRONO.NivelExibicao,MAX($AD$15:OFFSET(AD83,-1,0))+IF($C83&lt;&gt;1,1,MAX(1,COUNTIF(QCI!$A$13:$A$24,OFFSET($E83,-1,0)))),"")</f>
        <v/>
      </c>
      <c r="AE83" s="7" t="str">
        <f ca="1">IF(AND($C83="S",ORÇAMENTO.CodBarra&lt;&gt;""),IF(ORÇAMENTO.Fonte="",ORÇAMENTO.CodBarra,CONCATENATE(ORÇAMENTO.Fonte," ",ORÇAMENTO.CodBarra)))</f>
        <v>SINAPI-I 14543</v>
      </c>
      <c r="AF83" s="13"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04-2026.xlsm)</v>
      </c>
      <c r="AG83" s="453">
        <f ca="1">ROUND(IF(DESONERACAO="sim",REFERENCIA.Desonerado,REFERENCIA.NaoDesonerado),2)</f>
        <v>0</v>
      </c>
      <c r="AH83" s="454">
        <f t="shared" ca="1" si="43"/>
        <v>0.26329999999999998</v>
      </c>
      <c r="AJ83" s="456"/>
      <c r="AL83" s="471"/>
      <c r="AM83" s="348">
        <f t="shared" ca="1" si="44"/>
        <v>0</v>
      </c>
      <c r="AN83" s="504">
        <f t="shared" ca="1" si="45"/>
        <v>0</v>
      </c>
    </row>
    <row r="84" spans="1:40" ht="25.5" x14ac:dyDescent="0.2">
      <c r="A84" t="str">
        <f t="shared" si="30"/>
        <v>S</v>
      </c>
      <c r="B84">
        <f t="shared" ca="1" si="31"/>
        <v>2</v>
      </c>
      <c r="C84" t="str">
        <f t="shared" ca="1" si="32"/>
        <v>S</v>
      </c>
      <c r="D84">
        <f t="shared" ca="1" si="33"/>
        <v>0</v>
      </c>
      <c r="E84">
        <f ca="1">IF($C84=1,OFFSET(E84,-1,0)+MAX(1,COUNTIF(QCI!$A$13:$A$24,OFFSET(ORÇAMENTO!E84,-1,0))),OFFSET(E84,-1,0))</f>
        <v>2</v>
      </c>
      <c r="F84">
        <f t="shared" ca="1" si="34"/>
        <v>8</v>
      </c>
      <c r="G84">
        <f t="shared" ca="1" si="35"/>
        <v>0</v>
      </c>
      <c r="H84">
        <f t="shared" ca="1" si="36"/>
        <v>0</v>
      </c>
      <c r="I84">
        <f t="shared" ca="1" si="37"/>
        <v>0</v>
      </c>
      <c r="J84">
        <f t="shared" ca="1" si="47"/>
        <v>0</v>
      </c>
      <c r="K84">
        <f ca="1">IF(OR($C84="S",$C84=0),0,MATCH(OFFSET($D84,0,$C84)+IF($C84&lt;&gt;1,1,COUNTIF(QCI!$A$13:$A$24,ORÇAMENTO!E84)),OFFSET($D84,1,$C84,ROW($C$89)-ROW($C84)),0))</f>
        <v>0</v>
      </c>
      <c r="L84" s="116" t="str">
        <f t="shared" ca="1" si="38"/>
        <v/>
      </c>
      <c r="M84" s="117" t="s">
        <v>197</v>
      </c>
      <c r="N84" s="118" t="str">
        <f t="shared" ca="1" si="39"/>
        <v>Serviço</v>
      </c>
      <c r="O84" s="119" t="str">
        <f t="shared" ca="1" si="40"/>
        <v>-</v>
      </c>
      <c r="P84" s="120" t="s">
        <v>955</v>
      </c>
      <c r="Q84" s="121" t="s">
        <v>1038</v>
      </c>
      <c r="R84" s="122" t="str">
        <f ca="1">IF($C84="S",REFERENCIA.Descricao,"(digite a descrição aqui)")</f>
        <v>(abra o arquivo 'Referência 04-2026.xlsm)</v>
      </c>
      <c r="S84" s="123" t="str">
        <f ca="1">REFERENCIA.Unidade</f>
        <v>-</v>
      </c>
      <c r="T84" s="124">
        <f ca="1">OFFSET(CÁLCULO!H$15,ROW($T84)-ROW(T$15),0)</f>
        <v>14</v>
      </c>
      <c r="U84" s="125">
        <f t="shared" ca="1" si="46"/>
        <v>0</v>
      </c>
      <c r="V84" s="126" t="s">
        <v>155</v>
      </c>
      <c r="W84" s="124">
        <f ca="1">IF($C84="S",ROUND(IF(TIPOORCAMENTO="Proposto",ORÇAMENTO.CustoUnitario*(1+$AH84),ORÇAMENTO.PrecoUnitarioLicitado),15-13*$AF$10),0)</f>
        <v>0</v>
      </c>
      <c r="X84" s="127">
        <f ca="1">IF($C84="S",IF(OR(Import.TipoArredondamento&lt;&gt;"TransfereGOV",ACOMPANHAMENTO="BM"),VTOTAL1,SUM(OFFSET(CÁLCULO!$AA$15,ROW($X84)-ROW($X$15),1):OFFSET(CÁLCULO!$AL$15,ROW($X84)-ROW($X$15),-1))),IF($C84=0,0,ROUND(SomaAgrup,15-13*$AF$11)))</f>
        <v>0</v>
      </c>
      <c r="Y84" s="128" t="s">
        <v>243</v>
      </c>
      <c r="Z84" t="str">
        <f t="shared" ca="1" si="41"/>
        <v/>
      </c>
      <c r="AA84" s="129">
        <f ca="1">IF($C84="S",IF($Z84="CP",$X84,IF($Z84="RA",(($X84)*QCI!$AA$3),0)),SomaAgrup)</f>
        <v>0</v>
      </c>
      <c r="AB84" s="130">
        <f t="shared" ca="1" si="42"/>
        <v>0</v>
      </c>
      <c r="AC84" s="619" t="str">
        <f ca="1">IF($N84=""," ",
IF(AND($C84="S",OR($Q84&lt;&gt;0,$T84&gt;0,$U84&gt;0),$P84=0),"FONTE",
IF(AND($C84="S",$P84&lt;&gt;0,OR($T84&gt;0,$U84&gt;0),$Q84=0),"CÓDIGO",
IF(AND(OR($R84="",$R84="(digite a descrição aqui)"),OR($C84&lt;&gt;"S",AND($C84="S",OR($Q84&lt;&gt;0,$T84&gt;0,$U84&gt;0)))),"DESCRIÇÃO",
IF(AND($C84="S",$P84&lt;&gt;0,$Q84&lt;&gt;0,$S84=""),"UNIDADE",
IF(AND($C84="S",$P84&lt;&gt;0,$Q84&lt;&gt;0,$U84=0),"SEM CUSTO",
IF(AND(TIPOORCAMENTO="Licitado",$AL84=0,$AN84&gt;0),"SEM PREÇO",
IF(AND($C84="S",$P84&lt;&gt;0,$Q84&lt;&gt;0,$U84&gt;0,$V84=0),"BDI",
IF(OR(AND(TIPOORCAMENTO="Proposto",$AG84&lt;&gt;"",$AG84&gt;0,ORÇAMENTO.CustoUnitario&gt;$AG84),AND(TIPOORCAMENTO="LICITADO",ORÇAMENTO.PrecoUnitarioLicitado&gt;$AN84)),"ACIMA REF.",
IF(AND($C84="S",$P84&lt;&gt;0,$Q84&lt;&gt;0,$T84=0,$U84&gt;0),"QUANT.",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SEM CUSTO</v>
      </c>
      <c r="AD84" t="str">
        <f ca="1">IF(C84&lt;=CRONO.NivelExibicao,MAX($AD$15:OFFSET(AD84,-1,0))+IF($C84&lt;&gt;1,1,MAX(1,COUNTIF(QCI!$A$13:$A$24,OFFSET($E84,-1,0)))),"")</f>
        <v/>
      </c>
      <c r="AE84" s="7" t="str">
        <f ca="1">IF(AND($C84="S",ORÇAMENTO.CodBarra&lt;&gt;""),IF(ORÇAMENTO.Fonte="",ORÇAMENTO.CodBarra,CONCATENATE(ORÇAMENTO.Fonte," ",ORÇAMENTO.CodBarra)))</f>
        <v>SINAPI-I 12294</v>
      </c>
      <c r="AF84" s="13"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04-2026.xlsm)</v>
      </c>
      <c r="AG84" s="453">
        <f ca="1">ROUND(IF(DESONERACAO="sim",REFERENCIA.Desonerado,REFERENCIA.NaoDesonerado),2)</f>
        <v>0</v>
      </c>
      <c r="AH84" s="454">
        <f t="shared" ca="1" si="43"/>
        <v>0.26329999999999998</v>
      </c>
      <c r="AJ84" s="456"/>
      <c r="AL84" s="471"/>
      <c r="AM84" s="348">
        <f t="shared" ca="1" si="44"/>
        <v>0</v>
      </c>
      <c r="AN84" s="504">
        <f t="shared" ca="1" si="45"/>
        <v>0</v>
      </c>
    </row>
    <row r="85" spans="1:40" ht="25.5" x14ac:dyDescent="0.2">
      <c r="A85" t="str">
        <f t="shared" si="30"/>
        <v>S</v>
      </c>
      <c r="B85">
        <f t="shared" ca="1" si="31"/>
        <v>2</v>
      </c>
      <c r="C85" t="str">
        <f t="shared" ca="1" si="32"/>
        <v>S</v>
      </c>
      <c r="D85">
        <f t="shared" ca="1" si="33"/>
        <v>0</v>
      </c>
      <c r="E85">
        <f ca="1">IF($C85=1,OFFSET(E85,-1,0)+MAX(1,COUNTIF(QCI!$A$13:$A$24,OFFSET(ORÇAMENTO!E85,-1,0))),OFFSET(E85,-1,0))</f>
        <v>2</v>
      </c>
      <c r="F85">
        <f t="shared" ca="1" si="34"/>
        <v>8</v>
      </c>
      <c r="G85">
        <f t="shared" ca="1" si="35"/>
        <v>0</v>
      </c>
      <c r="H85">
        <f t="shared" ca="1" si="36"/>
        <v>0</v>
      </c>
      <c r="I85">
        <f t="shared" ca="1" si="37"/>
        <v>0</v>
      </c>
      <c r="J85">
        <f t="shared" ca="1" si="47"/>
        <v>0</v>
      </c>
      <c r="K85">
        <f ca="1">IF(OR($C85="S",$C85=0),0,MATCH(OFFSET($D85,0,$C85)+IF($C85&lt;&gt;1,1,COUNTIF(QCI!$A$13:$A$24,ORÇAMENTO!E85)),OFFSET($D85,1,$C85,ROW($C$89)-ROW($C85)),0))</f>
        <v>0</v>
      </c>
      <c r="L85" s="116" t="str">
        <f t="shared" ca="1" si="38"/>
        <v/>
      </c>
      <c r="M85" s="117" t="s">
        <v>197</v>
      </c>
      <c r="N85" s="118" t="str">
        <f t="shared" ca="1" si="39"/>
        <v>Serviço</v>
      </c>
      <c r="O85" s="119" t="str">
        <f t="shared" ca="1" si="40"/>
        <v>-</v>
      </c>
      <c r="P85" s="120" t="s">
        <v>245</v>
      </c>
      <c r="Q85" s="121" t="s">
        <v>1039</v>
      </c>
      <c r="R85" s="122" t="str">
        <f ca="1">IF($C85="S",REFERENCIA.Descricao,"(digite a descrição aqui)")</f>
        <v>(abra o arquivo 'Referência 04-2026.xlsm)</v>
      </c>
      <c r="S85" s="123" t="str">
        <f ca="1">REFERENCIA.Unidade</f>
        <v>-</v>
      </c>
      <c r="T85" s="124">
        <f ca="1">OFFSET(CÁLCULO!H$15,ROW($T85)-ROW(T$15),0)</f>
        <v>19</v>
      </c>
      <c r="U85" s="125">
        <f t="shared" ca="1" si="46"/>
        <v>0</v>
      </c>
      <c r="V85" s="126" t="s">
        <v>155</v>
      </c>
      <c r="W85" s="124">
        <f ca="1">IF($C85="S",ROUND(IF(TIPOORCAMENTO="Proposto",ORÇAMENTO.CustoUnitario*(1+$AH85),ORÇAMENTO.PrecoUnitarioLicitado),15-13*$AF$10),0)</f>
        <v>0</v>
      </c>
      <c r="X85" s="127">
        <f ca="1">IF($C85="S",IF(OR(Import.TipoArredondamento&lt;&gt;"TransfereGOV",ACOMPANHAMENTO="BM"),VTOTAL1,SUM(OFFSET(CÁLCULO!$AA$15,ROW($X85)-ROW($X$15),1):OFFSET(CÁLCULO!$AL$15,ROW($X85)-ROW($X$15),-1))),IF($C85=0,0,ROUND(SomaAgrup,15-13*$AF$11)))</f>
        <v>0</v>
      </c>
      <c r="Y85" s="128" t="s">
        <v>243</v>
      </c>
      <c r="Z85" t="str">
        <f t="shared" ca="1" si="41"/>
        <v/>
      </c>
      <c r="AA85" s="129">
        <f ca="1">IF($C85="S",IF($Z85="CP",$X85,IF($Z85="RA",(($X85)*QCI!$AA$3),0)),SomaAgrup)</f>
        <v>0</v>
      </c>
      <c r="AB85" s="130">
        <f t="shared" ca="1" si="42"/>
        <v>0</v>
      </c>
      <c r="AC85" s="619" t="str">
        <f ca="1">IF($N85=""," ",
IF(AND($C85="S",OR($Q85&lt;&gt;0,$T85&gt;0,$U85&gt;0),$P85=0),"FONTE",
IF(AND($C85="S",$P85&lt;&gt;0,OR($T85&gt;0,$U85&gt;0),$Q85=0),"CÓDIGO",
IF(AND(OR($R85="",$R85="(digite a descrição aqui)"),OR($C85&lt;&gt;"S",AND($C85="S",OR($Q85&lt;&gt;0,$T85&gt;0,$U85&gt;0)))),"DESCRIÇÃO",
IF(AND($C85="S",$P85&lt;&gt;0,$Q85&lt;&gt;0,$S85=""),"UNIDADE",
IF(AND($C85="S",$P85&lt;&gt;0,$Q85&lt;&gt;0,$U85=0),"SEM CUSTO",
IF(AND(TIPOORCAMENTO="Licitado",$AL85=0,$AN85&gt;0),"SEM PREÇO",
IF(AND($C85="S",$P85&lt;&gt;0,$Q85&lt;&gt;0,$U85&gt;0,$V85=0),"BDI",
IF(OR(AND(TIPOORCAMENTO="Proposto",$AG85&lt;&gt;"",$AG85&gt;0,ORÇAMENTO.CustoUnitario&gt;$AG85),AND(TIPOORCAMENTO="LICITADO",ORÇAMENTO.PrecoUnitarioLicitado&gt;$AN85)),"ACIMA REF.",
IF(AND($C85="S",$P85&lt;&gt;0,$Q85&lt;&gt;0,$T85=0,$U85&gt;0),"QUANT.",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SEM CUSTO</v>
      </c>
      <c r="AD85" t="str">
        <f ca="1">IF(C85&lt;=CRONO.NivelExibicao,MAX($AD$15:OFFSET(AD85,-1,0))+IF($C85&lt;&gt;1,1,MAX(1,COUNTIF(QCI!$A$13:$A$24,OFFSET($E85,-1,0)))),"")</f>
        <v/>
      </c>
      <c r="AE85" s="7" t="str">
        <f ca="1">IF(AND($C85="S",ORÇAMENTO.CodBarra&lt;&gt;""),IF(ORÇAMENTO.Fonte="",ORÇAMENTO.CodBarra,CONCATENATE(ORÇAMENTO.Fonte," ",ORÇAMENTO.CodBarra)))</f>
        <v>SINAPI 97610</v>
      </c>
      <c r="AF85" s="13"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04-2026.xlsm)</v>
      </c>
      <c r="AG85" s="453">
        <f ca="1">ROUND(IF(DESONERACAO="sim",REFERENCIA.Desonerado,REFERENCIA.NaoDesonerado),2)</f>
        <v>0</v>
      </c>
      <c r="AH85" s="454">
        <f t="shared" ca="1" si="43"/>
        <v>0.26329999999999998</v>
      </c>
      <c r="AJ85" s="456"/>
      <c r="AL85" s="471"/>
      <c r="AM85" s="348">
        <f t="shared" ca="1" si="44"/>
        <v>0</v>
      </c>
      <c r="AN85" s="504">
        <f t="shared" ca="1" si="45"/>
        <v>0</v>
      </c>
    </row>
    <row r="86" spans="1:40" ht="38.25" x14ac:dyDescent="0.2">
      <c r="A86" t="str">
        <f>CHOOSE(1+LOG(1+2*(ORÇAMENTO.Nivel="Meta")+4*(ORÇAMENTO.Nivel="Nível 2")+8*(ORÇAMENTO.Nivel="Nível 3")+16*(ORÇAMENTO.Nivel="Nível 4")+32*(ORÇAMENTO.Nivel="Serviço"),2),0,1,2,3,4,"S")</f>
        <v>S</v>
      </c>
      <c r="B86">
        <f ca="1">IF(OR(C86="s",C86=0),OFFSET(B86,-1,0),C86)</f>
        <v>2</v>
      </c>
      <c r="C86" t="str">
        <f ca="1">IF(OFFSET(C86,-1,0)="L",1,IF(OFFSET(C86,-1,0)=1,2,IF(OR(A86="s",A86=0),"S",IF(AND(OFFSET(C86,-1,0)=2,A86=4),3,IF(AND(OR(OFFSET(C86,-1,0)="s",OFFSET(C86,-1,0)=0),A86&lt;&gt;"s",A86&gt;OFFSET(B86,-1,0)),OFFSET(B86,-1,0),A86)))))</f>
        <v>S</v>
      </c>
      <c r="D86">
        <f ca="1">IF(OR(C86="S",C86=0),0,IF(ISERROR(K86),J86,SMALL(J86:K86,1)))</f>
        <v>0</v>
      </c>
      <c r="E86">
        <f ca="1">IF($C86=1,OFFSET(E86,-1,0)+MAX(1,COUNTIF(QCI!$A$13:$A$24,OFFSET(ORÇAMENTO!E86,-1,0))),OFFSET(E86,-1,0))</f>
        <v>2</v>
      </c>
      <c r="F86">
        <f ca="1">IF($C86=1,0,IF($C86=2,OFFSET(F86,-1,0)+1,OFFSET(F86,-1,0)))</f>
        <v>8</v>
      </c>
      <c r="G86">
        <f ca="1">IF(AND($C86&lt;=2,$C86&lt;&gt;0),0,IF($C86=3,OFFSET(G86,-1,0)+1,OFFSET(G86,-1,0)))</f>
        <v>0</v>
      </c>
      <c r="H86">
        <f ca="1">IF(AND($C86&lt;=3,$C86&lt;&gt;0),0,IF($C86=4,OFFSET(H86,-1,0)+1,OFFSET(H86,-1,0)))</f>
        <v>0</v>
      </c>
      <c r="I86">
        <f ca="1">IF(AND($C86&lt;=4,$C86&lt;&gt;0),0,IF(AND($C86="S",$X86&gt;0),OFFSET(I86,-1,0)+1,OFFSET(I86,-1,0)))</f>
        <v>0</v>
      </c>
      <c r="J86">
        <f t="shared" ca="1" si="47"/>
        <v>0</v>
      </c>
      <c r="K86">
        <f ca="1">IF(OR($C86="S",$C86=0),0,MATCH(OFFSET($D86,0,$C86)+IF($C86&lt;&gt;1,1,COUNTIF(QCI!$A$13:$A$24,ORÇAMENTO!E86)),OFFSET($D86,1,$C86,ROW($C$89)-ROW($C86)),0))</f>
        <v>0</v>
      </c>
      <c r="L86" s="116" t="str">
        <f ca="1">IF(OR($X86&gt;0,$C86=1,$C86=2,$C86=3,$C86=4),"F","")</f>
        <v/>
      </c>
      <c r="M86" s="117" t="s">
        <v>197</v>
      </c>
      <c r="N86" s="118" t="str">
        <f ca="1">CHOOSE(1+LOG(1+2*(C86=1)+4*(C86=2)+8*(C86=3)+16*(C86=4)+32*(C86="S"),2),"","Meta","Nível 2","Nível 3","Nível 4","Serviço")</f>
        <v>Serviço</v>
      </c>
      <c r="O86" s="119" t="str">
        <f ca="1">IF(OR($C86=0,$L86=""),"-",CONCATENATE(E86&amp;".",IF(AND($A$5&gt;=2,$C86&gt;=2),F86&amp;".",""),IF(AND($A$5&gt;=3,$C86&gt;=3),G86&amp;".",""),IF(AND($A$5&gt;=4,$C86&gt;=4),H86&amp;".",""),IF($C86="S",I86&amp;".","")))</f>
        <v>-</v>
      </c>
      <c r="P86" s="120" t="s">
        <v>955</v>
      </c>
      <c r="Q86" s="121" t="s">
        <v>1068</v>
      </c>
      <c r="R86" s="122" t="str">
        <f ca="1">IF($C86="S",REFERENCIA.Descricao,"(digite a descrição aqui)")</f>
        <v>(abra o arquivo 'Referência 04-2026.xlsm)</v>
      </c>
      <c r="S86" s="123" t="str">
        <f ca="1">REFERENCIA.Unidade</f>
        <v>-</v>
      </c>
      <c r="T86" s="124">
        <f ca="1">OFFSET(CÁLCULO!H$15,ROW($T86)-ROW(T$15),0)</f>
        <v>1</v>
      </c>
      <c r="U86" s="125">
        <f t="shared" ca="1" si="46"/>
        <v>0</v>
      </c>
      <c r="V86" s="126" t="s">
        <v>155</v>
      </c>
      <c r="W86" s="124">
        <f ca="1">IF($C86="S",ROUND(IF(TIPOORCAMENTO="Proposto",ORÇAMENTO.CustoUnitario*(1+$AH86),ORÇAMENTO.PrecoUnitarioLicitado),15-13*$AF$10),0)</f>
        <v>0</v>
      </c>
      <c r="X86" s="127">
        <f ca="1">IF($C86="S",IF(OR(Import.TipoArredondamento&lt;&gt;"TransfereGOV",ACOMPANHAMENTO="BM"),VTOTAL1,SUM(OFFSET(CÁLCULO!$AA$15,ROW($X86)-ROW($X$15),1):OFFSET(CÁLCULO!$AL$15,ROW($X86)-ROW($X$15),-1))),IF($C86=0,0,ROUND(SomaAgrup,15-13*$AF$11)))</f>
        <v>0</v>
      </c>
      <c r="Y86" s="128" t="s">
        <v>243</v>
      </c>
      <c r="Z86" t="str">
        <f ca="1">IF(AND($C86="S",$X86&gt;0),IF(ISBLANK($Y86),"RA",LEFT($Y86,2)),"")</f>
        <v/>
      </c>
      <c r="AA86" s="129">
        <f ca="1">IF($C86="S",IF($Z86="CP",$X86,IF($Z86="RA",(($X86)*QCI!$AA$3),0)),SomaAgrup)</f>
        <v>0</v>
      </c>
      <c r="AB86" s="130">
        <f ca="1">IF($C86="S",IF($Z86="OU",ROUND($X86,2),0),SomaAgrup)</f>
        <v>0</v>
      </c>
      <c r="AC86" s="619" t="str">
        <f ca="1">IF($N86=""," ",
IF(AND($C86="S",OR($Q86&lt;&gt;0,$T86&gt;0,$U86&gt;0),$P86=0),"FONTE",
IF(AND($C86="S",$P86&lt;&gt;0,OR($T86&gt;0,$U86&gt;0),$Q86=0),"CÓDIGO",
IF(AND(OR($R86="",$R86="(digite a descrição aqui)"),OR($C86&lt;&gt;"S",AND($C86="S",OR($Q86&lt;&gt;0,$T86&gt;0,$U86&gt;0)))),"DESCRIÇÃO",
IF(AND($C86="S",$P86&lt;&gt;0,$Q86&lt;&gt;0,$S86=""),"UNIDADE",
IF(AND($C86="S",$P86&lt;&gt;0,$Q86&lt;&gt;0,$U86=0),"SEM CUSTO",
IF(AND(TIPOORCAMENTO="Licitado",$AL86=0,$AN86&gt;0),"SEM PREÇO",
IF(AND($C86="S",$P86&lt;&gt;0,$Q86&lt;&gt;0,$U86&gt;0,$V86=0),"BDI",
IF(OR(AND(TIPOORCAMENTO="Proposto",$AG86&lt;&gt;"",$AG86&gt;0,ORÇAMENTO.CustoUnitario&gt;$AG86),AND(TIPOORCAMENTO="LICITADO",ORÇAMENTO.PrecoUnitarioLicitado&gt;$AN86)),"ACIMA REF.",
IF(AND($C86="S",$P86&lt;&gt;0,$Q86&lt;&gt;0,$T86=0,$U86&gt;0),"QUANT.",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SEM CUSTO</v>
      </c>
      <c r="AD86" t="str">
        <f ca="1">IF(C86&lt;=CRONO.NivelExibicao,MAX($AD$15:OFFSET(AD86,-1,0))+IF($C86&lt;&gt;1,1,MAX(1,COUNTIF(QCI!$A$13:$A$24,OFFSET($E86,-1,0)))),"")</f>
        <v/>
      </c>
      <c r="AE86" s="7" t="str">
        <f ca="1">IF(AND($C86="S",ORÇAMENTO.CodBarra&lt;&gt;""),IF(ORÇAMENTO.Fonte="",ORÇAMENTO.CodBarra,CONCATENATE(ORÇAMENTO.Fonte," ",ORÇAMENTO.CodBarra)))</f>
        <v>SINAPI-I 39806</v>
      </c>
      <c r="AF86" s="13"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04-2026.xlsm)</v>
      </c>
      <c r="AG86" s="453">
        <f ca="1">ROUND(IF(DESONERACAO="sim",REFERENCIA.Desonerado,REFERENCIA.NaoDesonerado),2)</f>
        <v>0</v>
      </c>
      <c r="AH86" s="454">
        <f ca="1">ROUND(IF(ISNUMBER(ORÇAMENTO.OpcaoBDI),ORÇAMENTO.OpcaoBDI,IF(LEFT(ORÇAMENTO.OpcaoBDI,3)="BDI",HLOOKUP(ORÇAMENTO.OpcaoBDI,$F$4:$H$5,2,FALSE),0)),15-11*$AF$9)</f>
        <v>0.26329999999999998</v>
      </c>
      <c r="AJ86" s="456"/>
      <c r="AL86" s="471"/>
      <c r="AM86" s="348">
        <f t="shared" ca="1" si="44"/>
        <v>0</v>
      </c>
      <c r="AN86" s="504">
        <f ca="1">ROUND(ORÇAMENTO.CustoUnitario*(1+$AH86),2)</f>
        <v>0</v>
      </c>
    </row>
    <row r="87" spans="1:40" ht="25.5" x14ac:dyDescent="0.2">
      <c r="A87" t="str">
        <f>CHOOSE(1+LOG(1+2*(ORÇAMENTO.Nivel="Meta")+4*(ORÇAMENTO.Nivel="Nível 2")+8*(ORÇAMENTO.Nivel="Nível 3")+16*(ORÇAMENTO.Nivel="Nível 4")+32*(ORÇAMENTO.Nivel="Serviço"),2),0,1,2,3,4,"S")</f>
        <v>S</v>
      </c>
      <c r="B87">
        <f ca="1">IF(OR(C87="s",C87=0),OFFSET(B87,-1,0),C87)</f>
        <v>2</v>
      </c>
      <c r="C87" t="str">
        <f ca="1">IF(OFFSET(C87,-1,0)="L",1,IF(OFFSET(C87,-1,0)=1,2,IF(OR(A87="s",A87=0),"S",IF(AND(OFFSET(C87,-1,0)=2,A87=4),3,IF(AND(OR(OFFSET(C87,-1,0)="s",OFFSET(C87,-1,0)=0),A87&lt;&gt;"s",A87&gt;OFFSET(B87,-1,0)),OFFSET(B87,-1,0),A87)))))</f>
        <v>S</v>
      </c>
      <c r="D87">
        <f ca="1">IF(OR(C87="S",C87=0),0,IF(ISERROR(K87),J87,SMALL(J87:K87,1)))</f>
        <v>0</v>
      </c>
      <c r="E87">
        <f ca="1">IF($C87=1,OFFSET(E87,-1,0)+MAX(1,COUNTIF(QCI!$A$13:$A$24,OFFSET(ORÇAMENTO!E87,-1,0))),OFFSET(E87,-1,0))</f>
        <v>2</v>
      </c>
      <c r="F87">
        <f ca="1">IF($C87=1,0,IF($C87=2,OFFSET(F87,-1,0)+1,OFFSET(F87,-1,0)))</f>
        <v>8</v>
      </c>
      <c r="G87">
        <f ca="1">IF(AND($C87&lt;=2,$C87&lt;&gt;0),0,IF($C87=3,OFFSET(G87,-1,0)+1,OFFSET(G87,-1,0)))</f>
        <v>0</v>
      </c>
      <c r="H87">
        <f ca="1">IF(AND($C87&lt;=3,$C87&lt;&gt;0),0,IF($C87=4,OFFSET(H87,-1,0)+1,OFFSET(H87,-1,0)))</f>
        <v>0</v>
      </c>
      <c r="I87">
        <f ca="1">IF(AND($C87&lt;=4,$C87&lt;&gt;0),0,IF(AND($C87="S",$X87&gt;0),OFFSET(I87,-1,0)+1,OFFSET(I87,-1,0)))</f>
        <v>0</v>
      </c>
      <c r="J87">
        <f t="shared" ca="1" si="47"/>
        <v>0</v>
      </c>
      <c r="K87">
        <f ca="1">IF(OR($C87="S",$C87=0),0,MATCH(OFFSET($D87,0,$C87)+IF($C87&lt;&gt;1,1,COUNTIF(QCI!$A$13:$A$24,ORÇAMENTO!E87)),OFFSET($D87,1,$C87,ROW($C$89)-ROW($C87)),0))</f>
        <v>0</v>
      </c>
      <c r="L87" s="116" t="str">
        <f ca="1">IF(OR($X87&gt;0,$C87=1,$C87=2,$C87=3,$C87=4),"F","")</f>
        <v/>
      </c>
      <c r="M87" s="117" t="s">
        <v>197</v>
      </c>
      <c r="N87" s="118" t="str">
        <f ca="1">CHOOSE(1+LOG(1+2*(C87=1)+4*(C87=2)+8*(C87=3)+16*(C87=4)+32*(C87="S"),2),"","Meta","Nível 2","Nível 3","Nível 4","Serviço")</f>
        <v>Serviço</v>
      </c>
      <c r="O87" s="119" t="str">
        <f ca="1">IF(OR($C87=0,$L87=""),"-",CONCATENATE(E87&amp;".",IF(AND($A$5&gt;=2,$C87&gt;=2),F87&amp;".",""),IF(AND($A$5&gt;=3,$C87&gt;=3),G87&amp;".",""),IF(AND($A$5&gt;=4,$C87&gt;=4),H87&amp;".",""),IF($C87="S",I87&amp;".","")))</f>
        <v>-</v>
      </c>
      <c r="P87" s="120" t="s">
        <v>955</v>
      </c>
      <c r="Q87" s="121" t="s">
        <v>1067</v>
      </c>
      <c r="R87" s="122" t="str">
        <f ca="1">IF($C87="S",REFERENCIA.Descricao,"(digite a descrição aqui)")</f>
        <v>(abra o arquivo 'Referência 04-2026.xlsm)</v>
      </c>
      <c r="S87" s="123" t="str">
        <f ca="1">REFERENCIA.Unidade</f>
        <v>-</v>
      </c>
      <c r="T87" s="124">
        <f ca="1">OFFSET(CÁLCULO!H$15,ROW($T87)-ROW(T$15),0)</f>
        <v>2</v>
      </c>
      <c r="U87" s="125">
        <f t="shared" ca="1" si="46"/>
        <v>0</v>
      </c>
      <c r="V87" s="126" t="s">
        <v>155</v>
      </c>
      <c r="W87" s="124">
        <f ca="1">IF($C87="S",ROUND(IF(TIPOORCAMENTO="Proposto",ORÇAMENTO.CustoUnitario*(1+$AH87),ORÇAMENTO.PrecoUnitarioLicitado),15-13*$AF$10),0)</f>
        <v>0</v>
      </c>
      <c r="X87" s="127">
        <f ca="1">IF($C87="S",IF(OR(Import.TipoArredondamento&lt;&gt;"TransfereGOV",ACOMPANHAMENTO="BM"),VTOTAL1,SUM(OFFSET(CÁLCULO!$AA$15,ROW($X87)-ROW($X$15),1):OFFSET(CÁLCULO!$AL$15,ROW($X87)-ROW($X$15),-1))),IF($C87=0,0,ROUND(SomaAgrup,15-13*$AF$11)))</f>
        <v>0</v>
      </c>
      <c r="Y87" s="128" t="s">
        <v>243</v>
      </c>
      <c r="Z87" t="str">
        <f ca="1">IF(AND($C87="S",$X87&gt;0),IF(ISBLANK($Y87),"RA",LEFT($Y87,2)),"")</f>
        <v/>
      </c>
      <c r="AA87" s="129">
        <f ca="1">IF($C87="S",IF($Z87="CP",$X87,IF($Z87="RA",(($X87)*QCI!$AA$3),0)),SomaAgrup)</f>
        <v>0</v>
      </c>
      <c r="AB87" s="130">
        <f ca="1">IF($C87="S",IF($Z87="OU",ROUND($X87,2),0),SomaAgrup)</f>
        <v>0</v>
      </c>
      <c r="AC87" s="619" t="str">
        <f ca="1">IF($N87=""," ",
IF(AND($C87="S",OR($Q87&lt;&gt;0,$T87&gt;0,$U87&gt;0),$P87=0),"FONTE",
IF(AND($C87="S",$P87&lt;&gt;0,OR($T87&gt;0,$U87&gt;0),$Q87=0),"CÓDIGO",
IF(AND(OR($R87="",$R87="(digite a descrição aqui)"),OR($C87&lt;&gt;"S",AND($C87="S",OR($Q87&lt;&gt;0,$T87&gt;0,$U87&gt;0)))),"DESCRIÇÃO",
IF(AND($C87="S",$P87&lt;&gt;0,$Q87&lt;&gt;0,$S87=""),"UNIDADE",
IF(AND($C87="S",$P87&lt;&gt;0,$Q87&lt;&gt;0,$U87=0),"SEM CUSTO",
IF(AND(TIPOORCAMENTO="Licitado",$AL87=0,$AN87&gt;0),"SEM PREÇO",
IF(AND($C87="S",$P87&lt;&gt;0,$Q87&lt;&gt;0,$U87&gt;0,$V87=0),"BDI",
IF(OR(AND(TIPOORCAMENTO="Proposto",$AG87&lt;&gt;"",$AG87&gt;0,ORÇAMENTO.CustoUnitario&gt;$AG87),AND(TIPOORCAMENTO="LICITADO",ORÇAMENTO.PrecoUnitarioLicitado&gt;$AN87)),"ACIMA REF.",
IF(AND($C87="S",$P87&lt;&gt;0,$Q87&lt;&gt;0,$T87=0,$U87&gt;0),"QUANT.",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SEM CUSTO</v>
      </c>
      <c r="AD87" t="str">
        <f ca="1">IF(C87&lt;=CRONO.NivelExibicao,MAX($AD$15:OFFSET(AD87,-1,0))+IF($C87&lt;&gt;1,1,MAX(1,COUNTIF(QCI!$A$13:$A$24,OFFSET($E87,-1,0)))),"")</f>
        <v/>
      </c>
      <c r="AE87" s="7" t="str">
        <f ca="1">IF(AND($C87="S",ORÇAMENTO.CodBarra&lt;&gt;""),IF(ORÇAMENTO.Fonte="",ORÇAMENTO.CodBarra,CONCATENATE(ORÇAMENTO.Fonte," ",ORÇAMENTO.CodBarra)))</f>
        <v>SINAPI-I 42244</v>
      </c>
      <c r="AF87" s="13"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04-2026.xlsm)</v>
      </c>
      <c r="AG87" s="453">
        <f ca="1">ROUND(IF(DESONERACAO="sim",REFERENCIA.Desonerado,REFERENCIA.NaoDesonerado),2)</f>
        <v>0</v>
      </c>
      <c r="AH87" s="454">
        <f ca="1">ROUND(IF(ISNUMBER(ORÇAMENTO.OpcaoBDI),ORÇAMENTO.OpcaoBDI,IF(LEFT(ORÇAMENTO.OpcaoBDI,3)="BDI",HLOOKUP(ORÇAMENTO.OpcaoBDI,$F$4:$H$5,2,FALSE),0)),15-11*$AF$9)</f>
        <v>0.26329999999999998</v>
      </c>
      <c r="AJ87" s="456"/>
      <c r="AL87" s="471"/>
      <c r="AM87" s="348">
        <f t="shared" ca="1" si="44"/>
        <v>0</v>
      </c>
      <c r="AN87" s="504">
        <f ca="1">ROUND(ORÇAMENTO.CustoUnitario*(1+$AH87),2)</f>
        <v>0</v>
      </c>
    </row>
    <row r="88" spans="1:40" ht="51" x14ac:dyDescent="0.2">
      <c r="A88" t="str">
        <f>CHOOSE(1+LOG(1+2*(ORÇAMENTO.Nivel="Meta")+4*(ORÇAMENTO.Nivel="Nível 2")+8*(ORÇAMENTO.Nivel="Nível 3")+16*(ORÇAMENTO.Nivel="Nível 4")+32*(ORÇAMENTO.Nivel="Serviço"),2),0,1,2,3,4,"S")</f>
        <v>S</v>
      </c>
      <c r="B88">
        <f ca="1">IF(OR(C88="s",C88=0),OFFSET(B88,-1,0),C88)</f>
        <v>2</v>
      </c>
      <c r="C88" t="str">
        <f ca="1">IF(OFFSET(C88,-1,0)="L",1,IF(OFFSET(C88,-1,0)=1,2,IF(OR(A88="s",A88=0),"S",IF(AND(OFFSET(C88,-1,0)=2,A88=4),3,IF(AND(OR(OFFSET(C88,-1,0)="s",OFFSET(C88,-1,0)=0),A88&lt;&gt;"s",A88&gt;OFFSET(B88,-1,0)),OFFSET(B88,-1,0),A88)))))</f>
        <v>S</v>
      </c>
      <c r="D88">
        <f ca="1">IF(OR(C88="S",C88=0),0,IF(ISERROR(K88),J88,SMALL(J88:K88,1)))</f>
        <v>0</v>
      </c>
      <c r="E88">
        <f ca="1">IF($C88=1,OFFSET(E88,-1,0)+MAX(1,COUNTIF(QCI!$A$13:$A$24,OFFSET(ORÇAMENTO!E88,-1,0))),OFFSET(E88,-1,0))</f>
        <v>2</v>
      </c>
      <c r="F88">
        <f ca="1">IF($C88=1,0,IF($C88=2,OFFSET(F88,-1,0)+1,OFFSET(F88,-1,0)))</f>
        <v>8</v>
      </c>
      <c r="G88">
        <f ca="1">IF(AND($C88&lt;=2,$C88&lt;&gt;0),0,IF($C88=3,OFFSET(G88,-1,0)+1,OFFSET(G88,-1,0)))</f>
        <v>0</v>
      </c>
      <c r="H88">
        <f ca="1">IF(AND($C88&lt;=3,$C88&lt;&gt;0),0,IF($C88=4,OFFSET(H88,-1,0)+1,OFFSET(H88,-1,0)))</f>
        <v>0</v>
      </c>
      <c r="I88">
        <f ca="1">IF(AND($C88&lt;=4,$C88&lt;&gt;0),0,IF(AND($C88="S",$X88&gt;0),OFFSET(I88,-1,0)+1,OFFSET(I88,-1,0)))</f>
        <v>0</v>
      </c>
      <c r="J88">
        <f t="shared" ca="1" si="47"/>
        <v>0</v>
      </c>
      <c r="K88">
        <f ca="1">IF(OR($C88="S",$C88=0),0,MATCH(OFFSET($D88,0,$C88)+IF($C88&lt;&gt;1,1,COUNTIF(QCI!$A$13:$A$24,ORÇAMENTO!E88)),OFFSET($D88,1,$C88,ROW($C$89)-ROW($C88)),0))</f>
        <v>0</v>
      </c>
      <c r="L88" s="116" t="str">
        <f ca="1">IF(OR($X88&gt;0,$C88=1,$C88=2,$C88=3,$C88=4),"F","")</f>
        <v/>
      </c>
      <c r="M88" s="117" t="s">
        <v>197</v>
      </c>
      <c r="N88" s="118" t="str">
        <f ca="1">CHOOSE(1+LOG(1+2*(C88=1)+4*(C88=2)+8*(C88=3)+16*(C88=4)+32*(C88="S"),2),"","Meta","Nível 2","Nível 3","Nível 4","Serviço")</f>
        <v>Serviço</v>
      </c>
      <c r="O88" s="119" t="str">
        <f ca="1">IF(OR($C88=0,$L88=""),"-",CONCATENATE(E88&amp;".",IF(AND($A$5&gt;=2,$C88&gt;=2),F88&amp;".",""),IF(AND($A$5&gt;=3,$C88&gt;=3),G88&amp;".",""),IF(AND($A$5&gt;=4,$C88&gt;=4),H88&amp;".",""),IF($C88="S",I88&amp;".","")))</f>
        <v>-</v>
      </c>
      <c r="P88" s="120" t="s">
        <v>245</v>
      </c>
      <c r="Q88" s="121" t="s">
        <v>1069</v>
      </c>
      <c r="R88" s="122" t="str">
        <f ca="1">IF($C88="S",REFERENCIA.Descricao,"(digite a descrição aqui)")</f>
        <v>(abra o arquivo 'Referência 04-2026.xlsm)</v>
      </c>
      <c r="S88" s="123" t="str">
        <f ca="1">REFERENCIA.Unidade</f>
        <v>-</v>
      </c>
      <c r="T88" s="124">
        <f ca="1">OFFSET(CÁLCULO!H$15,ROW($T88)-ROW(T$15),0)</f>
        <v>102</v>
      </c>
      <c r="U88" s="125">
        <f t="shared" ca="1" si="46"/>
        <v>0</v>
      </c>
      <c r="V88" s="126" t="s">
        <v>155</v>
      </c>
      <c r="W88" s="124">
        <f ca="1">IF($C88="S",ROUND(IF(TIPOORCAMENTO="Proposto",ORÇAMENTO.CustoUnitario*(1+$AH88),ORÇAMENTO.PrecoUnitarioLicitado),15-13*$AF$10),0)</f>
        <v>0</v>
      </c>
      <c r="X88" s="127">
        <f ca="1">IF($C88="S",IF(OR(Import.TipoArredondamento&lt;&gt;"TransfereGOV",ACOMPANHAMENTO="BM"),VTOTAL1,SUM(OFFSET(CÁLCULO!$AA$15,ROW($X88)-ROW($X$15),1):OFFSET(CÁLCULO!$AL$15,ROW($X88)-ROW($X$15),-1))),IF($C88=0,0,ROUND(SomaAgrup,15-13*$AF$11)))</f>
        <v>0</v>
      </c>
      <c r="Y88" s="128" t="s">
        <v>243</v>
      </c>
      <c r="Z88" t="str">
        <f ca="1">IF(AND($C88="S",$X88&gt;0),IF(ISBLANK($Y88),"RA",LEFT($Y88,2)),"")</f>
        <v/>
      </c>
      <c r="AA88" s="129">
        <f ca="1">IF($C88="S",IF($Z88="CP",$X88,IF($Z88="RA",(($X88)*QCI!$AA$3),0)),SomaAgrup)</f>
        <v>0</v>
      </c>
      <c r="AB88" s="130">
        <f ca="1">IF($C88="S",IF($Z88="OU",ROUND($X88,2),0),SomaAgrup)</f>
        <v>0</v>
      </c>
      <c r="AC88" s="619" t="str">
        <f ca="1">IF($N88=""," ",
IF(AND($C88="S",OR($Q88&lt;&gt;0,$T88&gt;0,$U88&gt;0),$P88=0),"FONTE",
IF(AND($C88="S",$P88&lt;&gt;0,OR($T88&gt;0,$U88&gt;0),$Q88=0),"CÓDIGO",
IF(AND(OR($R88="",$R88="(digite a descrição aqui)"),OR($C88&lt;&gt;"S",AND($C88="S",OR($Q88&lt;&gt;0,$T88&gt;0,$U88&gt;0)))),"DESCRIÇÃO",
IF(AND($C88="S",$P88&lt;&gt;0,$Q88&lt;&gt;0,$S88=""),"UNIDADE",
IF(AND($C88="S",$P88&lt;&gt;0,$Q88&lt;&gt;0,$U88=0),"SEM CUSTO",
IF(AND(TIPOORCAMENTO="Licitado",$AL88=0,$AN88&gt;0),"SEM PREÇO",
IF(AND($C88="S",$P88&lt;&gt;0,$Q88&lt;&gt;0,$U88&gt;0,$V88=0),"BDI",
IF(OR(AND(TIPOORCAMENTO="Proposto",$AG88&lt;&gt;"",$AG88&gt;0,ORÇAMENTO.CustoUnitario&gt;$AG88),AND(TIPOORCAMENTO="LICITADO",ORÇAMENTO.PrecoUnitarioLicitado&gt;$AN88)),"ACIMA REF.",
IF(AND($C88="S",$P88&lt;&gt;0,$Q88&lt;&gt;0,$T88=0,$U88&gt;0),"QUANT.",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SEM CUSTO</v>
      </c>
      <c r="AD88" t="str">
        <f ca="1">IF(C88&lt;=CRONO.NivelExibicao,MAX($AD$15:OFFSET(AD88,-1,0))+IF($C88&lt;&gt;1,1,MAX(1,COUNTIF(QCI!$A$13:$A$24,OFFSET($E88,-1,0)))),"")</f>
        <v/>
      </c>
      <c r="AE88" s="7" t="str">
        <f ca="1">IF(AND($C88="S",ORÇAMENTO.CodBarra&lt;&gt;""),IF(ORÇAMENTO.Fonte="",ORÇAMENTO.CodBarra,CONCATENATE(ORÇAMENTO.Fonte," ",ORÇAMENTO.CodBarra)))</f>
        <v>SINAPI 104785</v>
      </c>
      <c r="AF88" s="13"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04-2026.xlsm)</v>
      </c>
      <c r="AG88" s="453">
        <f ca="1">ROUND(IF(DESONERACAO="sim",REFERENCIA.Desonerado,REFERENCIA.NaoDesonerado),2)</f>
        <v>0</v>
      </c>
      <c r="AH88" s="454">
        <f ca="1">ROUND(IF(ISNUMBER(ORÇAMENTO.OpcaoBDI),ORÇAMENTO.OpcaoBDI,IF(LEFT(ORÇAMENTO.OpcaoBDI,3)="BDI",HLOOKUP(ORÇAMENTO.OpcaoBDI,$F$4:$H$5,2,FALSE),0)),15-11*$AF$9)</f>
        <v>0.26329999999999998</v>
      </c>
      <c r="AJ88" s="456"/>
      <c r="AL88" s="471"/>
      <c r="AM88" s="348">
        <f t="shared" ca="1" si="44"/>
        <v>0</v>
      </c>
      <c r="AN88" s="504">
        <f ca="1">ROUND(ORÇAMENTO.CustoUnitario*(1+$AH88),2)</f>
        <v>0</v>
      </c>
    </row>
    <row r="89" spans="1:40" ht="5.0999999999999996" customHeight="1" x14ac:dyDescent="0.2">
      <c r="A89">
        <v>-1</v>
      </c>
      <c r="C89">
        <v>-1</v>
      </c>
      <c r="E89">
        <v>0</v>
      </c>
      <c r="F89">
        <v>0</v>
      </c>
      <c r="G89">
        <v>0</v>
      </c>
      <c r="H89">
        <v>0</v>
      </c>
      <c r="I89">
        <v>0</v>
      </c>
      <c r="L89" s="116" t="s">
        <v>244</v>
      </c>
      <c r="M89" s="447"/>
      <c r="N89" s="448"/>
      <c r="O89" s="447"/>
      <c r="P89" s="449"/>
      <c r="Q89" s="449"/>
      <c r="R89" s="449"/>
      <c r="S89" s="449"/>
      <c r="T89" s="449"/>
      <c r="U89" s="449"/>
      <c r="V89" s="449"/>
      <c r="W89" s="449"/>
      <c r="X89" s="448"/>
      <c r="Y89" s="448"/>
      <c r="AC89" s="619" t="str">
        <f>IF($N89=""," ",
IF(AND($C89="S",OR($Q89&lt;&gt;0,$T89&gt;0,$U89&gt;0),$P89=0),"FONTE",
IF(AND($C89="S",$P89&lt;&gt;0,OR($T89&gt;0,$U89&gt;0),$Q89=0),"CÓDIGO",
IF(AND(OR($R89="",$R89="(digite a descrição aqui)"),OR($C89&lt;&gt;"S",AND($C89="S",OR($Q89&lt;&gt;0,$T89&gt;0,$U89&gt;0)))),"DESCRIÇÃO",
IF(AND($C89="S",$P89&lt;&gt;0,$Q89&lt;&gt;0,$S89=""),"UNIDADE",
IF(AND($C89="S",$P89&lt;&gt;0,$Q89&lt;&gt;0,$U89=0),"SEM CUSTO",
IF(AND(TIPOORCAMENTO="Licitado",$AL89=0,$AN89&gt;0),"SEM PREÇO",
IF(AND($C89="S",$P89&lt;&gt;0,$Q89&lt;&gt;0,$U89&gt;0,$V89=0),"BDI",
IF(OR(AND(TIPOORCAMENTO="Proposto",$AG89&lt;&gt;"",$AG89&gt;0,ORÇAMENTO.CustoUnitario&gt;$AG89),AND(TIPOORCAMENTO="LICITADO",ORÇAMENTO.PrecoUnitarioLicitado&gt;$AN89)),"ACIMA REF.",
IF(AND($C89="S",$P89&lt;&gt;0,$Q89&lt;&gt;0,$T89=0,$U89&gt;0),"QUANT.",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G89" s="440"/>
      <c r="AH89" s="442"/>
      <c r="AJ89" s="450"/>
      <c r="AL89" s="440"/>
      <c r="AM89" s="441"/>
      <c r="AN89" s="442"/>
    </row>
    <row r="92" spans="1:40" ht="14.25" x14ac:dyDescent="0.2">
      <c r="O92" s="140" t="s">
        <v>246</v>
      </c>
      <c r="Q92" s="673" t="s">
        <v>247</v>
      </c>
      <c r="R92" s="673"/>
      <c r="S92" s="673"/>
      <c r="T92" s="673"/>
      <c r="U92" s="673"/>
      <c r="V92" s="673"/>
      <c r="W92" s="673"/>
      <c r="X92" s="673"/>
    </row>
    <row r="94" spans="1:40" ht="14.25" x14ac:dyDescent="0.2">
      <c r="O94" s="141" t="s">
        <v>185</v>
      </c>
      <c r="X94" s="4"/>
    </row>
    <row r="95" spans="1:40" ht="12.75" customHeight="1" x14ac:dyDescent="0.2">
      <c r="O95" s="674"/>
      <c r="P95" s="674"/>
      <c r="Q95" s="674"/>
      <c r="R95" s="674"/>
      <c r="S95" s="674"/>
      <c r="T95" s="674"/>
      <c r="U95" s="674"/>
      <c r="V95" s="674"/>
      <c r="W95" s="674"/>
      <c r="X95" s="674"/>
    </row>
    <row r="96" spans="1:40" x14ac:dyDescent="0.2">
      <c r="O96" s="674"/>
      <c r="P96" s="674"/>
      <c r="Q96" s="674"/>
      <c r="R96" s="674"/>
      <c r="S96" s="674"/>
      <c r="T96" s="674"/>
      <c r="U96" s="674"/>
      <c r="V96" s="674"/>
      <c r="W96" s="674"/>
      <c r="X96" s="674"/>
    </row>
    <row r="97" spans="15:28" x14ac:dyDescent="0.2">
      <c r="O97" s="674"/>
      <c r="P97" s="674"/>
      <c r="Q97" s="674"/>
      <c r="R97" s="674"/>
      <c r="S97" s="674"/>
      <c r="T97" s="674"/>
      <c r="U97" s="674"/>
      <c r="V97" s="674"/>
      <c r="W97" s="674"/>
      <c r="X97" s="674"/>
    </row>
    <row r="98" spans="15:28" ht="14.25" x14ac:dyDescent="0.2">
      <c r="O98" s="475"/>
      <c r="P98" s="475"/>
      <c r="Q98" s="475"/>
      <c r="R98" s="475"/>
      <c r="S98" s="475"/>
      <c r="T98" s="475"/>
      <c r="U98" s="475"/>
      <c r="V98" s="475"/>
      <c r="W98" s="475"/>
      <c r="X98" s="475"/>
      <c r="Y98" s="475"/>
      <c r="Z98" s="142"/>
      <c r="AA98" s="142"/>
      <c r="AB98" s="142"/>
    </row>
    <row r="99" spans="15:28" ht="15" x14ac:dyDescent="0.25">
      <c r="O99" s="67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99" s="675"/>
      <c r="Q99" s="675"/>
      <c r="R99" s="675"/>
      <c r="S99" s="675"/>
      <c r="T99" s="675"/>
      <c r="U99" s="675"/>
      <c r="V99" s="675"/>
      <c r="W99" s="675"/>
      <c r="X99" s="675"/>
      <c r="Y99" s="143"/>
      <c r="Z99" s="143"/>
      <c r="AA99" s="143"/>
      <c r="AB99" s="143"/>
    </row>
    <row r="100" spans="15:28" ht="15" customHeight="1" x14ac:dyDescent="0.25">
      <c r="O100" s="677" t="s">
        <v>248</v>
      </c>
      <c r="P100" s="677"/>
      <c r="Q100" s="677"/>
      <c r="R100" s="677"/>
      <c r="S100" s="677"/>
      <c r="T100" s="677"/>
      <c r="U100" s="677"/>
      <c r="V100" s="677"/>
      <c r="W100" s="677"/>
      <c r="X100" s="677"/>
      <c r="Y100" s="143"/>
      <c r="Z100" s="143"/>
      <c r="AA100" s="143"/>
      <c r="AB100" s="143"/>
    </row>
    <row r="102" spans="15:28" ht="30" customHeight="1" x14ac:dyDescent="0.2">
      <c r="O102" s="676" t="str">
        <f>Import.Município</f>
        <v>SARANDI/RS</v>
      </c>
      <c r="P102" s="676"/>
      <c r="Q102" s="676"/>
      <c r="S102" s="492"/>
      <c r="T102" s="492"/>
      <c r="U102" s="492"/>
      <c r="V102" s="492"/>
      <c r="W102" s="435"/>
    </row>
    <row r="103" spans="15:28" x14ac:dyDescent="0.2">
      <c r="O103" s="10" t="s">
        <v>186</v>
      </c>
      <c r="S103" s="190" t="s">
        <v>188</v>
      </c>
      <c r="T103" s="190"/>
      <c r="U103" s="190"/>
      <c r="V103" s="190"/>
    </row>
    <row r="104" spans="15:28" x14ac:dyDescent="0.2">
      <c r="S104" s="78" t="s">
        <v>108</v>
      </c>
      <c r="T104" s="79" t="str">
        <f t="array" ref="T104:T106">Import.RespOrçamento</f>
        <v xml:space="preserve">MARCIELE FLORES </v>
      </c>
      <c r="V104" s="80"/>
    </row>
    <row r="105" spans="15:28" x14ac:dyDescent="0.2">
      <c r="O105" s="671">
        <f>DADOS!$C$25</f>
        <v>46161</v>
      </c>
      <c r="P105" s="671"/>
      <c r="Q105" s="671"/>
      <c r="S105" s="78" t="s">
        <v>109</v>
      </c>
      <c r="T105" s="79" t="str">
        <v>CREA/RS 268.201</v>
      </c>
      <c r="U105" s="80"/>
      <c r="V105" s="80"/>
    </row>
    <row r="106" spans="15:28" x14ac:dyDescent="0.2">
      <c r="O106" s="146" t="s">
        <v>187</v>
      </c>
      <c r="P106" s="1"/>
      <c r="Q106" s="1"/>
      <c r="S106" s="78" t="s">
        <v>110</v>
      </c>
      <c r="T106" s="79" t="str">
        <v>0</v>
      </c>
      <c r="U106" s="80"/>
      <c r="V106" s="80"/>
    </row>
  </sheetData>
  <sheetProtection algorithmName="SHA-512" hashValue="tG8SH49IHmQMIbAu+kVi19jQ9+adm45708TMJaRoXdi6n95XfR27lpUuTS5D9zq0frTOqYVB6XiwJYrRKv/QEw==" saltValue="C5Gfhg1UIJ+dvY+X/QCOJQ==" spinCount="100000" sheet="1" objects="1" scenarios="1" autoFilter="0"/>
  <autoFilter ref="L15:L89" xr:uid="{00000000-0001-0000-0400-000000000000}"/>
  <mergeCells count="24">
    <mergeCell ref="O105:Q105"/>
    <mergeCell ref="O15:R15"/>
    <mergeCell ref="Q92:X92"/>
    <mergeCell ref="O95:X97"/>
    <mergeCell ref="O99:X99"/>
    <mergeCell ref="O102:Q102"/>
    <mergeCell ref="O100:X100"/>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7:M19 M31:M88">
    <cfRule type="cellIs" dxfId="393" priority="24059" stopIfTrue="1" operator="notEqual">
      <formula>$N14</formula>
    </cfRule>
  </conditionalFormatting>
  <conditionalFormatting sqref="N14:O14 R14 W14 N27:O28 W27:W28 N17:O19 W17:X19 W52:X52 W62:X62 W61 W37:X46 W36 W47:W51 W63 X57 W53:W58 X55 W59:X60 W31:X35 W64:X72 X74:X85 N31:O88 R16:R88 W73:W88">
    <cfRule type="expression" dxfId="392" priority="24060" stopIfTrue="1">
      <formula>$C14=1</formula>
    </cfRule>
    <cfRule type="expression" dxfId="391" priority="24061" stopIfTrue="1">
      <formula>OR($C14=0,$C14=2,$C14=3,$C14=4)</formula>
    </cfRule>
  </conditionalFormatting>
  <conditionalFormatting sqref="U14:V14 U16:V88">
    <cfRule type="expression" dxfId="390" priority="24062" stopIfTrue="1">
      <formula>$C14=1</formula>
    </cfRule>
    <cfRule type="expression" dxfId="389" priority="24063" stopIfTrue="1">
      <formula>OR($C14=0,$C14=2,$C14=3,$C14=4)</formula>
    </cfRule>
    <cfRule type="expression" dxfId="388" priority="24064" stopIfTrue="1">
      <formula>AND(TIPOORCAMENTO="Licitado",$C14&lt;&gt;"L",$C14&lt;&gt;-1)</formula>
    </cfRule>
  </conditionalFormatting>
  <conditionalFormatting sqref="P14:Q14 S14:T14 Y14 AG14:AH14 T27:T28 Y27:Y28 AG27:AH28 Y17:Y19 AG17:AH19 T17:T19 T31:T67 S16:S67 P16:Q88 S68:T88 Y31:Y88 AG31:AH88">
    <cfRule type="expression" dxfId="387" priority="24065" stopIfTrue="1">
      <formula>$C14=1</formula>
    </cfRule>
    <cfRule type="expression" dxfId="386" priority="24066" stopIfTrue="1">
      <formula>OR($C14=0,$C14=2,$C14=3,$C14=4)</formula>
    </cfRule>
  </conditionalFormatting>
  <conditionalFormatting sqref="AJ7:AJ89">
    <cfRule type="expression" dxfId="385" priority="24067" stopIfTrue="1">
      <formula>OR(ACOMPANHAMENTO&lt;&gt;"BM",TIPOORCAMENTO="Licitado")</formula>
    </cfRule>
    <cfRule type="expression" dxfId="384" priority="24068" stopIfTrue="1">
      <formula>$C7=1</formula>
    </cfRule>
    <cfRule type="expression" dxfId="383" priority="24069" stopIfTrue="1">
      <formula>OR(AND(ISNUMBER($C7),$C7=0),$C7=2,$C7=3,$C7=4)</formula>
    </cfRule>
  </conditionalFormatting>
  <conditionalFormatting sqref="AL7:AL89">
    <cfRule type="expression" dxfId="382" priority="24070" stopIfTrue="1">
      <formula>TIPOORCAMENTO="PROPOSTO"</formula>
    </cfRule>
    <cfRule type="expression" dxfId="381" priority="24071" stopIfTrue="1">
      <formula>$C7=1</formula>
    </cfRule>
    <cfRule type="expression" dxfId="380" priority="24072" stopIfTrue="1">
      <formula>OR(AND(ISNUMBER($C7),$C7=0),$C7=2,$C7=3,$C7=4)</formula>
    </cfRule>
  </conditionalFormatting>
  <conditionalFormatting sqref="O8:P8">
    <cfRule type="expression" dxfId="379" priority="24076" stopIfTrue="1">
      <formula>ISERROR(INDIRECT($F$9))</formula>
    </cfRule>
  </conditionalFormatting>
  <conditionalFormatting sqref="S7:V8">
    <cfRule type="expression" dxfId="378" priority="24077" stopIfTrue="1">
      <formula>TIPOORCAMENTO="Proposto"</formula>
    </cfRule>
  </conditionalFormatting>
  <conditionalFormatting sqref="S9:V9">
    <cfRule type="expression" dxfId="377" priority="24024" stopIfTrue="1">
      <formula>TIPOORCAMENTO="Proposto"</formula>
    </cfRule>
  </conditionalFormatting>
  <conditionalFormatting sqref="AM7:AN89">
    <cfRule type="expression" dxfId="376" priority="24073" stopIfTrue="1">
      <formula>TIPOORCAMENTO="PROPOSTO"</formula>
    </cfRule>
    <cfRule type="expression" dxfId="375" priority="24074" stopIfTrue="1">
      <formula>$C7=1</formula>
    </cfRule>
    <cfRule type="expression" dxfId="374" priority="24075" stopIfTrue="1">
      <formula>OR(AND(ISNUMBER($C7),$C7=0),$C7=2,$C7=3,$C7=4)</formula>
    </cfRule>
  </conditionalFormatting>
  <conditionalFormatting sqref="R14 R16:R88">
    <cfRule type="cellIs" dxfId="373" priority="11369" operator="equal">
      <formula>"(digite a descrição aqui)"</formula>
    </cfRule>
  </conditionalFormatting>
  <conditionalFormatting sqref="X14">
    <cfRule type="expression" dxfId="372" priority="9649" stopIfTrue="1">
      <formula>$C14=1</formula>
    </cfRule>
    <cfRule type="expression" dxfId="371" priority="9650" stopIfTrue="1">
      <formula>OR($C14=0,$C14=2,$C14=3,$C14=4)</formula>
    </cfRule>
  </conditionalFormatting>
  <conditionalFormatting sqref="AC11">
    <cfRule type="cellIs" dxfId="370" priority="484" operator="equal">
      <formula>"OK"</formula>
    </cfRule>
  </conditionalFormatting>
  <conditionalFormatting sqref="M16 M29 M20:M26">
    <cfRule type="cellIs" dxfId="369" priority="476" stopIfTrue="1" operator="notEqual">
      <formula>$N16</formula>
    </cfRule>
  </conditionalFormatting>
  <conditionalFormatting sqref="N16:O16 W16 W29 N29:O29 W20:W26 N20:O26">
    <cfRule type="expression" dxfId="368" priority="477" stopIfTrue="1">
      <formula>$C16=1</formula>
    </cfRule>
    <cfRule type="expression" dxfId="367" priority="478" stopIfTrue="1">
      <formula>OR($C16=0,$C16=2,$C16=3,$C16=4)</formula>
    </cfRule>
  </conditionalFormatting>
  <conditionalFormatting sqref="Y16 AG16:AH16 T16 T29 AG29:AH29 Y29 T20:T26 AG20:AH26 Y20:Y26">
    <cfRule type="expression" dxfId="366" priority="482" stopIfTrue="1">
      <formula>$C16=1</formula>
    </cfRule>
    <cfRule type="expression" dxfId="365" priority="483" stopIfTrue="1">
      <formula>OR($C16=0,$C16=2,$C16=3,$C16=4)</formula>
    </cfRule>
  </conditionalFormatting>
  <conditionalFormatting sqref="X16 X29 X20:X26">
    <cfRule type="expression" dxfId="364" priority="473" stopIfTrue="1">
      <formula>$C16=1</formula>
    </cfRule>
    <cfRule type="expression" dxfId="363" priority="474" stopIfTrue="1">
      <formula>OR($C16=0,$C16=2,$C16=3,$C16=4)</formula>
    </cfRule>
  </conditionalFormatting>
  <conditionalFormatting sqref="M30">
    <cfRule type="cellIs" dxfId="362" priority="465" stopIfTrue="1" operator="notEqual">
      <formula>$N30</formula>
    </cfRule>
  </conditionalFormatting>
  <conditionalFormatting sqref="N30:O30 W30">
    <cfRule type="expression" dxfId="361" priority="466" stopIfTrue="1">
      <formula>$C30=1</formula>
    </cfRule>
    <cfRule type="expression" dxfId="360" priority="467" stopIfTrue="1">
      <formula>OR($C30=0,$C30=2,$C30=3,$C30=4)</formula>
    </cfRule>
  </conditionalFormatting>
  <conditionalFormatting sqref="Y30 AG30:AH30 T30">
    <cfRule type="expression" dxfId="359" priority="471" stopIfTrue="1">
      <formula>$C30=1</formula>
    </cfRule>
    <cfRule type="expression" dxfId="358" priority="472" stopIfTrue="1">
      <formula>OR($C30=0,$C30=2,$C30=3,$C30=4)</formula>
    </cfRule>
  </conditionalFormatting>
  <conditionalFormatting sqref="X30">
    <cfRule type="expression" dxfId="357" priority="462" stopIfTrue="1">
      <formula>$C30=1</formula>
    </cfRule>
    <cfRule type="expression" dxfId="356" priority="463" stopIfTrue="1">
      <formula>OR($C30=0,$C30=2,$C30=3,$C30=4)</formula>
    </cfRule>
  </conditionalFormatting>
  <conditionalFormatting sqref="M27">
    <cfRule type="cellIs" dxfId="355" priority="162" stopIfTrue="1" operator="notEqual">
      <formula>$N27</formula>
    </cfRule>
  </conditionalFormatting>
  <conditionalFormatting sqref="X27">
    <cfRule type="expression" dxfId="354" priority="160" stopIfTrue="1">
      <formula>$C27=1</formula>
    </cfRule>
    <cfRule type="expression" dxfId="353" priority="161" stopIfTrue="1">
      <formula>OR($C27=0,$C27=2,$C27=3,$C27=4)</formula>
    </cfRule>
  </conditionalFormatting>
  <conditionalFormatting sqref="M28">
    <cfRule type="cellIs" dxfId="352" priority="156" stopIfTrue="1" operator="notEqual">
      <formula>$N28</formula>
    </cfRule>
  </conditionalFormatting>
  <conditionalFormatting sqref="X28">
    <cfRule type="expression" dxfId="351" priority="154" stopIfTrue="1">
      <formula>$C28=1</formula>
    </cfRule>
    <cfRule type="expression" dxfId="350" priority="155" stopIfTrue="1">
      <formula>OR($C28=0,$C28=2,$C28=3,$C28=4)</formula>
    </cfRule>
  </conditionalFormatting>
  <conditionalFormatting sqref="X47:X49">
    <cfRule type="expression" dxfId="349" priority="124" stopIfTrue="1">
      <formula>$C47=1</formula>
    </cfRule>
    <cfRule type="expression" dxfId="348" priority="125" stopIfTrue="1">
      <formula>OR($C47=0,$C47=2,$C47=3,$C47=4)</formula>
    </cfRule>
  </conditionalFormatting>
  <conditionalFormatting sqref="X53">
    <cfRule type="expression" dxfId="347" priority="118" stopIfTrue="1">
      <formula>$C53=1</formula>
    </cfRule>
    <cfRule type="expression" dxfId="346" priority="119" stopIfTrue="1">
      <formula>OR($C53=0,$C53=2,$C53=3,$C53=4)</formula>
    </cfRule>
  </conditionalFormatting>
  <conditionalFormatting sqref="X61">
    <cfRule type="expression" dxfId="345" priority="108" stopIfTrue="1">
      <formula>$C61=1</formula>
    </cfRule>
    <cfRule type="expression" dxfId="344" priority="109" stopIfTrue="1">
      <formula>OR($C61=0,$C61=2,$C61=3,$C61=4)</formula>
    </cfRule>
  </conditionalFormatting>
  <conditionalFormatting sqref="X36">
    <cfRule type="expression" dxfId="343" priority="106" stopIfTrue="1">
      <formula>$C36=1</formula>
    </cfRule>
    <cfRule type="expression" dxfId="342" priority="107" stopIfTrue="1">
      <formula>OR($C36=0,$C36=2,$C36=3,$C36=4)</formula>
    </cfRule>
  </conditionalFormatting>
  <conditionalFormatting sqref="X54">
    <cfRule type="expression" dxfId="341" priority="104" stopIfTrue="1">
      <formula>$C54=1</formula>
    </cfRule>
    <cfRule type="expression" dxfId="340" priority="105" stopIfTrue="1">
      <formula>OR($C54=0,$C54=2,$C54=3,$C54=4)</formula>
    </cfRule>
  </conditionalFormatting>
  <conditionalFormatting sqref="X50">
    <cfRule type="expression" dxfId="339" priority="79" stopIfTrue="1">
      <formula>$C50=1</formula>
    </cfRule>
    <cfRule type="expression" dxfId="338" priority="80" stopIfTrue="1">
      <formula>OR($C50=0,$C50=2,$C50=3,$C50=4)</formula>
    </cfRule>
  </conditionalFormatting>
  <conditionalFormatting sqref="X51">
    <cfRule type="expression" dxfId="337" priority="77" stopIfTrue="1">
      <formula>$C51=1</formula>
    </cfRule>
    <cfRule type="expression" dxfId="336" priority="78" stopIfTrue="1">
      <formula>OR($C51=0,$C51=2,$C51=3,$C51=4)</formula>
    </cfRule>
  </conditionalFormatting>
  <conditionalFormatting sqref="X63">
    <cfRule type="expression" dxfId="335" priority="71" stopIfTrue="1">
      <formula>$C63=1</formula>
    </cfRule>
    <cfRule type="expression" dxfId="334" priority="72" stopIfTrue="1">
      <formula>OR($C63=0,$C63=2,$C63=3,$C63=4)</formula>
    </cfRule>
  </conditionalFormatting>
  <conditionalFormatting sqref="X56">
    <cfRule type="expression" dxfId="333" priority="69" stopIfTrue="1">
      <formula>$C56=1</formula>
    </cfRule>
    <cfRule type="expression" dxfId="332" priority="70" stopIfTrue="1">
      <formula>OR($C56=0,$C56=2,$C56=3,$C56=4)</formula>
    </cfRule>
  </conditionalFormatting>
  <conditionalFormatting sqref="X58">
    <cfRule type="expression" dxfId="331" priority="63" stopIfTrue="1">
      <formula>$C58=1</formula>
    </cfRule>
    <cfRule type="expression" dxfId="330" priority="64" stopIfTrue="1">
      <formula>OR($C58=0,$C58=2,$C58=3,$C58=4)</formula>
    </cfRule>
  </conditionalFormatting>
  <conditionalFormatting sqref="X73">
    <cfRule type="expression" dxfId="329" priority="7" stopIfTrue="1">
      <formula>$C73=1</formula>
    </cfRule>
    <cfRule type="expression" dxfId="328" priority="8" stopIfTrue="1">
      <formula>OR($C73=0,$C73=2,$C73=3,$C73=4)</formula>
    </cfRule>
  </conditionalFormatting>
  <conditionalFormatting sqref="X87">
    <cfRule type="expression" dxfId="327" priority="5" stopIfTrue="1">
      <formula>$C87=1</formula>
    </cfRule>
    <cfRule type="expression" dxfId="326" priority="6" stopIfTrue="1">
      <formula>OR($C87=0,$C87=2,$C87=3,$C87=4)</formula>
    </cfRule>
  </conditionalFormatting>
  <conditionalFormatting sqref="X86">
    <cfRule type="expression" dxfId="325" priority="3" stopIfTrue="1">
      <formula>$C86=1</formula>
    </cfRule>
    <cfRule type="expression" dxfId="324" priority="4" stopIfTrue="1">
      <formula>OR($C86=0,$C86=2,$C86=3,$C86=4)</formula>
    </cfRule>
  </conditionalFormatting>
  <conditionalFormatting sqref="X88">
    <cfRule type="expression" dxfId="323" priority="1" stopIfTrue="1">
      <formula>$C88=1</formula>
    </cfRule>
    <cfRule type="expression" dxfId="322" priority="2" stopIfTrue="1">
      <formula>OR($C88=0,$C88=2,$C88=3,$C88=4)</formula>
    </cfRule>
  </conditionalFormatting>
  <dataValidations xWindow="1074" yWindow="749" count="8">
    <dataValidation type="decimal" operator="greaterThan" allowBlank="1" showErrorMessage="1" error="Apenas números decimais maiores que zero." sqref="U14 AL14 AJ14 AJ16:AJ88 AL16:AL88 U16:U88" xr:uid="{00000000-0002-0000-0400-000000000000}">
      <formula1>0</formula1>
      <formula2>0</formula2>
    </dataValidation>
    <dataValidation type="list" allowBlank="1" sqref="P14 P16:P88"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88"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88" xr:uid="{00000000-0002-0000-0400-000003000000}">
      <mc:AlternateContent xmlns:x12ac="http://schemas.microsoft.com/office/spreadsheetml/2011/1/ac" xmlns:mc="http://schemas.openxmlformats.org/markup-compatibility/2006">
        <mc:Choice Requires="x12ac">
          <x12ac:list>BDI 1,BDI 2,BDI 3,"0,00%"</x12ac:list>
        </mc:Choice>
        <mc:Fallback>
          <formula1>"BDI 1,BDI 2,BDI 3,0,00%"</formula1>
        </mc:Fallback>
      </mc:AlternateContent>
      <formula2>0</formula2>
    </dataValidation>
    <dataValidation type="list" showErrorMessage="1" errorTitle="Erro de Entrada" error="Selecione somente os itens da lista." promptTitle="Nível:" prompt="Selecione na lista o nível de itemização da Planilha." sqref="M14 M16:M88"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88"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88" xr:uid="{00000000-0002-0000-0400-000006000000}"/>
    <dataValidation type="list" errorStyle="information" allowBlank="1" showInputMessage="1" prompt="Selecione uma sigla de unidade na lista suspensa." sqref="S14 S16:S88" xr:uid="{C5291EE7-CEB6-4383-A3D0-59315FB79EED}">
      <formula1>ListaTgov.Unidades</formula1>
    </dataValidation>
  </dataValidations>
  <pageMargins left="0.78740157480314998" right="0.78740157480314998" top="0.78740157480314998" bottom="0.78740157480314998" header="0.59055118110236204" footer="0.59055118110236204"/>
  <pageSetup paperSize="9" scale="68" firstPageNumber="0" fitToHeight="0" orientation="landscape" horizontalDpi="4294967294" r:id="rId1"/>
  <headerFooter alignWithMargins="0">
    <oddHeader>&amp;C&amp;14I</oddHeader>
    <oddFooter>&amp;LPMv3.08&amp;R&amp;P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904875</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295275</xdr:colOff>
                    <xdr:row>9</xdr:row>
                    <xdr:rowOff>123825</xdr:rowOff>
                  </from>
                  <to>
                    <xdr:col>21</xdr:col>
                    <xdr:colOff>714375</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371475</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43"/>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F11" sqref="F11"/>
    </sheetView>
  </sheetViews>
  <sheetFormatPr defaultRowHeight="12.75" x14ac:dyDescent="0.2"/>
  <cols>
    <col min="1" max="1" width="3.5703125" style="54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46" t="str">
        <f t="shared" ref="A1" si="0">IF(D1="","","F")</f>
        <v/>
      </c>
      <c r="B1" t="e">
        <f ca="1">IF(OR(C1=" ",D1=""),"",CONCATENATE(C1,". ",D1))</f>
        <v>#REF!</v>
      </c>
      <c r="C1" s="191" t="e" cm="1">
        <f t="array" aca="1" ref="C1" ca="1">IF(OR(ROW(C1)=ROW(EVENTOS.firstrow)+1,AND(OFFSET(C1,-1,0)&lt;&gt;" ",OFFSET(C1,-1,1)&lt;&gt;"")),OFFSET(C1,-1,0)+1," ")</f>
        <v>#REF!</v>
      </c>
      <c r="D1" s="532"/>
      <c r="E1" s="543" cm="1">
        <f t="array" aca="1" ref="E1" ca="1">IF(AUTOEVENTO="Manual",ROUND(SUMPRODUCT((CÁLCULO!$M$15:$M$89=EVENTOS!$C1)*(OFFSET(CÁLCULO!$AA$15:$AA$89,0,E$13))),2),0)</f>
        <v>0</v>
      </c>
      <c r="F1" s="192">
        <f ca="1">IF(AUTOEVENTO="Manual",ROUND(SUMPRODUCT((CÁLCULO!$M$15:$M$89=EVENTOS!$C1)*(OFFSET(CÁLCULO!$AA$15,0,1):OFFSET(CÁLCULO!$AL$89,0,-1))),2),0)</f>
        <v>0</v>
      </c>
      <c r="G1" s="627" t="str">
        <f ca="1">IF(AND(D1=0,F1&gt;0),"NOME",
 IF(AND(D1&lt;&gt;0,$F$14&gt;0,F1=0),"VALOR",
 IF(AND(Import.TipoArredondamento="TransfereGOV",$A1="F",LEN(D1)&gt;100),"Nome &gt;100","")))</f>
        <v/>
      </c>
      <c r="H1" s="543" cm="1">
        <f t="array" aca="1" ref="H1" ca="1">IF(AUTOEVENTO="Manual",ROUND(SUMPRODUCT((CÁLCULO!$M$15:$M$89=EVENTOS!$C1)*(OFFSET(CÁLCULO!$AA$15:$AA$89,0,H$13))),2),0)</f>
        <v>0</v>
      </c>
      <c r="I1" s="543" cm="1">
        <f t="array" aca="1" ref="I1" ca="1">IF(AUTOEVENTO="Manual",ROUND(SUMPRODUCT((CÁLCULO!$M$15:$M$89=EVENTOS!$C1)*(OFFSET(CÁLCULO!$AA$15:$AA$89,0,I$13))),2),0)</f>
        <v>0</v>
      </c>
      <c r="J1" s="543" cm="1">
        <f t="array" aca="1" ref="J1" ca="1">IF(AUTOEVENTO="Manual",ROUND(SUMPRODUCT((CÁLCULO!$M$15:$M$89=EVENTOS!$C1)*(OFFSET(CÁLCULO!$AA$15:$AA$89,0,J$13))),2),0)</f>
        <v>0</v>
      </c>
      <c r="K1" s="543" cm="1">
        <f t="array" aca="1" ref="K1" ca="1">IF(AUTOEVENTO="Manual",ROUND(SUMPRODUCT((CÁLCULO!$M$15:$M$89=EVENTOS!$C1)*(OFFSET(CÁLCULO!$AA$15:$AA$89,0,K$13))),2),0)</f>
        <v>0</v>
      </c>
      <c r="L1" s="543" cm="1">
        <f t="array" aca="1" ref="L1" ca="1">IF(AUTOEVENTO="Manual",ROUND(SUMPRODUCT((CÁLCULO!$M$15:$M$89=EVENTOS!$C1)*(OFFSET(CÁLCULO!$AA$15:$AA$89,0,L$13))),2),0)</f>
        <v>0</v>
      </c>
      <c r="M1" s="543" cm="1">
        <f t="array" aca="1" ref="M1" ca="1">IF(AUTOEVENTO="Manual",ROUND(SUMPRODUCT((CÁLCULO!$M$15:$M$89=EVENTOS!$C1)*(OFFSET(CÁLCULO!$AA$15:$AA$89,0,M$13))),2),0)</f>
        <v>0</v>
      </c>
      <c r="N1" s="543" cm="1">
        <f t="array" aca="1" ref="N1" ca="1">IF(AUTOEVENTO="Manual",ROUND(SUMPRODUCT((CÁLCULO!$M$15:$M$89=EVENTOS!$C1)*(OFFSET(CÁLCULO!$AA$15:$AA$89,0,N$13))),2),0)</f>
        <v>0</v>
      </c>
      <c r="O1" s="543" cm="1">
        <f t="array" aca="1" ref="O1" ca="1">IF(AUTOEVENTO="Manual",ROUND(SUMPRODUCT((CÁLCULO!$M$15:$M$89=EVENTOS!$C1)*(OFFSET(CÁLCULO!$AA$15:$AA$89,0,O$13))),2),0)</f>
        <v>0</v>
      </c>
      <c r="P1" s="543" cm="1">
        <f t="array" aca="1" ref="P1" ca="1">IF(AUTOEVENTO="Manual",ROUND(SUMPRODUCT((CÁLCULO!$M$15:$M$89=EVENTOS!$C1)*(OFFSET(CÁLCULO!$AA$15:$AA$89,0,P$13))),2),0)</f>
        <v>0</v>
      </c>
      <c r="Q1" s="543" cm="1">
        <f t="array" aca="1" ref="Q1" ca="1">IF(AUTOEVENTO="Manual",ROUND(SUMPRODUCT((CÁLCULO!$M$15:$M$89=EVENTOS!$C1)*(OFFSET(CÁLCULO!$AA$15:$AA$89,0,Q$13))),2),0)</f>
        <v>0</v>
      </c>
      <c r="R1" s="543" cm="1">
        <f t="array" aca="1" ref="R1" ca="1">IF(AUTOEVENTO="Manual",ROUND(SUMPRODUCT((CÁLCULO!$M$15:$M$89=EVENTOS!$C1)*(OFFSET(CÁLCULO!$AA$15:$AA$89,0,R$13))),2),0)</f>
        <v>0</v>
      </c>
      <c r="S1" s="543" cm="1">
        <f t="array" aca="1" ref="S1" ca="1">IF(AUTOEVENTO="Manual",ROUND(SUMPRODUCT((CÁLCULO!$M$15:$M$89=EVENTOS!$C1)*(OFFSET(CÁLCULO!$AA$15:$AA$89,0,S$13))),2),0)</f>
        <v>0</v>
      </c>
      <c r="T1" s="543" cm="1">
        <f t="array" aca="1" ref="T1" ca="1">IF(AUTOEVENTO="Manual",ROUND(SUMPRODUCT((CÁLCULO!$M$15:$M$89=EVENTOS!$C1)*(OFFSET(CÁLCULO!$AA$15:$AA$89,0,T$13))),2),0)</f>
        <v>0</v>
      </c>
      <c r="U1" s="543" cm="1">
        <f t="array" aca="1" ref="U1" ca="1">IF(AUTOEVENTO="Manual",ROUND(SUMPRODUCT((CÁLCULO!$M$15:$M$89=EVENTOS!$C1)*(OFFSET(CÁLCULO!$AA$15:$AA$89,0,U$13))),2),0)</f>
        <v>0</v>
      </c>
      <c r="V1" s="543" cm="1">
        <f t="array" aca="1" ref="V1" ca="1">IF(AUTOEVENTO="Manual",ROUND(SUMPRODUCT((CÁLCULO!$M$15:$M$89=EVENTOS!$C1)*(OFFSET(CÁLCULO!$AA$15:$AA$89,0,V$13))),2),0)</f>
        <v>0</v>
      </c>
      <c r="W1" s="543" cm="1">
        <f t="array" aca="1" ref="W1" ca="1">IF(AUTOEVENTO="Manual",ROUND(SUMPRODUCT((CÁLCULO!$M$15:$M$89=EVENTOS!$C1)*(OFFSET(CÁLCULO!$AA$15:$AA$89,0,W$13))),2),0)</f>
        <v>0</v>
      </c>
      <c r="X1" s="543" cm="1">
        <f t="array" aca="1" ref="X1" ca="1">IF(AUTOEVENTO="Manual",ROUND(SUMPRODUCT((CÁLCULO!$M$15:$M$89=EVENTOS!$C1)*(OFFSET(CÁLCULO!$AA$15:$AA$89,0,X$13))),2),0)</f>
        <v>0</v>
      </c>
      <c r="Y1" s="543" cm="1">
        <f t="array" aca="1" ref="Y1" ca="1">IF(AUTOEVENTO="Manual",ROUND(SUMPRODUCT((CÁLCULO!$M$15:$M$89=EVENTOS!$C1)*(OFFSET(CÁLCULO!$AA$15:$AA$89,0,Y$13))),2),0)</f>
        <v>0</v>
      </c>
    </row>
    <row r="2" spans="1:26" ht="30" customHeight="1" x14ac:dyDescent="0.2">
      <c r="F2" s="83" t="s">
        <v>456</v>
      </c>
      <c r="O2" s="540" t="s">
        <v>441</v>
      </c>
      <c r="Y2" s="540" t="s">
        <v>441</v>
      </c>
    </row>
    <row r="4" spans="1:26" ht="12.75" customHeight="1" x14ac:dyDescent="0.2">
      <c r="C4" s="56" t="s">
        <v>146</v>
      </c>
      <c r="D4" s="98"/>
      <c r="E4" s="78"/>
      <c r="F4" s="218" t="s">
        <v>269</v>
      </c>
      <c r="G4" s="78"/>
      <c r="H4" s="519"/>
      <c r="I4" s="519"/>
      <c r="J4" s="519"/>
      <c r="K4" s="519"/>
      <c r="L4" s="519"/>
      <c r="N4" s="56" t="s">
        <v>145</v>
      </c>
      <c r="O4" s="544" t="s">
        <v>422</v>
      </c>
      <c r="P4" s="218" t="s">
        <v>269</v>
      </c>
      <c r="Q4" s="78"/>
      <c r="R4" s="519"/>
      <c r="S4" s="519"/>
      <c r="T4" s="519"/>
      <c r="U4" s="519"/>
      <c r="V4" s="519"/>
      <c r="X4" s="56" t="s">
        <v>145</v>
      </c>
      <c r="Y4" s="544" t="s">
        <v>422</v>
      </c>
    </row>
    <row r="5" spans="1:26" ht="12.75" customHeight="1" x14ac:dyDescent="0.2">
      <c r="C5" s="545" t="str">
        <f>Import.Proponente</f>
        <v>PREFEITURA MUNICIPAL DE SARANDI/RS</v>
      </c>
      <c r="D5" s="541"/>
      <c r="E5" s="541"/>
      <c r="F5" s="712" t="str">
        <f>Import.Apelido</f>
        <v>PAVILHÃO COMUNITÁRIO COMUNIDADE ÁREA 10</v>
      </c>
      <c r="G5" s="713"/>
      <c r="H5" s="713"/>
      <c r="I5" s="713"/>
      <c r="J5" s="713"/>
      <c r="K5" s="713"/>
      <c r="L5" s="713"/>
      <c r="M5" s="714"/>
      <c r="N5" s="57" t="str">
        <f>Import.CR</f>
        <v>000000-00</v>
      </c>
      <c r="O5" s="57" t="str">
        <f>Import.SICONV</f>
        <v>000000</v>
      </c>
      <c r="P5" s="712" t="str">
        <f>Import.Apelido</f>
        <v>PAVILHÃO COMUNITÁRIO COMUNIDADE ÁREA 10</v>
      </c>
      <c r="Q5" s="713"/>
      <c r="R5" s="713"/>
      <c r="S5" s="713"/>
      <c r="T5" s="713"/>
      <c r="U5" s="713"/>
      <c r="V5" s="713"/>
      <c r="W5" s="714"/>
      <c r="X5" s="57" t="str">
        <f>Import.CR</f>
        <v>000000-00</v>
      </c>
      <c r="Y5" s="57" t="str">
        <f>Import.SICONV</f>
        <v>000000</v>
      </c>
      <c r="Z5" t="s">
        <v>455</v>
      </c>
    </row>
    <row r="6" spans="1:26" ht="24.95" customHeight="1" x14ac:dyDescent="0.25">
      <c r="C6" t="s">
        <v>262</v>
      </c>
      <c r="F6" s="564" t="str">
        <f ca="1">IF(AUTOEVENTO="MANUAL",
  IF(COUNTIF($G$15:$G$36,"NOME")&gt;0,"Falta preencher o nome do Título do Evento nº "&amp;INDEX($C$15:$C$36,MATCH("NOME",$G$15:$G$36,0)),
  IF(COUNTIF($G$15:$G$36,"VALOR")&gt;0,"Falta atribuir serviços ao Evento nº "&amp;INDEX($C$15:$C$36,MATCH("VALOR",$G$15:$G$36,0))&amp;". Corrigir a atribuição dos eventos na aba CÁLCULO. Ou excluir linhas dos eventos não utilizados.",
  IF($F$14&lt;&gt;ORÇAMENTO!$X$15,"O valor total dos Eventos é diferente do valor total do Orçamento. Corrigir a atribuição dos eventos na aba CÁLCULO",
  IF(COUNTIF($G$15:$G$36,"Nome &gt;100")&gt;0,"O tamanho do Título do Evento no TransfereGOV é limitado a 100 caracteres. Resuma o nome do Título do Evento nº "&amp;INDEX($C$15:$C$36,MATCH("Nome &gt;100",$G$15:$G$36,0)),"")))),"")</f>
        <v/>
      </c>
    </row>
    <row r="7" spans="1:26" ht="3.95" customHeight="1" thickBot="1" x14ac:dyDescent="0.25"/>
    <row r="8" spans="1:26" ht="16.5" thickBot="1" x14ac:dyDescent="0.3">
      <c r="C8" s="719" t="s">
        <v>929</v>
      </c>
      <c r="D8" s="720"/>
      <c r="F8" s="564" t="str">
        <f>IF(ACOMPANHAMENTO="BM","",
 IF(Import.Eventos.Nível="","◄ Selecione a forma de definição dos agrupadores de eventos",
 IF(Import.Eventos.Nível="","◄ Selecione a forma de definição dos agrupadores de eventos","")))</f>
        <v/>
      </c>
    </row>
    <row r="9" spans="1:26" ht="12" customHeight="1" x14ac:dyDescent="0.2"/>
    <row r="10" spans="1:26" ht="33.75" customHeight="1" x14ac:dyDescent="0.2">
      <c r="C10" s="645">
        <f ca="1">COUNTIF($C$15:$C$36,"&gt;0")-1</f>
        <v>0</v>
      </c>
      <c r="D10" t="s">
        <v>455</v>
      </c>
      <c r="E10" s="715" t="str">
        <f ca="1">OFFSET(CÁLCULO!$P$12,0,EVENTOS!E$13)</f>
        <v>GNIÁSIO 10</v>
      </c>
      <c r="F10" t="s">
        <v>455</v>
      </c>
      <c r="G10" s="716"/>
      <c r="H10" s="715" t="str">
        <f ca="1">OFFSET(CÁLCULO!$P$12,0,EVENTOS!H$13)</f>
        <v>GNIÁSIO 10</v>
      </c>
      <c r="I10" s="715" t="str">
        <f ca="1">OFFSET(CÁLCULO!$P$12,0,EVENTOS!I$13)</f>
        <v>.</v>
      </c>
      <c r="J10" s="715" t="str">
        <f ca="1">OFFSET(CÁLCULO!$P$12,0,EVENTOS!J$13)</f>
        <v>.</v>
      </c>
      <c r="K10" s="716" t="str">
        <f ca="1">OFFSET(CÁLCULO!$P$12,0,EVENTOS!K$13)</f>
        <v>.</v>
      </c>
      <c r="L10" s="716" t="str">
        <f ca="1">OFFSET(CÁLCULO!$P$12,0,EVENTOS!L$13)</f>
        <v>.</v>
      </c>
      <c r="M10" s="716" t="str">
        <f ca="1">OFFSET(CÁLCULO!$P$12,0,EVENTOS!M$13)</f>
        <v>.</v>
      </c>
      <c r="N10" s="716" t="str">
        <f ca="1">OFFSET(CÁLCULO!$P$12,0,EVENTOS!N$13)</f>
        <v>.</v>
      </c>
      <c r="O10" s="716" t="str">
        <f ca="1">OFFSET(CÁLCULO!$P$12,0,EVENTOS!O$13)</f>
        <v>.</v>
      </c>
      <c r="P10" s="716" t="str">
        <f ca="1">OFFSET(CÁLCULO!$P$12,0,EVENTOS!P$13)</f>
        <v>.</v>
      </c>
      <c r="Q10" s="716" t="str">
        <f ca="1">OFFSET(CÁLCULO!$P$12,0,EVENTOS!Q$13)</f>
        <v>.</v>
      </c>
      <c r="R10" s="716" t="str">
        <f ca="1">OFFSET(CÁLCULO!$P$12,0,EVENTOS!R$13)</f>
        <v>.</v>
      </c>
      <c r="S10" s="716" t="str">
        <f ca="1">OFFSET(CÁLCULO!$P$12,0,EVENTOS!S$13)</f>
        <v>.</v>
      </c>
      <c r="T10" s="716" t="str">
        <f ca="1">OFFSET(CÁLCULO!$P$12,0,EVENTOS!T$13)</f>
        <v>.</v>
      </c>
      <c r="U10" s="716" t="str">
        <f ca="1">OFFSET(CÁLCULO!$P$12,0,EVENTOS!U$13)</f>
        <v>.</v>
      </c>
      <c r="V10" s="716" t="str">
        <f ca="1">OFFSET(CÁLCULO!$P$12,0,EVENTOS!V$13)</f>
        <v>.</v>
      </c>
      <c r="W10" s="716" t="str">
        <f ca="1">OFFSET(CÁLCULO!$P$12,0,EVENTOS!W$13)</f>
        <v>.</v>
      </c>
      <c r="X10" s="716" t="str">
        <f ca="1">OFFSET(CÁLCULO!$P$12,0,EVENTOS!X$13)</f>
        <v>.</v>
      </c>
      <c r="Y10" s="716" t="str">
        <f ca="1">OFFSET(CÁLCULO!$P$12,0,EVENTOS!Y$13)</f>
        <v>.</v>
      </c>
    </row>
    <row r="11" spans="1:26" ht="35.1" customHeight="1" x14ac:dyDescent="0.2">
      <c r="A11" s="547" t="s">
        <v>207</v>
      </c>
      <c r="C11" s="721" t="str">
        <f>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21"/>
      <c r="E11" s="715"/>
      <c r="F11" s="533"/>
      <c r="G11" s="717"/>
      <c r="H11" s="715"/>
      <c r="I11" s="715"/>
      <c r="J11" s="715"/>
      <c r="K11" s="717"/>
      <c r="L11" s="717"/>
      <c r="M11" s="717"/>
      <c r="N11" s="717"/>
      <c r="O11" s="717"/>
      <c r="P11" s="717"/>
      <c r="Q11" s="717"/>
      <c r="R11" s="717"/>
      <c r="S11" s="717"/>
      <c r="T11" s="717"/>
      <c r="U11" s="717"/>
      <c r="V11" s="717"/>
      <c r="W11" s="717"/>
      <c r="X11" s="717"/>
      <c r="Y11" s="717"/>
    </row>
    <row r="12" spans="1:26" ht="12" customHeight="1" x14ac:dyDescent="0.2">
      <c r="A12" s="548" t="s">
        <v>215</v>
      </c>
      <c r="E12" s="715"/>
      <c r="G12" s="718"/>
      <c r="H12" s="715"/>
      <c r="I12" s="715"/>
      <c r="J12" s="715"/>
      <c r="K12" s="718"/>
      <c r="L12" s="718"/>
      <c r="M12" s="718"/>
      <c r="N12" s="718"/>
      <c r="O12" s="718"/>
      <c r="P12" s="718"/>
      <c r="Q12" s="718"/>
      <c r="R12" s="718"/>
      <c r="S12" s="718"/>
      <c r="T12" s="718"/>
      <c r="U12" s="718"/>
      <c r="V12" s="718"/>
      <c r="W12" s="718"/>
      <c r="X12" s="718"/>
      <c r="Y12" s="718"/>
    </row>
    <row r="13" spans="1:26" ht="15" x14ac:dyDescent="0.25">
      <c r="A13" s="548"/>
      <c r="C13" s="534" t="s">
        <v>263</v>
      </c>
      <c r="D13" s="595" t="s">
        <v>264</v>
      </c>
      <c r="E13" s="597">
        <f ca="1">IF(NOT(ISNUMBER(OFFSET(E13,0,-1))),1,IF(OR(OFFSET(E13,0,-1)=0,OFFSET(E13,0,-1)+1&gt;CÁLCULO.FrentesPreenchidas),0,OFFSET(E13,0,-1)+1))</f>
        <v>1</v>
      </c>
      <c r="F13" s="596" t="s">
        <v>265</v>
      </c>
      <c r="G13" s="531"/>
      <c r="H13" s="597">
        <f ca="1">IF(NOT(ISNUMBER(OFFSET(H13,0,-1))),1,IF(OR(OFFSET(H13,0,-1)=0,OFFSET(H13,0,-1)+1&gt;CÁLCULO.FrentesPreenchidas),0,OFFSET(H13,0,-1)+1))</f>
        <v>1</v>
      </c>
      <c r="I13" s="597">
        <f ca="1">IF(NOT(ISNUMBER(OFFSET(I13,0,-1))),1,IF(OR(OFFSET(I13,0,-1)=0,OFFSET(I13,0,-1)+1&gt;CÁLCULO.FrentesPreenchidas),0,OFFSET(I13,0,-1)+1))</f>
        <v>0</v>
      </c>
      <c r="J13" s="597">
        <f ca="1">IF(NOT(ISNUMBER(OFFSET(J13,0,-1))),1,IF(OR(OFFSET(J13,0,-1)=0,OFFSET(J13,0,-1)+1&gt;CÁLCULO.FrentesPreenchidas),0,OFFSET(J13,0,-1)+1))</f>
        <v>0</v>
      </c>
      <c r="K13" s="531">
        <f t="shared" ref="K13:O13" ca="1" si="1">IF(NOT(ISNUMBER(OFFSET(K13,0,-1))),1,IF(OR(OFFSET(K13,0,-1)=0,OFFSET(K13,0,-1)+1&gt;CÁLCULO.FrentesPreenchidas),0,OFFSET(K13,0,-1)+1))</f>
        <v>0</v>
      </c>
      <c r="L13" s="531">
        <f t="shared" ca="1" si="1"/>
        <v>0</v>
      </c>
      <c r="M13" s="531">
        <f t="shared" ca="1" si="1"/>
        <v>0</v>
      </c>
      <c r="N13" s="531">
        <f t="shared" ca="1" si="1"/>
        <v>0</v>
      </c>
      <c r="O13" s="531">
        <f t="shared" ca="1" si="1"/>
        <v>0</v>
      </c>
      <c r="P13" s="531">
        <f ca="1">IF(NOT(ISNUMBER(OFFSET(P13,0,-1))),1,IF(OR(OFFSET(P13,0,-1)=0,OFFSET(P13,0,-1)+1&gt;CÁLCULO.NúmeroDeFrentes),0,OFFSET(P13,0,-1)+1))</f>
        <v>0</v>
      </c>
      <c r="Q13" s="531">
        <f ca="1">IF(NOT(ISNUMBER(OFFSET(Q13,0,-1))),1,IF(OR(OFFSET(Q13,0,-1)=0,OFFSET(Q13,0,-1)+1&gt;CÁLCULO.NúmeroDeFrentes),0,OFFSET(Q13,0,-1)+1))</f>
        <v>0</v>
      </c>
      <c r="R13" s="531">
        <f ca="1">IF(NOT(ISNUMBER(OFFSET(R13,0,-1))),1,IF(OR(OFFSET(R13,0,-1)=0,OFFSET(R13,0,-1)+1&gt;CÁLCULO.NúmeroDeFrentes),0,OFFSET(R13,0,-1)+1))</f>
        <v>0</v>
      </c>
      <c r="S13" s="531">
        <f ca="1">IF(NOT(ISNUMBER(OFFSET(S13,0,-1))),1,IF(OR(OFFSET(S13,0,-1)=0,OFFSET(S13,0,-1)+1&gt;CÁLCULO.NúmeroDeFrentes),0,OFFSET(S13,0,-1)+1))</f>
        <v>0</v>
      </c>
      <c r="T13" s="531">
        <f ca="1">IF(NOT(ISNUMBER(OFFSET(T13,0,-1))),1,IF(OR(OFFSET(T13,0,-1)=0,OFFSET(T13,0,-1)+1&gt;CÁLCULO.NúmeroDeFrentes),0,OFFSET(T13,0,-1)+1))</f>
        <v>0</v>
      </c>
      <c r="U13" s="531">
        <f ca="1">IF(NOT(ISNUMBER(OFFSET(U13,0,-1))),1,IF(OR(OFFSET(U13,0,-1)=0,OFFSET(U13,0,-1)+1&gt;CÁLCULO.NúmeroDeFrentes),0,OFFSET(U13,0,-1)+1))</f>
        <v>0</v>
      </c>
      <c r="V13" s="531">
        <f ca="1">IF(NOT(ISNUMBER(OFFSET(V13,0,-1))),1,IF(OR(OFFSET(V13,0,-1)=0,OFFSET(V13,0,-1)+1&gt;CÁLCULO.NúmeroDeFrentes),0,OFFSET(V13,0,-1)+1))</f>
        <v>0</v>
      </c>
      <c r="W13" s="531">
        <f ca="1">IF(NOT(ISNUMBER(OFFSET(W13,0,-1))),1,IF(OR(OFFSET(W13,0,-1)=0,OFFSET(W13,0,-1)+1&gt;CÁLCULO.NúmeroDeFrentes),0,OFFSET(W13,0,-1)+1))</f>
        <v>0</v>
      </c>
      <c r="X13" s="531">
        <f ca="1">IF(NOT(ISNUMBER(OFFSET(X13,0,-1))),1,IF(OR(OFFSET(X13,0,-1)=0,OFFSET(X13,0,-1)+1&gt;CÁLCULO.NúmeroDeFrentes),0,OFFSET(X13,0,-1)+1))</f>
        <v>0</v>
      </c>
      <c r="Y13" s="531">
        <f ca="1">IF(NOT(ISNUMBER(OFFSET(Y13,0,-1))),1,IF(OR(OFFSET(Y13,0,-1)=0,OFFSET(Y13,0,-1)+1&gt;CÁLCULO.NúmeroDeFrentes),0,OFFSET(Y13,0,-1)+1))</f>
        <v>0</v>
      </c>
    </row>
    <row r="14" spans="1:26" ht="15" customHeight="1" x14ac:dyDescent="0.2">
      <c r="A14" s="546" t="s">
        <v>244</v>
      </c>
      <c r="C14" s="589"/>
      <c r="D14" s="590" t="s">
        <v>494</v>
      </c>
      <c r="E14" s="591">
        <f ca="1">SUM(E$15:E$36)</f>
        <v>0</v>
      </c>
      <c r="F14" s="592">
        <f ca="1">SUM(F$15:F$36)</f>
        <v>0</v>
      </c>
      <c r="H14" s="591">
        <f t="shared" ref="H14:Y14" ca="1" si="2">SUM(H$15:H$36)</f>
        <v>0</v>
      </c>
      <c r="I14" s="591">
        <f t="shared" ca="1" si="2"/>
        <v>0</v>
      </c>
      <c r="J14" s="591">
        <f t="shared" ca="1" si="2"/>
        <v>0</v>
      </c>
      <c r="K14" s="591">
        <f t="shared" ca="1" si="2"/>
        <v>0</v>
      </c>
      <c r="L14" s="591">
        <f t="shared" ca="1" si="2"/>
        <v>0</v>
      </c>
      <c r="M14" s="591">
        <f t="shared" ca="1" si="2"/>
        <v>0</v>
      </c>
      <c r="N14" s="591">
        <f t="shared" ca="1" si="2"/>
        <v>0</v>
      </c>
      <c r="O14" s="591">
        <f t="shared" ca="1" si="2"/>
        <v>0</v>
      </c>
      <c r="P14" s="591">
        <f t="shared" ca="1" si="2"/>
        <v>0</v>
      </c>
      <c r="Q14" s="591">
        <f t="shared" ca="1" si="2"/>
        <v>0</v>
      </c>
      <c r="R14" s="591">
        <f t="shared" ca="1" si="2"/>
        <v>0</v>
      </c>
      <c r="S14" s="591">
        <f t="shared" ca="1" si="2"/>
        <v>0</v>
      </c>
      <c r="T14" s="591">
        <f t="shared" ca="1" si="2"/>
        <v>0</v>
      </c>
      <c r="U14" s="591">
        <f t="shared" ca="1" si="2"/>
        <v>0</v>
      </c>
      <c r="V14" s="591">
        <f t="shared" ca="1" si="2"/>
        <v>0</v>
      </c>
      <c r="W14" s="591">
        <f t="shared" ca="1" si="2"/>
        <v>0</v>
      </c>
      <c r="X14" s="591">
        <f t="shared" ca="1" si="2"/>
        <v>0</v>
      </c>
      <c r="Y14" s="591">
        <f t="shared" ca="1" si="2"/>
        <v>0</v>
      </c>
    </row>
    <row r="15" spans="1:26" x14ac:dyDescent="0.2">
      <c r="A15" s="546" t="str">
        <f t="shared" ref="A15:A35" ca="1" si="3">IF(D15="","","F")</f>
        <v/>
      </c>
      <c r="B15" t="str">
        <f ca="1">IF(OR(C15=" ",D15=""),"",CONCATENATE(C15,". ",D15))</f>
        <v/>
      </c>
      <c r="C15" s="598">
        <f ca="1">IF(AdmLocal="Automática",1,0)</f>
        <v>0</v>
      </c>
      <c r="D15" s="599" t="str">
        <f ca="1">IF(C15=1,"Administração Local","")</f>
        <v/>
      </c>
      <c r="E15" s="600">
        <f ca="1">IF($F$15=0,0,IF(E13=1,$F$15-SUM($I$15:$Z$15),ROUND(SUM(OFFSET(E15,1,0):OFFSET(E$36,-1,0))/SUM(OFFSET($F15,1,0):OFFSET($F$36,-1,0))*$F$15,2)))</f>
        <v>0</v>
      </c>
      <c r="F15" s="601" cm="1">
        <f t="array" aca="1" ref="F15" ca="1">IF($C$15=0,0,ROUND(SUMPRODUCT((CÁLCULO!$M$15:$M$89=EVENTOS!$C15)*(ORÇAMENTO!$X$15:'ORÇAMENTO'!$X$89)),2))</f>
        <v>0</v>
      </c>
      <c r="G15" s="542"/>
      <c r="H15" s="600">
        <f ca="1">IF($F$15=0,0,IF(H13=1,$F$15-SUM($I$15:$Z$15),ROUND(SUM(OFFSET(H15,1,0):OFFSET(H$36,-1,0))/SUM(OFFSET($F15,1,0):OFFSET($F$36,-1,0))*$F$15,2)))</f>
        <v>0</v>
      </c>
      <c r="I15" s="600">
        <f ca="1">IF($F$15=0,0,IF(I13=1,$F$15-SUM($I$15:$Z$15),ROUND(SUM(OFFSET(I15,1,0):OFFSET(I$36,-1,0))/SUM(OFFSET($F15,1,0):OFFSET($F$36,-1,0))*$F$15,2)))</f>
        <v>0</v>
      </c>
      <c r="J15" s="600">
        <f ca="1">IF($F$15=0,0,IF(J13=1,$F$15-SUM($I$15:$Z$15),ROUND(SUM(OFFSET(J15,1,0):OFFSET(J$36,-1,0))/SUM(OFFSET($F15,1,0):OFFSET($F$36,-1,0))*$F$15,2)))</f>
        <v>0</v>
      </c>
      <c r="K15" s="600">
        <f ca="1">IF($F$15=0,0,IF(K13=1,$F$15-SUM($I$15:$Z$15),ROUND(SUM(OFFSET(K15,1,0):OFFSET(K$36,-1,0))/SUM(OFFSET($F15,1,0):OFFSET($F$36,-1,0))*$F$15,2)))</f>
        <v>0</v>
      </c>
      <c r="L15" s="600">
        <f ca="1">IF($F$15=0,0,IF(L13=1,$F$15-SUM($I$15:$Z$15),ROUND(SUM(OFFSET(L15,1,0):OFFSET(L$36,-1,0))/SUM(OFFSET($F15,1,0):OFFSET($F$36,-1,0))*$F$15,2)))</f>
        <v>0</v>
      </c>
      <c r="M15" s="600">
        <f ca="1">IF($F$15=0,0,IF(M13=1,$F$15-SUM($I$15:$Z$15),ROUND(SUM(OFFSET(M15,1,0):OFFSET(M$36,-1,0))/SUM(OFFSET($F15,1,0):OFFSET($F$36,-1,0))*$F$15,2)))</f>
        <v>0</v>
      </c>
      <c r="N15" s="600">
        <f ca="1">IF($F$15=0,0,IF(N13=1,$F$15-SUM($I$15:$Z$15),ROUND(SUM(OFFSET(N15,1,0):OFFSET(N$36,-1,0))/SUM(OFFSET($F15,1,0):OFFSET($F$36,-1,0))*$F$15,2)))</f>
        <v>0</v>
      </c>
      <c r="O15" s="600">
        <f ca="1">IF($F$15=0,0,IF(O13=1,$F$15-SUM($I$15:$Z$15),ROUND(SUM(OFFSET(O15,1,0):OFFSET(O$36,-1,0))/SUM(OFFSET($F15,1,0):OFFSET($F$36,-1,0))*$F$15,2)))</f>
        <v>0</v>
      </c>
      <c r="P15" s="600">
        <f ca="1">IF($F$15=0,0,IF(P13=1,$F$15-SUM($I$15:$Z$15),ROUND(SUM(OFFSET(P15,1,0):OFFSET(P$36,-1,0))/SUM(OFFSET($F15,1,0):OFFSET($F$36,-1,0))*$F$15,2)))</f>
        <v>0</v>
      </c>
      <c r="Q15" s="600">
        <f ca="1">IF($F$15=0,0,IF(Q13=1,$F$15-SUM($I$15:$Z$15),ROUND(SUM(OFFSET(Q15,1,0):OFFSET(Q$36,-1,0))/SUM(OFFSET($F15,1,0):OFFSET($F$36,-1,0))*$F$15,2)))</f>
        <v>0</v>
      </c>
      <c r="R15" s="600">
        <f ca="1">IF($F$15=0,0,IF(R13=1,$F$15-SUM($I$15:$Z$15),ROUND(SUM(OFFSET(R15,1,0):OFFSET(R$36,-1,0))/SUM(OFFSET($F15,1,0):OFFSET($F$36,-1,0))*$F$15,2)))</f>
        <v>0</v>
      </c>
      <c r="S15" s="600">
        <f ca="1">IF($F$15=0,0,IF(S13=1,$F$15-SUM($I$15:$Z$15),ROUND(SUM(OFFSET(S15,1,0):OFFSET(S$36,-1,0))/SUM(OFFSET($F15,1,0):OFFSET($F$36,-1,0))*$F$15,2)))</f>
        <v>0</v>
      </c>
      <c r="T15" s="600">
        <f ca="1">IF($F$15=0,0,IF(T13=1,$F$15-SUM($I$15:$Z$15),ROUND(SUM(OFFSET(T15,1,0):OFFSET(T$36,-1,0))/SUM(OFFSET($F15,1,0):OFFSET($F$36,-1,0))*$F$15,2)))</f>
        <v>0</v>
      </c>
      <c r="U15" s="600">
        <f ca="1">IF($F$15=0,0,IF(U13=1,$F$15-SUM($I$15:$Z$15),ROUND(SUM(OFFSET(U15,1,0):OFFSET(U$36,-1,0))/SUM(OFFSET($F15,1,0):OFFSET($F$36,-1,0))*$F$15,2)))</f>
        <v>0</v>
      </c>
      <c r="V15" s="600">
        <f ca="1">IF($F$15=0,0,IF(V13=1,$F$15-SUM($I$15:$Z$15),ROUND(SUM(OFFSET(V15,1,0):OFFSET(V$36,-1,0))/SUM(OFFSET($F15,1,0):OFFSET($F$36,-1,0))*$F$15,2)))</f>
        <v>0</v>
      </c>
      <c r="W15" s="600">
        <f ca="1">IF($F$15=0,0,IF(W13=1,$F$15-SUM($I$15:$Z$15),ROUND(SUM(OFFSET(W15,1,0):OFFSET(W$36,-1,0))/SUM(OFFSET($F15,1,0):OFFSET($F$36,-1,0))*$F$15,2)))</f>
        <v>0</v>
      </c>
      <c r="X15" s="600">
        <f ca="1">IF($F$15=0,0,IF(X13=1,$F$15-SUM($I$15:$Z$15),ROUND(SUM(OFFSET(X15,1,0):OFFSET(X$36,-1,0))/SUM(OFFSET($F15,1,0):OFFSET($F$36,-1,0))*$F$15,2)))</f>
        <v>0</v>
      </c>
      <c r="Y15" s="600">
        <f ca="1">IF($F$15=0,0,IF(Y13=1,$F$15-SUM($I$15:$Z$15),ROUND(SUM(OFFSET(Y15,1,0):OFFSET(Y$36,-1,0))/SUM(OFFSET($F15,1,0):OFFSET($F$36,-1,0))*$F$15,2)))</f>
        <v>0</v>
      </c>
    </row>
    <row r="16" spans="1:26" x14ac:dyDescent="0.2">
      <c r="A16" s="546" t="str">
        <f t="shared" si="3"/>
        <v/>
      </c>
      <c r="B16" t="str">
        <f t="shared" ref="B16:B35" ca="1" si="4">IF(OR(C16=" ",D16=""),"",CONCATENATE(C16,". ",D16))</f>
        <v/>
      </c>
      <c r="C16" s="191" cm="1">
        <f t="array" aca="1" ref="C16" ca="1">IF(OR(ROW(C16)=ROW(EVENTOS.firstrow)+1,AND(OFFSET(C16,-1,0)&lt;&gt;" ",OFFSET(C16,-1,1)&lt;&gt;"")),OFFSET(C16,-1,0)+1," ")</f>
        <v>1</v>
      </c>
      <c r="D16" s="532"/>
      <c r="E16" s="543" cm="1">
        <f t="array" aca="1" ref="E16" ca="1">IF(AUTOEVENTO="Manual",ROUND(SUMPRODUCT((CÁLCULO!$M$15:$M$89=EVENTOS!$C16)*(OFFSET(CÁLCULO!$AA$15:$AA$89,0,E$13))),2),0)</f>
        <v>0</v>
      </c>
      <c r="F16" s="192">
        <f ca="1">IF(AUTOEVENTO="Manual",ROUND(SUMPRODUCT((CÁLCULO!$M$15:$M$89=EVENTOS!$C16)*(OFFSET(CÁLCULO!$AA$15,0,1):OFFSET(CÁLCULO!$AL$89,0,-1))),2),0)</f>
        <v>0</v>
      </c>
      <c r="G16" s="627" t="str">
        <f ca="1">IF(AND(D16=0,F16&gt;0),"NOME",
 IF(AND(D16&lt;&gt;0,$F$14&gt;0,F16=0),"VALOR",
 IF(AND(Import.TipoArredondamento="TransfereGOV",$A16="F",LEN(D16)&gt;100),"Nome &gt;100","")))</f>
        <v/>
      </c>
      <c r="H16" s="543" cm="1">
        <f t="array" aca="1" ref="H16" ca="1">IF(AUTOEVENTO="Manual",ROUND(SUMPRODUCT((CÁLCULO!$M$15:$M$89=EVENTOS!$C16)*(OFFSET(CÁLCULO!$AA$15:$AA$89,0,H$13))),2),0)</f>
        <v>0</v>
      </c>
      <c r="I16" s="543" cm="1">
        <f t="array" aca="1" ref="I16" ca="1">IF(AUTOEVENTO="Manual",ROUND(SUMPRODUCT((CÁLCULO!$M$15:$M$89=EVENTOS!$C16)*(OFFSET(CÁLCULO!$AA$15:$AA$89,0,I$13))),2),0)</f>
        <v>0</v>
      </c>
      <c r="J16" s="543" cm="1">
        <f t="array" aca="1" ref="J16" ca="1">IF(AUTOEVENTO="Manual",ROUND(SUMPRODUCT((CÁLCULO!$M$15:$M$89=EVENTOS!$C16)*(OFFSET(CÁLCULO!$AA$15:$AA$89,0,J$13))),2),0)</f>
        <v>0</v>
      </c>
      <c r="K16" s="543" cm="1">
        <f t="array" aca="1" ref="K16" ca="1">IF(AUTOEVENTO="Manual",ROUND(SUMPRODUCT((CÁLCULO!$M$15:$M$89=EVENTOS!$C16)*(OFFSET(CÁLCULO!$AA$15:$AA$89,0,K$13))),2),0)</f>
        <v>0</v>
      </c>
      <c r="L16" s="543" cm="1">
        <f t="array" aca="1" ref="L16" ca="1">IF(AUTOEVENTO="Manual",ROUND(SUMPRODUCT((CÁLCULO!$M$15:$M$89=EVENTOS!$C16)*(OFFSET(CÁLCULO!$AA$15:$AA$89,0,L$13))),2),0)</f>
        <v>0</v>
      </c>
      <c r="M16" s="543" cm="1">
        <f t="array" aca="1" ref="M16" ca="1">IF(AUTOEVENTO="Manual",ROUND(SUMPRODUCT((CÁLCULO!$M$15:$M$89=EVENTOS!$C16)*(OFFSET(CÁLCULO!$AA$15:$AA$89,0,M$13))),2),0)</f>
        <v>0</v>
      </c>
      <c r="N16" s="543" cm="1">
        <f t="array" aca="1" ref="N16" ca="1">IF(AUTOEVENTO="Manual",ROUND(SUMPRODUCT((CÁLCULO!$M$15:$M$89=EVENTOS!$C16)*(OFFSET(CÁLCULO!$AA$15:$AA$89,0,N$13))),2),0)</f>
        <v>0</v>
      </c>
      <c r="O16" s="543" cm="1">
        <f t="array" aca="1" ref="O16" ca="1">IF(AUTOEVENTO="Manual",ROUND(SUMPRODUCT((CÁLCULO!$M$15:$M$89=EVENTOS!$C16)*(OFFSET(CÁLCULO!$AA$15:$AA$89,0,O$13))),2),0)</f>
        <v>0</v>
      </c>
      <c r="P16" s="543" cm="1">
        <f t="array" aca="1" ref="P16" ca="1">IF(AUTOEVENTO="Manual",ROUND(SUMPRODUCT((CÁLCULO!$M$15:$M$89=EVENTOS!$C16)*(OFFSET(CÁLCULO!$AA$15:$AA$89,0,P$13))),2),0)</f>
        <v>0</v>
      </c>
      <c r="Q16" s="543" cm="1">
        <f t="array" aca="1" ref="Q16" ca="1">IF(AUTOEVENTO="Manual",ROUND(SUMPRODUCT((CÁLCULO!$M$15:$M$89=EVENTOS!$C16)*(OFFSET(CÁLCULO!$AA$15:$AA$89,0,Q$13))),2),0)</f>
        <v>0</v>
      </c>
      <c r="R16" s="543" cm="1">
        <f t="array" aca="1" ref="R16" ca="1">IF(AUTOEVENTO="Manual",ROUND(SUMPRODUCT((CÁLCULO!$M$15:$M$89=EVENTOS!$C16)*(OFFSET(CÁLCULO!$AA$15:$AA$89,0,R$13))),2),0)</f>
        <v>0</v>
      </c>
      <c r="S16" s="543" cm="1">
        <f t="array" aca="1" ref="S16" ca="1">IF(AUTOEVENTO="Manual",ROUND(SUMPRODUCT((CÁLCULO!$M$15:$M$89=EVENTOS!$C16)*(OFFSET(CÁLCULO!$AA$15:$AA$89,0,S$13))),2),0)</f>
        <v>0</v>
      </c>
      <c r="T16" s="543" cm="1">
        <f t="array" aca="1" ref="T16" ca="1">IF(AUTOEVENTO="Manual",ROUND(SUMPRODUCT((CÁLCULO!$M$15:$M$89=EVENTOS!$C16)*(OFFSET(CÁLCULO!$AA$15:$AA$89,0,T$13))),2),0)</f>
        <v>0</v>
      </c>
      <c r="U16" s="543" cm="1">
        <f t="array" aca="1" ref="U16" ca="1">IF(AUTOEVENTO="Manual",ROUND(SUMPRODUCT((CÁLCULO!$M$15:$M$89=EVENTOS!$C16)*(OFFSET(CÁLCULO!$AA$15:$AA$89,0,U$13))),2),0)</f>
        <v>0</v>
      </c>
      <c r="V16" s="543" cm="1">
        <f t="array" aca="1" ref="V16" ca="1">IF(AUTOEVENTO="Manual",ROUND(SUMPRODUCT((CÁLCULO!$M$15:$M$89=EVENTOS!$C16)*(OFFSET(CÁLCULO!$AA$15:$AA$89,0,V$13))),2),0)</f>
        <v>0</v>
      </c>
      <c r="W16" s="543" cm="1">
        <f t="array" aca="1" ref="W16" ca="1">IF(AUTOEVENTO="Manual",ROUND(SUMPRODUCT((CÁLCULO!$M$15:$M$89=EVENTOS!$C16)*(OFFSET(CÁLCULO!$AA$15:$AA$89,0,W$13))),2),0)</f>
        <v>0</v>
      </c>
      <c r="X16" s="543" cm="1">
        <f t="array" aca="1" ref="X16" ca="1">IF(AUTOEVENTO="Manual",ROUND(SUMPRODUCT((CÁLCULO!$M$15:$M$89=EVENTOS!$C16)*(OFFSET(CÁLCULO!$AA$15:$AA$89,0,X$13))),2),0)</f>
        <v>0</v>
      </c>
      <c r="Y16" s="543" cm="1">
        <f t="array" aca="1" ref="Y16" ca="1">IF(AUTOEVENTO="Manual",ROUND(SUMPRODUCT((CÁLCULO!$M$15:$M$89=EVENTOS!$C16)*(OFFSET(CÁLCULO!$AA$15:$AA$89,0,Y$13))),2),0)</f>
        <v>0</v>
      </c>
    </row>
    <row r="17" spans="1:25" x14ac:dyDescent="0.2">
      <c r="A17" s="546" t="str">
        <f t="shared" si="3"/>
        <v/>
      </c>
      <c r="B17" t="str">
        <f t="shared" ca="1" si="4"/>
        <v/>
      </c>
      <c r="C17" s="191" t="str" cm="1">
        <f t="array" aca="1" ref="C17" ca="1">IF(OR(ROW(C17)=ROW(EVENTOS.firstrow)+1,AND(OFFSET(C17,-1,0)&lt;&gt;" ",OFFSET(C17,-1,1)&lt;&gt;"")),OFFSET(C17,-1,0)+1," ")</f>
        <v xml:space="preserve"> </v>
      </c>
      <c r="D17" s="532"/>
      <c r="E17" s="543" cm="1">
        <f t="array" aca="1" ref="E17" ca="1">IF(AUTOEVENTO="Manual",ROUND(SUMPRODUCT((CÁLCULO!$M$15:$M$89=EVENTOS!$C17)*(OFFSET(CÁLCULO!$AA$15:$AA$89,0,E$13))),2),0)</f>
        <v>0</v>
      </c>
      <c r="F17" s="192">
        <f ca="1">IF(AUTOEVENTO="Manual",ROUND(SUMPRODUCT((CÁLCULO!$M$15:$M$89=EVENTOS!$C17)*(OFFSET(CÁLCULO!$AA$15,0,1):OFFSET(CÁLCULO!$AL$89,0,-1))),2),0)</f>
        <v>0</v>
      </c>
      <c r="G17" s="627" t="str">
        <f ca="1">IF(AND(D17=0,F17&gt;0),"NOME",
 IF(AND(D17&lt;&gt;0,$F$14&gt;0,F17=0),"VALOR",
 IF(AND(Import.TipoArredondamento="TransfereGOV",$A17="F",LEN(D17)&gt;100),"Nome &gt;100","")))</f>
        <v/>
      </c>
      <c r="H17" s="543" cm="1">
        <f t="array" aca="1" ref="H17" ca="1">IF(AUTOEVENTO="Manual",ROUND(SUMPRODUCT((CÁLCULO!$M$15:$M$89=EVENTOS!$C17)*(OFFSET(CÁLCULO!$AA$15:$AA$89,0,H$13))),2),0)</f>
        <v>0</v>
      </c>
      <c r="I17" s="543" cm="1">
        <f t="array" aca="1" ref="I17" ca="1">IF(AUTOEVENTO="Manual",ROUND(SUMPRODUCT((CÁLCULO!$M$15:$M$89=EVENTOS!$C17)*(OFFSET(CÁLCULO!$AA$15:$AA$89,0,I$13))),2),0)</f>
        <v>0</v>
      </c>
      <c r="J17" s="543" cm="1">
        <f t="array" aca="1" ref="J17" ca="1">IF(AUTOEVENTO="Manual",ROUND(SUMPRODUCT((CÁLCULO!$M$15:$M$89=EVENTOS!$C17)*(OFFSET(CÁLCULO!$AA$15:$AA$89,0,J$13))),2),0)</f>
        <v>0</v>
      </c>
      <c r="K17" s="543" cm="1">
        <f t="array" aca="1" ref="K17" ca="1">IF(AUTOEVENTO="Manual",ROUND(SUMPRODUCT((CÁLCULO!$M$15:$M$89=EVENTOS!$C17)*(OFFSET(CÁLCULO!$AA$15:$AA$89,0,K$13))),2),0)</f>
        <v>0</v>
      </c>
      <c r="L17" s="543" cm="1">
        <f t="array" aca="1" ref="L17" ca="1">IF(AUTOEVENTO="Manual",ROUND(SUMPRODUCT((CÁLCULO!$M$15:$M$89=EVENTOS!$C17)*(OFFSET(CÁLCULO!$AA$15:$AA$89,0,L$13))),2),0)</f>
        <v>0</v>
      </c>
      <c r="M17" s="543" cm="1">
        <f t="array" aca="1" ref="M17" ca="1">IF(AUTOEVENTO="Manual",ROUND(SUMPRODUCT((CÁLCULO!$M$15:$M$89=EVENTOS!$C17)*(OFFSET(CÁLCULO!$AA$15:$AA$89,0,M$13))),2),0)</f>
        <v>0</v>
      </c>
      <c r="N17" s="543" cm="1">
        <f t="array" aca="1" ref="N17" ca="1">IF(AUTOEVENTO="Manual",ROUND(SUMPRODUCT((CÁLCULO!$M$15:$M$89=EVENTOS!$C17)*(OFFSET(CÁLCULO!$AA$15:$AA$89,0,N$13))),2),0)</f>
        <v>0</v>
      </c>
      <c r="O17" s="543" cm="1">
        <f t="array" aca="1" ref="O17" ca="1">IF(AUTOEVENTO="Manual",ROUND(SUMPRODUCT((CÁLCULO!$M$15:$M$89=EVENTOS!$C17)*(OFFSET(CÁLCULO!$AA$15:$AA$89,0,O$13))),2),0)</f>
        <v>0</v>
      </c>
      <c r="P17" s="543" cm="1">
        <f t="array" aca="1" ref="P17" ca="1">IF(AUTOEVENTO="Manual",ROUND(SUMPRODUCT((CÁLCULO!$M$15:$M$89=EVENTOS!$C17)*(OFFSET(CÁLCULO!$AA$15:$AA$89,0,P$13))),2),0)</f>
        <v>0</v>
      </c>
      <c r="Q17" s="543" cm="1">
        <f t="array" aca="1" ref="Q17" ca="1">IF(AUTOEVENTO="Manual",ROUND(SUMPRODUCT((CÁLCULO!$M$15:$M$89=EVENTOS!$C17)*(OFFSET(CÁLCULO!$AA$15:$AA$89,0,Q$13))),2),0)</f>
        <v>0</v>
      </c>
      <c r="R17" s="543" cm="1">
        <f t="array" aca="1" ref="R17" ca="1">IF(AUTOEVENTO="Manual",ROUND(SUMPRODUCT((CÁLCULO!$M$15:$M$89=EVENTOS!$C17)*(OFFSET(CÁLCULO!$AA$15:$AA$89,0,R$13))),2),0)</f>
        <v>0</v>
      </c>
      <c r="S17" s="543" cm="1">
        <f t="array" aca="1" ref="S17" ca="1">IF(AUTOEVENTO="Manual",ROUND(SUMPRODUCT((CÁLCULO!$M$15:$M$89=EVENTOS!$C17)*(OFFSET(CÁLCULO!$AA$15:$AA$89,0,S$13))),2),0)</f>
        <v>0</v>
      </c>
      <c r="T17" s="543" cm="1">
        <f t="array" aca="1" ref="T17" ca="1">IF(AUTOEVENTO="Manual",ROUND(SUMPRODUCT((CÁLCULO!$M$15:$M$89=EVENTOS!$C17)*(OFFSET(CÁLCULO!$AA$15:$AA$89,0,T$13))),2),0)</f>
        <v>0</v>
      </c>
      <c r="U17" s="543" cm="1">
        <f t="array" aca="1" ref="U17" ca="1">IF(AUTOEVENTO="Manual",ROUND(SUMPRODUCT((CÁLCULO!$M$15:$M$89=EVENTOS!$C17)*(OFFSET(CÁLCULO!$AA$15:$AA$89,0,U$13))),2),0)</f>
        <v>0</v>
      </c>
      <c r="V17" s="543" cm="1">
        <f t="array" aca="1" ref="V17" ca="1">IF(AUTOEVENTO="Manual",ROUND(SUMPRODUCT((CÁLCULO!$M$15:$M$89=EVENTOS!$C17)*(OFFSET(CÁLCULO!$AA$15:$AA$89,0,V$13))),2),0)</f>
        <v>0</v>
      </c>
      <c r="W17" s="543" cm="1">
        <f t="array" aca="1" ref="W17" ca="1">IF(AUTOEVENTO="Manual",ROUND(SUMPRODUCT((CÁLCULO!$M$15:$M$89=EVENTOS!$C17)*(OFFSET(CÁLCULO!$AA$15:$AA$89,0,W$13))),2),0)</f>
        <v>0</v>
      </c>
      <c r="X17" s="543" cm="1">
        <f t="array" aca="1" ref="X17" ca="1">IF(AUTOEVENTO="Manual",ROUND(SUMPRODUCT((CÁLCULO!$M$15:$M$89=EVENTOS!$C17)*(OFFSET(CÁLCULO!$AA$15:$AA$89,0,X$13))),2),0)</f>
        <v>0</v>
      </c>
      <c r="Y17" s="543" cm="1">
        <f t="array" aca="1" ref="Y17" ca="1">IF(AUTOEVENTO="Manual",ROUND(SUMPRODUCT((CÁLCULO!$M$15:$M$89=EVENTOS!$C17)*(OFFSET(CÁLCULO!$AA$15:$AA$89,0,Y$13))),2),0)</f>
        <v>0</v>
      </c>
    </row>
    <row r="18" spans="1:25" x14ac:dyDescent="0.2">
      <c r="A18" s="546" t="str">
        <f t="shared" si="3"/>
        <v/>
      </c>
      <c r="B18" t="str">
        <f t="shared" ca="1" si="4"/>
        <v/>
      </c>
      <c r="C18" s="191" t="str" cm="1">
        <f t="array" aca="1" ref="C18" ca="1">IF(OR(ROW(C18)=ROW(EVENTOS.firstrow)+1,AND(OFFSET(C18,-1,0)&lt;&gt;" ",OFFSET(C18,-1,1)&lt;&gt;"")),OFFSET(C18,-1,0)+1," ")</f>
        <v xml:space="preserve"> </v>
      </c>
      <c r="D18" s="532"/>
      <c r="E18" s="543" cm="1">
        <f t="array" aca="1" ref="E18" ca="1">IF(AUTOEVENTO="Manual",ROUND(SUMPRODUCT((CÁLCULO!$M$15:$M$89=EVENTOS!$C18)*(OFFSET(CÁLCULO!$AA$15:$AA$89,0,E$13))),2),0)</f>
        <v>0</v>
      </c>
      <c r="F18" s="192">
        <f ca="1">IF(AUTOEVENTO="Manual",ROUND(SUMPRODUCT((CÁLCULO!$M$15:$M$89=EVENTOS!$C18)*(OFFSET(CÁLCULO!$AA$15,0,1):OFFSET(CÁLCULO!$AL$89,0,-1))),2),0)</f>
        <v>0</v>
      </c>
      <c r="G18" s="627" t="str">
        <f ca="1">IF(AND(D18=0,F18&gt;0),"NOME",
 IF(AND(D18&lt;&gt;0,$F$14&gt;0,F18=0),"VALOR",
 IF(AND(Import.TipoArredondamento="TransfereGOV",$A18="F",LEN(D18)&gt;100),"Nome &gt;100","")))</f>
        <v/>
      </c>
      <c r="H18" s="543" cm="1">
        <f t="array" aca="1" ref="H18" ca="1">IF(AUTOEVENTO="Manual",ROUND(SUMPRODUCT((CÁLCULO!$M$15:$M$89=EVENTOS!$C18)*(OFFSET(CÁLCULO!$AA$15:$AA$89,0,H$13))),2),0)</f>
        <v>0</v>
      </c>
      <c r="I18" s="543" cm="1">
        <f t="array" aca="1" ref="I18" ca="1">IF(AUTOEVENTO="Manual",ROUND(SUMPRODUCT((CÁLCULO!$M$15:$M$89=EVENTOS!$C18)*(OFFSET(CÁLCULO!$AA$15:$AA$89,0,I$13))),2),0)</f>
        <v>0</v>
      </c>
      <c r="J18" s="543" cm="1">
        <f t="array" aca="1" ref="J18" ca="1">IF(AUTOEVENTO="Manual",ROUND(SUMPRODUCT((CÁLCULO!$M$15:$M$89=EVENTOS!$C18)*(OFFSET(CÁLCULO!$AA$15:$AA$89,0,J$13))),2),0)</f>
        <v>0</v>
      </c>
      <c r="K18" s="543" cm="1">
        <f t="array" aca="1" ref="K18" ca="1">IF(AUTOEVENTO="Manual",ROUND(SUMPRODUCT((CÁLCULO!$M$15:$M$89=EVENTOS!$C18)*(OFFSET(CÁLCULO!$AA$15:$AA$89,0,K$13))),2),0)</f>
        <v>0</v>
      </c>
      <c r="L18" s="543" cm="1">
        <f t="array" aca="1" ref="L18" ca="1">IF(AUTOEVENTO="Manual",ROUND(SUMPRODUCT((CÁLCULO!$M$15:$M$89=EVENTOS!$C18)*(OFFSET(CÁLCULO!$AA$15:$AA$89,0,L$13))),2),0)</f>
        <v>0</v>
      </c>
      <c r="M18" s="543" cm="1">
        <f t="array" aca="1" ref="M18" ca="1">IF(AUTOEVENTO="Manual",ROUND(SUMPRODUCT((CÁLCULO!$M$15:$M$89=EVENTOS!$C18)*(OFFSET(CÁLCULO!$AA$15:$AA$89,0,M$13))),2),0)</f>
        <v>0</v>
      </c>
      <c r="N18" s="543" cm="1">
        <f t="array" aca="1" ref="N18" ca="1">IF(AUTOEVENTO="Manual",ROUND(SUMPRODUCT((CÁLCULO!$M$15:$M$89=EVENTOS!$C18)*(OFFSET(CÁLCULO!$AA$15:$AA$89,0,N$13))),2),0)</f>
        <v>0</v>
      </c>
      <c r="O18" s="543" cm="1">
        <f t="array" aca="1" ref="O18" ca="1">IF(AUTOEVENTO="Manual",ROUND(SUMPRODUCT((CÁLCULO!$M$15:$M$89=EVENTOS!$C18)*(OFFSET(CÁLCULO!$AA$15:$AA$89,0,O$13))),2),0)</f>
        <v>0</v>
      </c>
      <c r="P18" s="543" cm="1">
        <f t="array" aca="1" ref="P18" ca="1">IF(AUTOEVENTO="Manual",ROUND(SUMPRODUCT((CÁLCULO!$M$15:$M$89=EVENTOS!$C18)*(OFFSET(CÁLCULO!$AA$15:$AA$89,0,P$13))),2),0)</f>
        <v>0</v>
      </c>
      <c r="Q18" s="543" cm="1">
        <f t="array" aca="1" ref="Q18" ca="1">IF(AUTOEVENTO="Manual",ROUND(SUMPRODUCT((CÁLCULO!$M$15:$M$89=EVENTOS!$C18)*(OFFSET(CÁLCULO!$AA$15:$AA$89,0,Q$13))),2),0)</f>
        <v>0</v>
      </c>
      <c r="R18" s="543" cm="1">
        <f t="array" aca="1" ref="R18" ca="1">IF(AUTOEVENTO="Manual",ROUND(SUMPRODUCT((CÁLCULO!$M$15:$M$89=EVENTOS!$C18)*(OFFSET(CÁLCULO!$AA$15:$AA$89,0,R$13))),2),0)</f>
        <v>0</v>
      </c>
      <c r="S18" s="543" cm="1">
        <f t="array" aca="1" ref="S18" ca="1">IF(AUTOEVENTO="Manual",ROUND(SUMPRODUCT((CÁLCULO!$M$15:$M$89=EVENTOS!$C18)*(OFFSET(CÁLCULO!$AA$15:$AA$89,0,S$13))),2),0)</f>
        <v>0</v>
      </c>
      <c r="T18" s="543" cm="1">
        <f t="array" aca="1" ref="T18" ca="1">IF(AUTOEVENTO="Manual",ROUND(SUMPRODUCT((CÁLCULO!$M$15:$M$89=EVENTOS!$C18)*(OFFSET(CÁLCULO!$AA$15:$AA$89,0,T$13))),2),0)</f>
        <v>0</v>
      </c>
      <c r="U18" s="543" cm="1">
        <f t="array" aca="1" ref="U18" ca="1">IF(AUTOEVENTO="Manual",ROUND(SUMPRODUCT((CÁLCULO!$M$15:$M$89=EVENTOS!$C18)*(OFFSET(CÁLCULO!$AA$15:$AA$89,0,U$13))),2),0)</f>
        <v>0</v>
      </c>
      <c r="V18" s="543" cm="1">
        <f t="array" aca="1" ref="V18" ca="1">IF(AUTOEVENTO="Manual",ROUND(SUMPRODUCT((CÁLCULO!$M$15:$M$89=EVENTOS!$C18)*(OFFSET(CÁLCULO!$AA$15:$AA$89,0,V$13))),2),0)</f>
        <v>0</v>
      </c>
      <c r="W18" s="543" cm="1">
        <f t="array" aca="1" ref="W18" ca="1">IF(AUTOEVENTO="Manual",ROUND(SUMPRODUCT((CÁLCULO!$M$15:$M$89=EVENTOS!$C18)*(OFFSET(CÁLCULO!$AA$15:$AA$89,0,W$13))),2),0)</f>
        <v>0</v>
      </c>
      <c r="X18" s="543" cm="1">
        <f t="array" aca="1" ref="X18" ca="1">IF(AUTOEVENTO="Manual",ROUND(SUMPRODUCT((CÁLCULO!$M$15:$M$89=EVENTOS!$C18)*(OFFSET(CÁLCULO!$AA$15:$AA$89,0,X$13))),2),0)</f>
        <v>0</v>
      </c>
      <c r="Y18" s="543" cm="1">
        <f t="array" aca="1" ref="Y18" ca="1">IF(AUTOEVENTO="Manual",ROUND(SUMPRODUCT((CÁLCULO!$M$15:$M$89=EVENTOS!$C18)*(OFFSET(CÁLCULO!$AA$15:$AA$89,0,Y$13))),2),0)</f>
        <v>0</v>
      </c>
    </row>
    <row r="19" spans="1:25" x14ac:dyDescent="0.2">
      <c r="A19" s="546" t="str">
        <f t="shared" si="3"/>
        <v/>
      </c>
      <c r="B19" t="str">
        <f t="shared" ca="1" si="4"/>
        <v/>
      </c>
      <c r="C19" s="191" t="str" cm="1">
        <f t="array" aca="1" ref="C19" ca="1">IF(OR(ROW(C19)=ROW(EVENTOS.firstrow)+1,AND(OFFSET(C19,-1,0)&lt;&gt;" ",OFFSET(C19,-1,1)&lt;&gt;"")),OFFSET(C19,-1,0)+1," ")</f>
        <v xml:space="preserve"> </v>
      </c>
      <c r="D19" s="532"/>
      <c r="E19" s="543" cm="1">
        <f t="array" aca="1" ref="E19" ca="1">IF(AUTOEVENTO="Manual",ROUND(SUMPRODUCT((CÁLCULO!$M$15:$M$89=EVENTOS!$C19)*(OFFSET(CÁLCULO!$AA$15:$AA$89,0,E$13))),2),0)</f>
        <v>0</v>
      </c>
      <c r="F19" s="192">
        <f ca="1">IF(AUTOEVENTO="Manual",ROUND(SUMPRODUCT((CÁLCULO!$M$15:$M$89=EVENTOS!$C19)*(OFFSET(CÁLCULO!$AA$15,0,1):OFFSET(CÁLCULO!$AL$89,0,-1))),2),0)</f>
        <v>0</v>
      </c>
      <c r="G19" s="627" t="str">
        <f ca="1">IF(AND(D19=0,F19&gt;0),"NOME",
 IF(AND(D19&lt;&gt;0,$F$14&gt;0,F19=0),"VALOR",
 IF(AND(Import.TipoArredondamento="TransfereGOV",$A19="F",LEN(D19)&gt;100),"Nome &gt;100","")))</f>
        <v/>
      </c>
      <c r="H19" s="543" cm="1">
        <f t="array" aca="1" ref="H19" ca="1">IF(AUTOEVENTO="Manual",ROUND(SUMPRODUCT((CÁLCULO!$M$15:$M$89=EVENTOS!$C19)*(OFFSET(CÁLCULO!$AA$15:$AA$89,0,H$13))),2),0)</f>
        <v>0</v>
      </c>
      <c r="I19" s="543" cm="1">
        <f t="array" aca="1" ref="I19" ca="1">IF(AUTOEVENTO="Manual",ROUND(SUMPRODUCT((CÁLCULO!$M$15:$M$89=EVENTOS!$C19)*(OFFSET(CÁLCULO!$AA$15:$AA$89,0,I$13))),2),0)</f>
        <v>0</v>
      </c>
      <c r="J19" s="543" cm="1">
        <f t="array" aca="1" ref="J19" ca="1">IF(AUTOEVENTO="Manual",ROUND(SUMPRODUCT((CÁLCULO!$M$15:$M$89=EVENTOS!$C19)*(OFFSET(CÁLCULO!$AA$15:$AA$89,0,J$13))),2),0)</f>
        <v>0</v>
      </c>
      <c r="K19" s="543" cm="1">
        <f t="array" aca="1" ref="K19" ca="1">IF(AUTOEVENTO="Manual",ROUND(SUMPRODUCT((CÁLCULO!$M$15:$M$89=EVENTOS!$C19)*(OFFSET(CÁLCULO!$AA$15:$AA$89,0,K$13))),2),0)</f>
        <v>0</v>
      </c>
      <c r="L19" s="543" cm="1">
        <f t="array" aca="1" ref="L19" ca="1">IF(AUTOEVENTO="Manual",ROUND(SUMPRODUCT((CÁLCULO!$M$15:$M$89=EVENTOS!$C19)*(OFFSET(CÁLCULO!$AA$15:$AA$89,0,L$13))),2),0)</f>
        <v>0</v>
      </c>
      <c r="M19" s="543" cm="1">
        <f t="array" aca="1" ref="M19" ca="1">IF(AUTOEVENTO="Manual",ROUND(SUMPRODUCT((CÁLCULO!$M$15:$M$89=EVENTOS!$C19)*(OFFSET(CÁLCULO!$AA$15:$AA$89,0,M$13))),2),0)</f>
        <v>0</v>
      </c>
      <c r="N19" s="543" cm="1">
        <f t="array" aca="1" ref="N19" ca="1">IF(AUTOEVENTO="Manual",ROUND(SUMPRODUCT((CÁLCULO!$M$15:$M$89=EVENTOS!$C19)*(OFFSET(CÁLCULO!$AA$15:$AA$89,0,N$13))),2),0)</f>
        <v>0</v>
      </c>
      <c r="O19" s="543" cm="1">
        <f t="array" aca="1" ref="O19" ca="1">IF(AUTOEVENTO="Manual",ROUND(SUMPRODUCT((CÁLCULO!$M$15:$M$89=EVENTOS!$C19)*(OFFSET(CÁLCULO!$AA$15:$AA$89,0,O$13))),2),0)</f>
        <v>0</v>
      </c>
      <c r="P19" s="543" cm="1">
        <f t="array" aca="1" ref="P19" ca="1">IF(AUTOEVENTO="Manual",ROUND(SUMPRODUCT((CÁLCULO!$M$15:$M$89=EVENTOS!$C19)*(OFFSET(CÁLCULO!$AA$15:$AA$89,0,P$13))),2),0)</f>
        <v>0</v>
      </c>
      <c r="Q19" s="543" cm="1">
        <f t="array" aca="1" ref="Q19" ca="1">IF(AUTOEVENTO="Manual",ROUND(SUMPRODUCT((CÁLCULO!$M$15:$M$89=EVENTOS!$C19)*(OFFSET(CÁLCULO!$AA$15:$AA$89,0,Q$13))),2),0)</f>
        <v>0</v>
      </c>
      <c r="R19" s="543" cm="1">
        <f t="array" aca="1" ref="R19" ca="1">IF(AUTOEVENTO="Manual",ROUND(SUMPRODUCT((CÁLCULO!$M$15:$M$89=EVENTOS!$C19)*(OFFSET(CÁLCULO!$AA$15:$AA$89,0,R$13))),2),0)</f>
        <v>0</v>
      </c>
      <c r="S19" s="543" cm="1">
        <f t="array" aca="1" ref="S19" ca="1">IF(AUTOEVENTO="Manual",ROUND(SUMPRODUCT((CÁLCULO!$M$15:$M$89=EVENTOS!$C19)*(OFFSET(CÁLCULO!$AA$15:$AA$89,0,S$13))),2),0)</f>
        <v>0</v>
      </c>
      <c r="T19" s="543" cm="1">
        <f t="array" aca="1" ref="T19" ca="1">IF(AUTOEVENTO="Manual",ROUND(SUMPRODUCT((CÁLCULO!$M$15:$M$89=EVENTOS!$C19)*(OFFSET(CÁLCULO!$AA$15:$AA$89,0,T$13))),2),0)</f>
        <v>0</v>
      </c>
      <c r="U19" s="543" cm="1">
        <f t="array" aca="1" ref="U19" ca="1">IF(AUTOEVENTO="Manual",ROUND(SUMPRODUCT((CÁLCULO!$M$15:$M$89=EVENTOS!$C19)*(OFFSET(CÁLCULO!$AA$15:$AA$89,0,U$13))),2),0)</f>
        <v>0</v>
      </c>
      <c r="V19" s="543" cm="1">
        <f t="array" aca="1" ref="V19" ca="1">IF(AUTOEVENTO="Manual",ROUND(SUMPRODUCT((CÁLCULO!$M$15:$M$89=EVENTOS!$C19)*(OFFSET(CÁLCULO!$AA$15:$AA$89,0,V$13))),2),0)</f>
        <v>0</v>
      </c>
      <c r="W19" s="543" cm="1">
        <f t="array" aca="1" ref="W19" ca="1">IF(AUTOEVENTO="Manual",ROUND(SUMPRODUCT((CÁLCULO!$M$15:$M$89=EVENTOS!$C19)*(OFFSET(CÁLCULO!$AA$15:$AA$89,0,W$13))),2),0)</f>
        <v>0</v>
      </c>
      <c r="X19" s="543" cm="1">
        <f t="array" aca="1" ref="X19" ca="1">IF(AUTOEVENTO="Manual",ROUND(SUMPRODUCT((CÁLCULO!$M$15:$M$89=EVENTOS!$C19)*(OFFSET(CÁLCULO!$AA$15:$AA$89,0,X$13))),2),0)</f>
        <v>0</v>
      </c>
      <c r="Y19" s="543" cm="1">
        <f t="array" aca="1" ref="Y19" ca="1">IF(AUTOEVENTO="Manual",ROUND(SUMPRODUCT((CÁLCULO!$M$15:$M$89=EVENTOS!$C19)*(OFFSET(CÁLCULO!$AA$15:$AA$89,0,Y$13))),2),0)</f>
        <v>0</v>
      </c>
    </row>
    <row r="20" spans="1:25" x14ac:dyDescent="0.2">
      <c r="A20" s="546" t="str">
        <f t="shared" si="3"/>
        <v/>
      </c>
      <c r="B20" t="str">
        <f t="shared" ca="1" si="4"/>
        <v/>
      </c>
      <c r="C20" s="191" t="str" cm="1">
        <f t="array" aca="1" ref="C20" ca="1">IF(OR(ROW(C20)=ROW(EVENTOS.firstrow)+1,AND(OFFSET(C20,-1,0)&lt;&gt;" ",OFFSET(C20,-1,1)&lt;&gt;"")),OFFSET(C20,-1,0)+1," ")</f>
        <v xml:space="preserve"> </v>
      </c>
      <c r="D20" s="532"/>
      <c r="E20" s="543" cm="1">
        <f t="array" aca="1" ref="E20" ca="1">IF(AUTOEVENTO="Manual",ROUND(SUMPRODUCT((CÁLCULO!$M$15:$M$89=EVENTOS!$C20)*(OFFSET(CÁLCULO!$AA$15:$AA$89,0,E$13))),2),0)</f>
        <v>0</v>
      </c>
      <c r="F20" s="192">
        <f ca="1">IF(AUTOEVENTO="Manual",ROUND(SUMPRODUCT((CÁLCULO!$M$15:$M$89=EVENTOS!$C20)*(OFFSET(CÁLCULO!$AA$15,0,1):OFFSET(CÁLCULO!$AL$89,0,-1))),2),0)</f>
        <v>0</v>
      </c>
      <c r="G20" s="627" t="str">
        <f ca="1">IF(AND(D20=0,F20&gt;0),"NOME",
 IF(AND(D20&lt;&gt;0,$F$14&gt;0,F20=0),"VALOR",
 IF(AND(Import.TipoArredondamento="TransfereGOV",$A20="F",LEN(D20)&gt;100),"Nome &gt;100","")))</f>
        <v/>
      </c>
      <c r="H20" s="543" cm="1">
        <f t="array" aca="1" ref="H20" ca="1">IF(AUTOEVENTO="Manual",ROUND(SUMPRODUCT((CÁLCULO!$M$15:$M$89=EVENTOS!$C20)*(OFFSET(CÁLCULO!$AA$15:$AA$89,0,H$13))),2),0)</f>
        <v>0</v>
      </c>
      <c r="I20" s="543" cm="1">
        <f t="array" aca="1" ref="I20" ca="1">IF(AUTOEVENTO="Manual",ROUND(SUMPRODUCT((CÁLCULO!$M$15:$M$89=EVENTOS!$C20)*(OFFSET(CÁLCULO!$AA$15:$AA$89,0,I$13))),2),0)</f>
        <v>0</v>
      </c>
      <c r="J20" s="543" cm="1">
        <f t="array" aca="1" ref="J20" ca="1">IF(AUTOEVENTO="Manual",ROUND(SUMPRODUCT((CÁLCULO!$M$15:$M$89=EVENTOS!$C20)*(OFFSET(CÁLCULO!$AA$15:$AA$89,0,J$13))),2),0)</f>
        <v>0</v>
      </c>
      <c r="K20" s="543" cm="1">
        <f t="array" aca="1" ref="K20" ca="1">IF(AUTOEVENTO="Manual",ROUND(SUMPRODUCT((CÁLCULO!$M$15:$M$89=EVENTOS!$C20)*(OFFSET(CÁLCULO!$AA$15:$AA$89,0,K$13))),2),0)</f>
        <v>0</v>
      </c>
      <c r="L20" s="543" cm="1">
        <f t="array" aca="1" ref="L20" ca="1">IF(AUTOEVENTO="Manual",ROUND(SUMPRODUCT((CÁLCULO!$M$15:$M$89=EVENTOS!$C20)*(OFFSET(CÁLCULO!$AA$15:$AA$89,0,L$13))),2),0)</f>
        <v>0</v>
      </c>
      <c r="M20" s="543" cm="1">
        <f t="array" aca="1" ref="M20" ca="1">IF(AUTOEVENTO="Manual",ROUND(SUMPRODUCT((CÁLCULO!$M$15:$M$89=EVENTOS!$C20)*(OFFSET(CÁLCULO!$AA$15:$AA$89,0,M$13))),2),0)</f>
        <v>0</v>
      </c>
      <c r="N20" s="543" cm="1">
        <f t="array" aca="1" ref="N20" ca="1">IF(AUTOEVENTO="Manual",ROUND(SUMPRODUCT((CÁLCULO!$M$15:$M$89=EVENTOS!$C20)*(OFFSET(CÁLCULO!$AA$15:$AA$89,0,N$13))),2),0)</f>
        <v>0</v>
      </c>
      <c r="O20" s="543" cm="1">
        <f t="array" aca="1" ref="O20" ca="1">IF(AUTOEVENTO="Manual",ROUND(SUMPRODUCT((CÁLCULO!$M$15:$M$89=EVENTOS!$C20)*(OFFSET(CÁLCULO!$AA$15:$AA$89,0,O$13))),2),0)</f>
        <v>0</v>
      </c>
      <c r="P20" s="543" cm="1">
        <f t="array" aca="1" ref="P20" ca="1">IF(AUTOEVENTO="Manual",ROUND(SUMPRODUCT((CÁLCULO!$M$15:$M$89=EVENTOS!$C20)*(OFFSET(CÁLCULO!$AA$15:$AA$89,0,P$13))),2),0)</f>
        <v>0</v>
      </c>
      <c r="Q20" s="543" cm="1">
        <f t="array" aca="1" ref="Q20" ca="1">IF(AUTOEVENTO="Manual",ROUND(SUMPRODUCT((CÁLCULO!$M$15:$M$89=EVENTOS!$C20)*(OFFSET(CÁLCULO!$AA$15:$AA$89,0,Q$13))),2),0)</f>
        <v>0</v>
      </c>
      <c r="R20" s="543" cm="1">
        <f t="array" aca="1" ref="R20" ca="1">IF(AUTOEVENTO="Manual",ROUND(SUMPRODUCT((CÁLCULO!$M$15:$M$89=EVENTOS!$C20)*(OFFSET(CÁLCULO!$AA$15:$AA$89,0,R$13))),2),0)</f>
        <v>0</v>
      </c>
      <c r="S20" s="543" cm="1">
        <f t="array" aca="1" ref="S20" ca="1">IF(AUTOEVENTO="Manual",ROUND(SUMPRODUCT((CÁLCULO!$M$15:$M$89=EVENTOS!$C20)*(OFFSET(CÁLCULO!$AA$15:$AA$89,0,S$13))),2),0)</f>
        <v>0</v>
      </c>
      <c r="T20" s="543" cm="1">
        <f t="array" aca="1" ref="T20" ca="1">IF(AUTOEVENTO="Manual",ROUND(SUMPRODUCT((CÁLCULO!$M$15:$M$89=EVENTOS!$C20)*(OFFSET(CÁLCULO!$AA$15:$AA$89,0,T$13))),2),0)</f>
        <v>0</v>
      </c>
      <c r="U20" s="543" cm="1">
        <f t="array" aca="1" ref="U20" ca="1">IF(AUTOEVENTO="Manual",ROUND(SUMPRODUCT((CÁLCULO!$M$15:$M$89=EVENTOS!$C20)*(OFFSET(CÁLCULO!$AA$15:$AA$89,0,U$13))),2),0)</f>
        <v>0</v>
      </c>
      <c r="V20" s="543" cm="1">
        <f t="array" aca="1" ref="V20" ca="1">IF(AUTOEVENTO="Manual",ROUND(SUMPRODUCT((CÁLCULO!$M$15:$M$89=EVENTOS!$C20)*(OFFSET(CÁLCULO!$AA$15:$AA$89,0,V$13))),2),0)</f>
        <v>0</v>
      </c>
      <c r="W20" s="543" cm="1">
        <f t="array" aca="1" ref="W20" ca="1">IF(AUTOEVENTO="Manual",ROUND(SUMPRODUCT((CÁLCULO!$M$15:$M$89=EVENTOS!$C20)*(OFFSET(CÁLCULO!$AA$15:$AA$89,0,W$13))),2),0)</f>
        <v>0</v>
      </c>
      <c r="X20" s="543" cm="1">
        <f t="array" aca="1" ref="X20" ca="1">IF(AUTOEVENTO="Manual",ROUND(SUMPRODUCT((CÁLCULO!$M$15:$M$89=EVENTOS!$C20)*(OFFSET(CÁLCULO!$AA$15:$AA$89,0,X$13))),2),0)</f>
        <v>0</v>
      </c>
      <c r="Y20" s="543" cm="1">
        <f t="array" aca="1" ref="Y20" ca="1">IF(AUTOEVENTO="Manual",ROUND(SUMPRODUCT((CÁLCULO!$M$15:$M$89=EVENTOS!$C20)*(OFFSET(CÁLCULO!$AA$15:$AA$89,0,Y$13))),2),0)</f>
        <v>0</v>
      </c>
    </row>
    <row r="21" spans="1:25" x14ac:dyDescent="0.2">
      <c r="A21" s="546" t="str">
        <f t="shared" si="3"/>
        <v/>
      </c>
      <c r="B21" t="str">
        <f t="shared" ca="1" si="4"/>
        <v/>
      </c>
      <c r="C21" s="191" t="str" cm="1">
        <f t="array" aca="1" ref="C21" ca="1">IF(OR(ROW(C21)=ROW(EVENTOS.firstrow)+1,AND(OFFSET(C21,-1,0)&lt;&gt;" ",OFFSET(C21,-1,1)&lt;&gt;"")),OFFSET(C21,-1,0)+1," ")</f>
        <v xml:space="preserve"> </v>
      </c>
      <c r="D21" s="532"/>
      <c r="E21" s="543" cm="1">
        <f t="array" aca="1" ref="E21" ca="1">IF(AUTOEVENTO="Manual",ROUND(SUMPRODUCT((CÁLCULO!$M$15:$M$89=EVENTOS!$C21)*(OFFSET(CÁLCULO!$AA$15:$AA$89,0,E$13))),2),0)</f>
        <v>0</v>
      </c>
      <c r="F21" s="192">
        <f ca="1">IF(AUTOEVENTO="Manual",ROUND(SUMPRODUCT((CÁLCULO!$M$15:$M$89=EVENTOS!$C21)*(OFFSET(CÁLCULO!$AA$15,0,1):OFFSET(CÁLCULO!$AL$89,0,-1))),2),0)</f>
        <v>0</v>
      </c>
      <c r="G21" s="627" t="str">
        <f ca="1">IF(AND(D21=0,F21&gt;0),"NOME",
 IF(AND(D21&lt;&gt;0,$F$14&gt;0,F21=0),"VALOR",
 IF(AND(Import.TipoArredondamento="TransfereGOV",$A21="F",LEN(D21)&gt;100),"Nome &gt;100","")))</f>
        <v/>
      </c>
      <c r="H21" s="543" cm="1">
        <f t="array" aca="1" ref="H21" ca="1">IF(AUTOEVENTO="Manual",ROUND(SUMPRODUCT((CÁLCULO!$M$15:$M$89=EVENTOS!$C21)*(OFFSET(CÁLCULO!$AA$15:$AA$89,0,H$13))),2),0)</f>
        <v>0</v>
      </c>
      <c r="I21" s="543" cm="1">
        <f t="array" aca="1" ref="I21" ca="1">IF(AUTOEVENTO="Manual",ROUND(SUMPRODUCT((CÁLCULO!$M$15:$M$89=EVENTOS!$C21)*(OFFSET(CÁLCULO!$AA$15:$AA$89,0,I$13))),2),0)</f>
        <v>0</v>
      </c>
      <c r="J21" s="543" cm="1">
        <f t="array" aca="1" ref="J21" ca="1">IF(AUTOEVENTO="Manual",ROUND(SUMPRODUCT((CÁLCULO!$M$15:$M$89=EVENTOS!$C21)*(OFFSET(CÁLCULO!$AA$15:$AA$89,0,J$13))),2),0)</f>
        <v>0</v>
      </c>
      <c r="K21" s="543" cm="1">
        <f t="array" aca="1" ref="K21" ca="1">IF(AUTOEVENTO="Manual",ROUND(SUMPRODUCT((CÁLCULO!$M$15:$M$89=EVENTOS!$C21)*(OFFSET(CÁLCULO!$AA$15:$AA$89,0,K$13))),2),0)</f>
        <v>0</v>
      </c>
      <c r="L21" s="543" cm="1">
        <f t="array" aca="1" ref="L21" ca="1">IF(AUTOEVENTO="Manual",ROUND(SUMPRODUCT((CÁLCULO!$M$15:$M$89=EVENTOS!$C21)*(OFFSET(CÁLCULO!$AA$15:$AA$89,0,L$13))),2),0)</f>
        <v>0</v>
      </c>
      <c r="M21" s="543" cm="1">
        <f t="array" aca="1" ref="M21" ca="1">IF(AUTOEVENTO="Manual",ROUND(SUMPRODUCT((CÁLCULO!$M$15:$M$89=EVENTOS!$C21)*(OFFSET(CÁLCULO!$AA$15:$AA$89,0,M$13))),2),0)</f>
        <v>0</v>
      </c>
      <c r="N21" s="543" cm="1">
        <f t="array" aca="1" ref="N21" ca="1">IF(AUTOEVENTO="Manual",ROUND(SUMPRODUCT((CÁLCULO!$M$15:$M$89=EVENTOS!$C21)*(OFFSET(CÁLCULO!$AA$15:$AA$89,0,N$13))),2),0)</f>
        <v>0</v>
      </c>
      <c r="O21" s="543" cm="1">
        <f t="array" aca="1" ref="O21" ca="1">IF(AUTOEVENTO="Manual",ROUND(SUMPRODUCT((CÁLCULO!$M$15:$M$89=EVENTOS!$C21)*(OFFSET(CÁLCULO!$AA$15:$AA$89,0,O$13))),2),0)</f>
        <v>0</v>
      </c>
      <c r="P21" s="543" cm="1">
        <f t="array" aca="1" ref="P21" ca="1">IF(AUTOEVENTO="Manual",ROUND(SUMPRODUCT((CÁLCULO!$M$15:$M$89=EVENTOS!$C21)*(OFFSET(CÁLCULO!$AA$15:$AA$89,0,P$13))),2),0)</f>
        <v>0</v>
      </c>
      <c r="Q21" s="543" cm="1">
        <f t="array" aca="1" ref="Q21" ca="1">IF(AUTOEVENTO="Manual",ROUND(SUMPRODUCT((CÁLCULO!$M$15:$M$89=EVENTOS!$C21)*(OFFSET(CÁLCULO!$AA$15:$AA$89,0,Q$13))),2),0)</f>
        <v>0</v>
      </c>
      <c r="R21" s="543" cm="1">
        <f t="array" aca="1" ref="R21" ca="1">IF(AUTOEVENTO="Manual",ROUND(SUMPRODUCT((CÁLCULO!$M$15:$M$89=EVENTOS!$C21)*(OFFSET(CÁLCULO!$AA$15:$AA$89,0,R$13))),2),0)</f>
        <v>0</v>
      </c>
      <c r="S21" s="543" cm="1">
        <f t="array" aca="1" ref="S21" ca="1">IF(AUTOEVENTO="Manual",ROUND(SUMPRODUCT((CÁLCULO!$M$15:$M$89=EVENTOS!$C21)*(OFFSET(CÁLCULO!$AA$15:$AA$89,0,S$13))),2),0)</f>
        <v>0</v>
      </c>
      <c r="T21" s="543" cm="1">
        <f t="array" aca="1" ref="T21" ca="1">IF(AUTOEVENTO="Manual",ROUND(SUMPRODUCT((CÁLCULO!$M$15:$M$89=EVENTOS!$C21)*(OFFSET(CÁLCULO!$AA$15:$AA$89,0,T$13))),2),0)</f>
        <v>0</v>
      </c>
      <c r="U21" s="543" cm="1">
        <f t="array" aca="1" ref="U21" ca="1">IF(AUTOEVENTO="Manual",ROUND(SUMPRODUCT((CÁLCULO!$M$15:$M$89=EVENTOS!$C21)*(OFFSET(CÁLCULO!$AA$15:$AA$89,0,U$13))),2),0)</f>
        <v>0</v>
      </c>
      <c r="V21" s="543" cm="1">
        <f t="array" aca="1" ref="V21" ca="1">IF(AUTOEVENTO="Manual",ROUND(SUMPRODUCT((CÁLCULO!$M$15:$M$89=EVENTOS!$C21)*(OFFSET(CÁLCULO!$AA$15:$AA$89,0,V$13))),2),0)</f>
        <v>0</v>
      </c>
      <c r="W21" s="543" cm="1">
        <f t="array" aca="1" ref="W21" ca="1">IF(AUTOEVENTO="Manual",ROUND(SUMPRODUCT((CÁLCULO!$M$15:$M$89=EVENTOS!$C21)*(OFFSET(CÁLCULO!$AA$15:$AA$89,0,W$13))),2),0)</f>
        <v>0</v>
      </c>
      <c r="X21" s="543" cm="1">
        <f t="array" aca="1" ref="X21" ca="1">IF(AUTOEVENTO="Manual",ROUND(SUMPRODUCT((CÁLCULO!$M$15:$M$89=EVENTOS!$C21)*(OFFSET(CÁLCULO!$AA$15:$AA$89,0,X$13))),2),0)</f>
        <v>0</v>
      </c>
      <c r="Y21" s="543" cm="1">
        <f t="array" aca="1" ref="Y21" ca="1">IF(AUTOEVENTO="Manual",ROUND(SUMPRODUCT((CÁLCULO!$M$15:$M$89=EVENTOS!$C21)*(OFFSET(CÁLCULO!$AA$15:$AA$89,0,Y$13))),2),0)</f>
        <v>0</v>
      </c>
    </row>
    <row r="22" spans="1:25" x14ac:dyDescent="0.2">
      <c r="A22" s="546" t="str">
        <f t="shared" si="3"/>
        <v/>
      </c>
      <c r="B22" t="str">
        <f t="shared" ca="1" si="4"/>
        <v/>
      </c>
      <c r="C22" s="191" t="str" cm="1">
        <f t="array" aca="1" ref="C22" ca="1">IF(OR(ROW(C22)=ROW(EVENTOS.firstrow)+1,AND(OFFSET(C22,-1,0)&lt;&gt;" ",OFFSET(C22,-1,1)&lt;&gt;"")),OFFSET(C22,-1,0)+1," ")</f>
        <v xml:space="preserve"> </v>
      </c>
      <c r="D22" s="532"/>
      <c r="E22" s="543" cm="1">
        <f t="array" aca="1" ref="E22" ca="1">IF(AUTOEVENTO="Manual",ROUND(SUMPRODUCT((CÁLCULO!$M$15:$M$89=EVENTOS!$C22)*(OFFSET(CÁLCULO!$AA$15:$AA$89,0,E$13))),2),0)</f>
        <v>0</v>
      </c>
      <c r="F22" s="192">
        <f ca="1">IF(AUTOEVENTO="Manual",ROUND(SUMPRODUCT((CÁLCULO!$M$15:$M$89=EVENTOS!$C22)*(OFFSET(CÁLCULO!$AA$15,0,1):OFFSET(CÁLCULO!$AL$89,0,-1))),2),0)</f>
        <v>0</v>
      </c>
      <c r="G22" s="627" t="str">
        <f ca="1">IF(AND(D22=0,F22&gt;0),"NOME",
 IF(AND(D22&lt;&gt;0,$F$14&gt;0,F22=0),"VALOR",
 IF(AND(Import.TipoArredondamento="TransfereGOV",$A22="F",LEN(D22)&gt;100),"Nome &gt;100","")))</f>
        <v/>
      </c>
      <c r="H22" s="543" cm="1">
        <f t="array" aca="1" ref="H22" ca="1">IF(AUTOEVENTO="Manual",ROUND(SUMPRODUCT((CÁLCULO!$M$15:$M$89=EVENTOS!$C22)*(OFFSET(CÁLCULO!$AA$15:$AA$89,0,H$13))),2),0)</f>
        <v>0</v>
      </c>
      <c r="I22" s="543" cm="1">
        <f t="array" aca="1" ref="I22" ca="1">IF(AUTOEVENTO="Manual",ROUND(SUMPRODUCT((CÁLCULO!$M$15:$M$89=EVENTOS!$C22)*(OFFSET(CÁLCULO!$AA$15:$AA$89,0,I$13))),2),0)</f>
        <v>0</v>
      </c>
      <c r="J22" s="543" cm="1">
        <f t="array" aca="1" ref="J22" ca="1">IF(AUTOEVENTO="Manual",ROUND(SUMPRODUCT((CÁLCULO!$M$15:$M$89=EVENTOS!$C22)*(OFFSET(CÁLCULO!$AA$15:$AA$89,0,J$13))),2),0)</f>
        <v>0</v>
      </c>
      <c r="K22" s="543" cm="1">
        <f t="array" aca="1" ref="K22" ca="1">IF(AUTOEVENTO="Manual",ROUND(SUMPRODUCT((CÁLCULO!$M$15:$M$89=EVENTOS!$C22)*(OFFSET(CÁLCULO!$AA$15:$AA$89,0,K$13))),2),0)</f>
        <v>0</v>
      </c>
      <c r="L22" s="543" cm="1">
        <f t="array" aca="1" ref="L22" ca="1">IF(AUTOEVENTO="Manual",ROUND(SUMPRODUCT((CÁLCULO!$M$15:$M$89=EVENTOS!$C22)*(OFFSET(CÁLCULO!$AA$15:$AA$89,0,L$13))),2),0)</f>
        <v>0</v>
      </c>
      <c r="M22" s="543" cm="1">
        <f t="array" aca="1" ref="M22" ca="1">IF(AUTOEVENTO="Manual",ROUND(SUMPRODUCT((CÁLCULO!$M$15:$M$89=EVENTOS!$C22)*(OFFSET(CÁLCULO!$AA$15:$AA$89,0,M$13))),2),0)</f>
        <v>0</v>
      </c>
      <c r="N22" s="543" cm="1">
        <f t="array" aca="1" ref="N22" ca="1">IF(AUTOEVENTO="Manual",ROUND(SUMPRODUCT((CÁLCULO!$M$15:$M$89=EVENTOS!$C22)*(OFFSET(CÁLCULO!$AA$15:$AA$89,0,N$13))),2),0)</f>
        <v>0</v>
      </c>
      <c r="O22" s="543" cm="1">
        <f t="array" aca="1" ref="O22" ca="1">IF(AUTOEVENTO="Manual",ROUND(SUMPRODUCT((CÁLCULO!$M$15:$M$89=EVENTOS!$C22)*(OFFSET(CÁLCULO!$AA$15:$AA$89,0,O$13))),2),0)</f>
        <v>0</v>
      </c>
      <c r="P22" s="543" cm="1">
        <f t="array" aca="1" ref="P22" ca="1">IF(AUTOEVENTO="Manual",ROUND(SUMPRODUCT((CÁLCULO!$M$15:$M$89=EVENTOS!$C22)*(OFFSET(CÁLCULO!$AA$15:$AA$89,0,P$13))),2),0)</f>
        <v>0</v>
      </c>
      <c r="Q22" s="543" cm="1">
        <f t="array" aca="1" ref="Q22" ca="1">IF(AUTOEVENTO="Manual",ROUND(SUMPRODUCT((CÁLCULO!$M$15:$M$89=EVENTOS!$C22)*(OFFSET(CÁLCULO!$AA$15:$AA$89,0,Q$13))),2),0)</f>
        <v>0</v>
      </c>
      <c r="R22" s="543" cm="1">
        <f t="array" aca="1" ref="R22" ca="1">IF(AUTOEVENTO="Manual",ROUND(SUMPRODUCT((CÁLCULO!$M$15:$M$89=EVENTOS!$C22)*(OFFSET(CÁLCULO!$AA$15:$AA$89,0,R$13))),2),0)</f>
        <v>0</v>
      </c>
      <c r="S22" s="543" cm="1">
        <f t="array" aca="1" ref="S22" ca="1">IF(AUTOEVENTO="Manual",ROUND(SUMPRODUCT((CÁLCULO!$M$15:$M$89=EVENTOS!$C22)*(OFFSET(CÁLCULO!$AA$15:$AA$89,0,S$13))),2),0)</f>
        <v>0</v>
      </c>
      <c r="T22" s="543" cm="1">
        <f t="array" aca="1" ref="T22" ca="1">IF(AUTOEVENTO="Manual",ROUND(SUMPRODUCT((CÁLCULO!$M$15:$M$89=EVENTOS!$C22)*(OFFSET(CÁLCULO!$AA$15:$AA$89,0,T$13))),2),0)</f>
        <v>0</v>
      </c>
      <c r="U22" s="543" cm="1">
        <f t="array" aca="1" ref="U22" ca="1">IF(AUTOEVENTO="Manual",ROUND(SUMPRODUCT((CÁLCULO!$M$15:$M$89=EVENTOS!$C22)*(OFFSET(CÁLCULO!$AA$15:$AA$89,0,U$13))),2),0)</f>
        <v>0</v>
      </c>
      <c r="V22" s="543" cm="1">
        <f t="array" aca="1" ref="V22" ca="1">IF(AUTOEVENTO="Manual",ROUND(SUMPRODUCT((CÁLCULO!$M$15:$M$89=EVENTOS!$C22)*(OFFSET(CÁLCULO!$AA$15:$AA$89,0,V$13))),2),0)</f>
        <v>0</v>
      </c>
      <c r="W22" s="543" cm="1">
        <f t="array" aca="1" ref="W22" ca="1">IF(AUTOEVENTO="Manual",ROUND(SUMPRODUCT((CÁLCULO!$M$15:$M$89=EVENTOS!$C22)*(OFFSET(CÁLCULO!$AA$15:$AA$89,0,W$13))),2),0)</f>
        <v>0</v>
      </c>
      <c r="X22" s="543" cm="1">
        <f t="array" aca="1" ref="X22" ca="1">IF(AUTOEVENTO="Manual",ROUND(SUMPRODUCT((CÁLCULO!$M$15:$M$89=EVENTOS!$C22)*(OFFSET(CÁLCULO!$AA$15:$AA$89,0,X$13))),2),0)</f>
        <v>0</v>
      </c>
      <c r="Y22" s="543" cm="1">
        <f t="array" aca="1" ref="Y22" ca="1">IF(AUTOEVENTO="Manual",ROUND(SUMPRODUCT((CÁLCULO!$M$15:$M$89=EVENTOS!$C22)*(OFFSET(CÁLCULO!$AA$15:$AA$89,0,Y$13))),2),0)</f>
        <v>0</v>
      </c>
    </row>
    <row r="23" spans="1:25" x14ac:dyDescent="0.2">
      <c r="A23" s="546" t="str">
        <f t="shared" si="3"/>
        <v/>
      </c>
      <c r="B23" t="str">
        <f t="shared" ca="1" si="4"/>
        <v/>
      </c>
      <c r="C23" s="191" t="str" cm="1">
        <f t="array" aca="1" ref="C23" ca="1">IF(OR(ROW(C23)=ROW(EVENTOS.firstrow)+1,AND(OFFSET(C23,-1,0)&lt;&gt;" ",OFFSET(C23,-1,1)&lt;&gt;"")),OFFSET(C23,-1,0)+1," ")</f>
        <v xml:space="preserve"> </v>
      </c>
      <c r="D23" s="532"/>
      <c r="E23" s="543" cm="1">
        <f t="array" aca="1" ref="E23" ca="1">IF(AUTOEVENTO="Manual",ROUND(SUMPRODUCT((CÁLCULO!$M$15:$M$89=EVENTOS!$C23)*(OFFSET(CÁLCULO!$AA$15:$AA$89,0,E$13))),2),0)</f>
        <v>0</v>
      </c>
      <c r="F23" s="192">
        <f ca="1">IF(AUTOEVENTO="Manual",ROUND(SUMPRODUCT((CÁLCULO!$M$15:$M$89=EVENTOS!$C23)*(OFFSET(CÁLCULO!$AA$15,0,1):OFFSET(CÁLCULO!$AL$89,0,-1))),2),0)</f>
        <v>0</v>
      </c>
      <c r="G23" s="627" t="str">
        <f ca="1">IF(AND(D23=0,F23&gt;0),"NOME",
 IF(AND(D23&lt;&gt;0,$F$14&gt;0,F23=0),"VALOR",
 IF(AND(Import.TipoArredondamento="TransfereGOV",$A23="F",LEN(D23)&gt;100),"Nome &gt;100","")))</f>
        <v/>
      </c>
      <c r="H23" s="543" cm="1">
        <f t="array" aca="1" ref="H23" ca="1">IF(AUTOEVENTO="Manual",ROUND(SUMPRODUCT((CÁLCULO!$M$15:$M$89=EVENTOS!$C23)*(OFFSET(CÁLCULO!$AA$15:$AA$89,0,H$13))),2),0)</f>
        <v>0</v>
      </c>
      <c r="I23" s="543" cm="1">
        <f t="array" aca="1" ref="I23" ca="1">IF(AUTOEVENTO="Manual",ROUND(SUMPRODUCT((CÁLCULO!$M$15:$M$89=EVENTOS!$C23)*(OFFSET(CÁLCULO!$AA$15:$AA$89,0,I$13))),2),0)</f>
        <v>0</v>
      </c>
      <c r="J23" s="543" cm="1">
        <f t="array" aca="1" ref="J23" ca="1">IF(AUTOEVENTO="Manual",ROUND(SUMPRODUCT((CÁLCULO!$M$15:$M$89=EVENTOS!$C23)*(OFFSET(CÁLCULO!$AA$15:$AA$89,0,J$13))),2),0)</f>
        <v>0</v>
      </c>
      <c r="K23" s="543" cm="1">
        <f t="array" aca="1" ref="K23" ca="1">IF(AUTOEVENTO="Manual",ROUND(SUMPRODUCT((CÁLCULO!$M$15:$M$89=EVENTOS!$C23)*(OFFSET(CÁLCULO!$AA$15:$AA$89,0,K$13))),2),0)</f>
        <v>0</v>
      </c>
      <c r="L23" s="543" cm="1">
        <f t="array" aca="1" ref="L23" ca="1">IF(AUTOEVENTO="Manual",ROUND(SUMPRODUCT((CÁLCULO!$M$15:$M$89=EVENTOS!$C23)*(OFFSET(CÁLCULO!$AA$15:$AA$89,0,L$13))),2),0)</f>
        <v>0</v>
      </c>
      <c r="M23" s="543" cm="1">
        <f t="array" aca="1" ref="M23" ca="1">IF(AUTOEVENTO="Manual",ROUND(SUMPRODUCT((CÁLCULO!$M$15:$M$89=EVENTOS!$C23)*(OFFSET(CÁLCULO!$AA$15:$AA$89,0,M$13))),2),0)</f>
        <v>0</v>
      </c>
      <c r="N23" s="543" cm="1">
        <f t="array" aca="1" ref="N23" ca="1">IF(AUTOEVENTO="Manual",ROUND(SUMPRODUCT((CÁLCULO!$M$15:$M$89=EVENTOS!$C23)*(OFFSET(CÁLCULO!$AA$15:$AA$89,0,N$13))),2),0)</f>
        <v>0</v>
      </c>
      <c r="O23" s="543" cm="1">
        <f t="array" aca="1" ref="O23" ca="1">IF(AUTOEVENTO="Manual",ROUND(SUMPRODUCT((CÁLCULO!$M$15:$M$89=EVENTOS!$C23)*(OFFSET(CÁLCULO!$AA$15:$AA$89,0,O$13))),2),0)</f>
        <v>0</v>
      </c>
      <c r="P23" s="543" cm="1">
        <f t="array" aca="1" ref="P23" ca="1">IF(AUTOEVENTO="Manual",ROUND(SUMPRODUCT((CÁLCULO!$M$15:$M$89=EVENTOS!$C23)*(OFFSET(CÁLCULO!$AA$15:$AA$89,0,P$13))),2),0)</f>
        <v>0</v>
      </c>
      <c r="Q23" s="543" cm="1">
        <f t="array" aca="1" ref="Q23" ca="1">IF(AUTOEVENTO="Manual",ROUND(SUMPRODUCT((CÁLCULO!$M$15:$M$89=EVENTOS!$C23)*(OFFSET(CÁLCULO!$AA$15:$AA$89,0,Q$13))),2),0)</f>
        <v>0</v>
      </c>
      <c r="R23" s="543" cm="1">
        <f t="array" aca="1" ref="R23" ca="1">IF(AUTOEVENTO="Manual",ROUND(SUMPRODUCT((CÁLCULO!$M$15:$M$89=EVENTOS!$C23)*(OFFSET(CÁLCULO!$AA$15:$AA$89,0,R$13))),2),0)</f>
        <v>0</v>
      </c>
      <c r="S23" s="543" cm="1">
        <f t="array" aca="1" ref="S23" ca="1">IF(AUTOEVENTO="Manual",ROUND(SUMPRODUCT((CÁLCULO!$M$15:$M$89=EVENTOS!$C23)*(OFFSET(CÁLCULO!$AA$15:$AA$89,0,S$13))),2),0)</f>
        <v>0</v>
      </c>
      <c r="T23" s="543" cm="1">
        <f t="array" aca="1" ref="T23" ca="1">IF(AUTOEVENTO="Manual",ROUND(SUMPRODUCT((CÁLCULO!$M$15:$M$89=EVENTOS!$C23)*(OFFSET(CÁLCULO!$AA$15:$AA$89,0,T$13))),2),0)</f>
        <v>0</v>
      </c>
      <c r="U23" s="543" cm="1">
        <f t="array" aca="1" ref="U23" ca="1">IF(AUTOEVENTO="Manual",ROUND(SUMPRODUCT((CÁLCULO!$M$15:$M$89=EVENTOS!$C23)*(OFFSET(CÁLCULO!$AA$15:$AA$89,0,U$13))),2),0)</f>
        <v>0</v>
      </c>
      <c r="V23" s="543" cm="1">
        <f t="array" aca="1" ref="V23" ca="1">IF(AUTOEVENTO="Manual",ROUND(SUMPRODUCT((CÁLCULO!$M$15:$M$89=EVENTOS!$C23)*(OFFSET(CÁLCULO!$AA$15:$AA$89,0,V$13))),2),0)</f>
        <v>0</v>
      </c>
      <c r="W23" s="543" cm="1">
        <f t="array" aca="1" ref="W23" ca="1">IF(AUTOEVENTO="Manual",ROUND(SUMPRODUCT((CÁLCULO!$M$15:$M$89=EVENTOS!$C23)*(OFFSET(CÁLCULO!$AA$15:$AA$89,0,W$13))),2),0)</f>
        <v>0</v>
      </c>
      <c r="X23" s="543" cm="1">
        <f t="array" aca="1" ref="X23" ca="1">IF(AUTOEVENTO="Manual",ROUND(SUMPRODUCT((CÁLCULO!$M$15:$M$89=EVENTOS!$C23)*(OFFSET(CÁLCULO!$AA$15:$AA$89,0,X$13))),2),0)</f>
        <v>0</v>
      </c>
      <c r="Y23" s="543" cm="1">
        <f t="array" aca="1" ref="Y23" ca="1">IF(AUTOEVENTO="Manual",ROUND(SUMPRODUCT((CÁLCULO!$M$15:$M$89=EVENTOS!$C23)*(OFFSET(CÁLCULO!$AA$15:$AA$89,0,Y$13))),2),0)</f>
        <v>0</v>
      </c>
    </row>
    <row r="24" spans="1:25" x14ac:dyDescent="0.2">
      <c r="A24" s="546" t="str">
        <f t="shared" si="3"/>
        <v/>
      </c>
      <c r="B24" t="str">
        <f t="shared" ca="1" si="4"/>
        <v/>
      </c>
      <c r="C24" s="191" t="str" cm="1">
        <f t="array" aca="1" ref="C24" ca="1">IF(OR(ROW(C24)=ROW(EVENTOS.firstrow)+1,AND(OFFSET(C24,-1,0)&lt;&gt;" ",OFFSET(C24,-1,1)&lt;&gt;"")),OFFSET(C24,-1,0)+1," ")</f>
        <v xml:space="preserve"> </v>
      </c>
      <c r="D24" s="532"/>
      <c r="E24" s="543" cm="1">
        <f t="array" aca="1" ref="E24" ca="1">IF(AUTOEVENTO="Manual",ROUND(SUMPRODUCT((CÁLCULO!$M$15:$M$89=EVENTOS!$C24)*(OFFSET(CÁLCULO!$AA$15:$AA$89,0,E$13))),2),0)</f>
        <v>0</v>
      </c>
      <c r="F24" s="192">
        <f ca="1">IF(AUTOEVENTO="Manual",ROUND(SUMPRODUCT((CÁLCULO!$M$15:$M$89=EVENTOS!$C24)*(OFFSET(CÁLCULO!$AA$15,0,1):OFFSET(CÁLCULO!$AL$89,0,-1))),2),0)</f>
        <v>0</v>
      </c>
      <c r="G24" s="627" t="str">
        <f ca="1">IF(AND(D24=0,F24&gt;0),"NOME",
 IF(AND(D24&lt;&gt;0,$F$14&gt;0,F24=0),"VALOR",
 IF(AND(Import.TipoArredondamento="TransfereGOV",$A24="F",LEN(D24)&gt;100),"Nome &gt;100","")))</f>
        <v/>
      </c>
      <c r="H24" s="543" cm="1">
        <f t="array" aca="1" ref="H24" ca="1">IF(AUTOEVENTO="Manual",ROUND(SUMPRODUCT((CÁLCULO!$M$15:$M$89=EVENTOS!$C24)*(OFFSET(CÁLCULO!$AA$15:$AA$89,0,H$13))),2),0)</f>
        <v>0</v>
      </c>
      <c r="I24" s="543" cm="1">
        <f t="array" aca="1" ref="I24" ca="1">IF(AUTOEVENTO="Manual",ROUND(SUMPRODUCT((CÁLCULO!$M$15:$M$89=EVENTOS!$C24)*(OFFSET(CÁLCULO!$AA$15:$AA$89,0,I$13))),2),0)</f>
        <v>0</v>
      </c>
      <c r="J24" s="543" cm="1">
        <f t="array" aca="1" ref="J24" ca="1">IF(AUTOEVENTO="Manual",ROUND(SUMPRODUCT((CÁLCULO!$M$15:$M$89=EVENTOS!$C24)*(OFFSET(CÁLCULO!$AA$15:$AA$89,0,J$13))),2),0)</f>
        <v>0</v>
      </c>
      <c r="K24" s="543" cm="1">
        <f t="array" aca="1" ref="K24" ca="1">IF(AUTOEVENTO="Manual",ROUND(SUMPRODUCT((CÁLCULO!$M$15:$M$89=EVENTOS!$C24)*(OFFSET(CÁLCULO!$AA$15:$AA$89,0,K$13))),2),0)</f>
        <v>0</v>
      </c>
      <c r="L24" s="543" cm="1">
        <f t="array" aca="1" ref="L24" ca="1">IF(AUTOEVENTO="Manual",ROUND(SUMPRODUCT((CÁLCULO!$M$15:$M$89=EVENTOS!$C24)*(OFFSET(CÁLCULO!$AA$15:$AA$89,0,L$13))),2),0)</f>
        <v>0</v>
      </c>
      <c r="M24" s="543" cm="1">
        <f t="array" aca="1" ref="M24" ca="1">IF(AUTOEVENTO="Manual",ROUND(SUMPRODUCT((CÁLCULO!$M$15:$M$89=EVENTOS!$C24)*(OFFSET(CÁLCULO!$AA$15:$AA$89,0,M$13))),2),0)</f>
        <v>0</v>
      </c>
      <c r="N24" s="543" cm="1">
        <f t="array" aca="1" ref="N24" ca="1">IF(AUTOEVENTO="Manual",ROUND(SUMPRODUCT((CÁLCULO!$M$15:$M$89=EVENTOS!$C24)*(OFFSET(CÁLCULO!$AA$15:$AA$89,0,N$13))),2),0)</f>
        <v>0</v>
      </c>
      <c r="O24" s="543" cm="1">
        <f t="array" aca="1" ref="O24" ca="1">IF(AUTOEVENTO="Manual",ROUND(SUMPRODUCT((CÁLCULO!$M$15:$M$89=EVENTOS!$C24)*(OFFSET(CÁLCULO!$AA$15:$AA$89,0,O$13))),2),0)</f>
        <v>0</v>
      </c>
      <c r="P24" s="543" cm="1">
        <f t="array" aca="1" ref="P24" ca="1">IF(AUTOEVENTO="Manual",ROUND(SUMPRODUCT((CÁLCULO!$M$15:$M$89=EVENTOS!$C24)*(OFFSET(CÁLCULO!$AA$15:$AA$89,0,P$13))),2),0)</f>
        <v>0</v>
      </c>
      <c r="Q24" s="543" cm="1">
        <f t="array" aca="1" ref="Q24" ca="1">IF(AUTOEVENTO="Manual",ROUND(SUMPRODUCT((CÁLCULO!$M$15:$M$89=EVENTOS!$C24)*(OFFSET(CÁLCULO!$AA$15:$AA$89,0,Q$13))),2),0)</f>
        <v>0</v>
      </c>
      <c r="R24" s="543" cm="1">
        <f t="array" aca="1" ref="R24" ca="1">IF(AUTOEVENTO="Manual",ROUND(SUMPRODUCT((CÁLCULO!$M$15:$M$89=EVENTOS!$C24)*(OFFSET(CÁLCULO!$AA$15:$AA$89,0,R$13))),2),0)</f>
        <v>0</v>
      </c>
      <c r="S24" s="543" cm="1">
        <f t="array" aca="1" ref="S24" ca="1">IF(AUTOEVENTO="Manual",ROUND(SUMPRODUCT((CÁLCULO!$M$15:$M$89=EVENTOS!$C24)*(OFFSET(CÁLCULO!$AA$15:$AA$89,0,S$13))),2),0)</f>
        <v>0</v>
      </c>
      <c r="T24" s="543" cm="1">
        <f t="array" aca="1" ref="T24" ca="1">IF(AUTOEVENTO="Manual",ROUND(SUMPRODUCT((CÁLCULO!$M$15:$M$89=EVENTOS!$C24)*(OFFSET(CÁLCULO!$AA$15:$AA$89,0,T$13))),2),0)</f>
        <v>0</v>
      </c>
      <c r="U24" s="543" cm="1">
        <f t="array" aca="1" ref="U24" ca="1">IF(AUTOEVENTO="Manual",ROUND(SUMPRODUCT((CÁLCULO!$M$15:$M$89=EVENTOS!$C24)*(OFFSET(CÁLCULO!$AA$15:$AA$89,0,U$13))),2),0)</f>
        <v>0</v>
      </c>
      <c r="V24" s="543" cm="1">
        <f t="array" aca="1" ref="V24" ca="1">IF(AUTOEVENTO="Manual",ROUND(SUMPRODUCT((CÁLCULO!$M$15:$M$89=EVENTOS!$C24)*(OFFSET(CÁLCULO!$AA$15:$AA$89,0,V$13))),2),0)</f>
        <v>0</v>
      </c>
      <c r="W24" s="543" cm="1">
        <f t="array" aca="1" ref="W24" ca="1">IF(AUTOEVENTO="Manual",ROUND(SUMPRODUCT((CÁLCULO!$M$15:$M$89=EVENTOS!$C24)*(OFFSET(CÁLCULO!$AA$15:$AA$89,0,W$13))),2),0)</f>
        <v>0</v>
      </c>
      <c r="X24" s="543" cm="1">
        <f t="array" aca="1" ref="X24" ca="1">IF(AUTOEVENTO="Manual",ROUND(SUMPRODUCT((CÁLCULO!$M$15:$M$89=EVENTOS!$C24)*(OFFSET(CÁLCULO!$AA$15:$AA$89,0,X$13))),2),0)</f>
        <v>0</v>
      </c>
      <c r="Y24" s="543" cm="1">
        <f t="array" aca="1" ref="Y24" ca="1">IF(AUTOEVENTO="Manual",ROUND(SUMPRODUCT((CÁLCULO!$M$15:$M$89=EVENTOS!$C24)*(OFFSET(CÁLCULO!$AA$15:$AA$89,0,Y$13))),2),0)</f>
        <v>0</v>
      </c>
    </row>
    <row r="25" spans="1:25" x14ac:dyDescent="0.2">
      <c r="A25" s="546" t="str">
        <f t="shared" si="3"/>
        <v/>
      </c>
      <c r="B25" t="str">
        <f t="shared" ca="1" si="4"/>
        <v/>
      </c>
      <c r="C25" s="191" t="str" cm="1">
        <f t="array" aca="1" ref="C25" ca="1">IF(OR(ROW(C25)=ROW(EVENTOS.firstrow)+1,AND(OFFSET(C25,-1,0)&lt;&gt;" ",OFFSET(C25,-1,1)&lt;&gt;"")),OFFSET(C25,-1,0)+1," ")</f>
        <v xml:space="preserve"> </v>
      </c>
      <c r="D25" s="532"/>
      <c r="E25" s="543" cm="1">
        <f t="array" aca="1" ref="E25" ca="1">IF(AUTOEVENTO="Manual",ROUND(SUMPRODUCT((CÁLCULO!$M$15:$M$89=EVENTOS!$C25)*(OFFSET(CÁLCULO!$AA$15:$AA$89,0,E$13))),2),0)</f>
        <v>0</v>
      </c>
      <c r="F25" s="192">
        <f ca="1">IF(AUTOEVENTO="Manual",ROUND(SUMPRODUCT((CÁLCULO!$M$15:$M$89=EVENTOS!$C25)*(OFFSET(CÁLCULO!$AA$15,0,1):OFFSET(CÁLCULO!$AL$89,0,-1))),2),0)</f>
        <v>0</v>
      </c>
      <c r="G25" s="627" t="str">
        <f ca="1">IF(AND(D25=0,F25&gt;0),"NOME",
 IF(AND(D25&lt;&gt;0,$F$14&gt;0,F25=0),"VALOR",
 IF(AND(Import.TipoArredondamento="TransfereGOV",$A25="F",LEN(D25)&gt;100),"Nome &gt;100","")))</f>
        <v/>
      </c>
      <c r="H25" s="543" cm="1">
        <f t="array" aca="1" ref="H25" ca="1">IF(AUTOEVENTO="Manual",ROUND(SUMPRODUCT((CÁLCULO!$M$15:$M$89=EVENTOS!$C25)*(OFFSET(CÁLCULO!$AA$15:$AA$89,0,H$13))),2),0)</f>
        <v>0</v>
      </c>
      <c r="I25" s="543" cm="1">
        <f t="array" aca="1" ref="I25" ca="1">IF(AUTOEVENTO="Manual",ROUND(SUMPRODUCT((CÁLCULO!$M$15:$M$89=EVENTOS!$C25)*(OFFSET(CÁLCULO!$AA$15:$AA$89,0,I$13))),2),0)</f>
        <v>0</v>
      </c>
      <c r="J25" s="543" cm="1">
        <f t="array" aca="1" ref="J25" ca="1">IF(AUTOEVENTO="Manual",ROUND(SUMPRODUCT((CÁLCULO!$M$15:$M$89=EVENTOS!$C25)*(OFFSET(CÁLCULO!$AA$15:$AA$89,0,J$13))),2),0)</f>
        <v>0</v>
      </c>
      <c r="K25" s="543" cm="1">
        <f t="array" aca="1" ref="K25" ca="1">IF(AUTOEVENTO="Manual",ROUND(SUMPRODUCT((CÁLCULO!$M$15:$M$89=EVENTOS!$C25)*(OFFSET(CÁLCULO!$AA$15:$AA$89,0,K$13))),2),0)</f>
        <v>0</v>
      </c>
      <c r="L25" s="543" cm="1">
        <f t="array" aca="1" ref="L25" ca="1">IF(AUTOEVENTO="Manual",ROUND(SUMPRODUCT((CÁLCULO!$M$15:$M$89=EVENTOS!$C25)*(OFFSET(CÁLCULO!$AA$15:$AA$89,0,L$13))),2),0)</f>
        <v>0</v>
      </c>
      <c r="M25" s="543" cm="1">
        <f t="array" aca="1" ref="M25" ca="1">IF(AUTOEVENTO="Manual",ROUND(SUMPRODUCT((CÁLCULO!$M$15:$M$89=EVENTOS!$C25)*(OFFSET(CÁLCULO!$AA$15:$AA$89,0,M$13))),2),0)</f>
        <v>0</v>
      </c>
      <c r="N25" s="543" cm="1">
        <f t="array" aca="1" ref="N25" ca="1">IF(AUTOEVENTO="Manual",ROUND(SUMPRODUCT((CÁLCULO!$M$15:$M$89=EVENTOS!$C25)*(OFFSET(CÁLCULO!$AA$15:$AA$89,0,N$13))),2),0)</f>
        <v>0</v>
      </c>
      <c r="O25" s="543" cm="1">
        <f t="array" aca="1" ref="O25" ca="1">IF(AUTOEVENTO="Manual",ROUND(SUMPRODUCT((CÁLCULO!$M$15:$M$89=EVENTOS!$C25)*(OFFSET(CÁLCULO!$AA$15:$AA$89,0,O$13))),2),0)</f>
        <v>0</v>
      </c>
      <c r="P25" s="543" cm="1">
        <f t="array" aca="1" ref="P25" ca="1">IF(AUTOEVENTO="Manual",ROUND(SUMPRODUCT((CÁLCULO!$M$15:$M$89=EVENTOS!$C25)*(OFFSET(CÁLCULO!$AA$15:$AA$89,0,P$13))),2),0)</f>
        <v>0</v>
      </c>
      <c r="Q25" s="543" cm="1">
        <f t="array" aca="1" ref="Q25" ca="1">IF(AUTOEVENTO="Manual",ROUND(SUMPRODUCT((CÁLCULO!$M$15:$M$89=EVENTOS!$C25)*(OFFSET(CÁLCULO!$AA$15:$AA$89,0,Q$13))),2),0)</f>
        <v>0</v>
      </c>
      <c r="R25" s="543" cm="1">
        <f t="array" aca="1" ref="R25" ca="1">IF(AUTOEVENTO="Manual",ROUND(SUMPRODUCT((CÁLCULO!$M$15:$M$89=EVENTOS!$C25)*(OFFSET(CÁLCULO!$AA$15:$AA$89,0,R$13))),2),0)</f>
        <v>0</v>
      </c>
      <c r="S25" s="543" cm="1">
        <f t="array" aca="1" ref="S25" ca="1">IF(AUTOEVENTO="Manual",ROUND(SUMPRODUCT((CÁLCULO!$M$15:$M$89=EVENTOS!$C25)*(OFFSET(CÁLCULO!$AA$15:$AA$89,0,S$13))),2),0)</f>
        <v>0</v>
      </c>
      <c r="T25" s="543" cm="1">
        <f t="array" aca="1" ref="T25" ca="1">IF(AUTOEVENTO="Manual",ROUND(SUMPRODUCT((CÁLCULO!$M$15:$M$89=EVENTOS!$C25)*(OFFSET(CÁLCULO!$AA$15:$AA$89,0,T$13))),2),0)</f>
        <v>0</v>
      </c>
      <c r="U25" s="543" cm="1">
        <f t="array" aca="1" ref="U25" ca="1">IF(AUTOEVENTO="Manual",ROUND(SUMPRODUCT((CÁLCULO!$M$15:$M$89=EVENTOS!$C25)*(OFFSET(CÁLCULO!$AA$15:$AA$89,0,U$13))),2),0)</f>
        <v>0</v>
      </c>
      <c r="V25" s="543" cm="1">
        <f t="array" aca="1" ref="V25" ca="1">IF(AUTOEVENTO="Manual",ROUND(SUMPRODUCT((CÁLCULO!$M$15:$M$89=EVENTOS!$C25)*(OFFSET(CÁLCULO!$AA$15:$AA$89,0,V$13))),2),0)</f>
        <v>0</v>
      </c>
      <c r="W25" s="543" cm="1">
        <f t="array" aca="1" ref="W25" ca="1">IF(AUTOEVENTO="Manual",ROUND(SUMPRODUCT((CÁLCULO!$M$15:$M$89=EVENTOS!$C25)*(OFFSET(CÁLCULO!$AA$15:$AA$89,0,W$13))),2),0)</f>
        <v>0</v>
      </c>
      <c r="X25" s="543" cm="1">
        <f t="array" aca="1" ref="X25" ca="1">IF(AUTOEVENTO="Manual",ROUND(SUMPRODUCT((CÁLCULO!$M$15:$M$89=EVENTOS!$C25)*(OFFSET(CÁLCULO!$AA$15:$AA$89,0,X$13))),2),0)</f>
        <v>0</v>
      </c>
      <c r="Y25" s="543" cm="1">
        <f t="array" aca="1" ref="Y25" ca="1">IF(AUTOEVENTO="Manual",ROUND(SUMPRODUCT((CÁLCULO!$M$15:$M$89=EVENTOS!$C25)*(OFFSET(CÁLCULO!$AA$15:$AA$89,0,Y$13))),2),0)</f>
        <v>0</v>
      </c>
    </row>
    <row r="26" spans="1:25" x14ac:dyDescent="0.2">
      <c r="A26" s="546" t="str">
        <f t="shared" si="3"/>
        <v/>
      </c>
      <c r="B26" t="str">
        <f t="shared" ca="1" si="4"/>
        <v/>
      </c>
      <c r="C26" s="191" t="str" cm="1">
        <f t="array" aca="1" ref="C26" ca="1">IF(OR(ROW(C26)=ROW(EVENTOS.firstrow)+1,AND(OFFSET(C26,-1,0)&lt;&gt;" ",OFFSET(C26,-1,1)&lt;&gt;"")),OFFSET(C26,-1,0)+1," ")</f>
        <v xml:space="preserve"> </v>
      </c>
      <c r="D26" s="532"/>
      <c r="E26" s="543" cm="1">
        <f t="array" aca="1" ref="E26" ca="1">IF(AUTOEVENTO="Manual",ROUND(SUMPRODUCT((CÁLCULO!$M$15:$M$89=EVENTOS!$C26)*(OFFSET(CÁLCULO!$AA$15:$AA$89,0,E$13))),2),0)</f>
        <v>0</v>
      </c>
      <c r="F26" s="192">
        <f ca="1">IF(AUTOEVENTO="Manual",ROUND(SUMPRODUCT((CÁLCULO!$M$15:$M$89=EVENTOS!$C26)*(OFFSET(CÁLCULO!$AA$15,0,1):OFFSET(CÁLCULO!$AL$89,0,-1))),2),0)</f>
        <v>0</v>
      </c>
      <c r="G26" s="627" t="str">
        <f ca="1">IF(AND(D26=0,F26&gt;0),"NOME",
 IF(AND(D26&lt;&gt;0,$F$14&gt;0,F26=0),"VALOR",
 IF(AND(Import.TipoArredondamento="TransfereGOV",$A26="F",LEN(D26)&gt;100),"Nome &gt;100","")))</f>
        <v/>
      </c>
      <c r="H26" s="543" cm="1">
        <f t="array" aca="1" ref="H26" ca="1">IF(AUTOEVENTO="Manual",ROUND(SUMPRODUCT((CÁLCULO!$M$15:$M$89=EVENTOS!$C26)*(OFFSET(CÁLCULO!$AA$15:$AA$89,0,H$13))),2),0)</f>
        <v>0</v>
      </c>
      <c r="I26" s="543" cm="1">
        <f t="array" aca="1" ref="I26" ca="1">IF(AUTOEVENTO="Manual",ROUND(SUMPRODUCT((CÁLCULO!$M$15:$M$89=EVENTOS!$C26)*(OFFSET(CÁLCULO!$AA$15:$AA$89,0,I$13))),2),0)</f>
        <v>0</v>
      </c>
      <c r="J26" s="543" cm="1">
        <f t="array" aca="1" ref="J26" ca="1">IF(AUTOEVENTO="Manual",ROUND(SUMPRODUCT((CÁLCULO!$M$15:$M$89=EVENTOS!$C26)*(OFFSET(CÁLCULO!$AA$15:$AA$89,0,J$13))),2),0)</f>
        <v>0</v>
      </c>
      <c r="K26" s="543" cm="1">
        <f t="array" aca="1" ref="K26" ca="1">IF(AUTOEVENTO="Manual",ROUND(SUMPRODUCT((CÁLCULO!$M$15:$M$89=EVENTOS!$C26)*(OFFSET(CÁLCULO!$AA$15:$AA$89,0,K$13))),2),0)</f>
        <v>0</v>
      </c>
      <c r="L26" s="543" cm="1">
        <f t="array" aca="1" ref="L26" ca="1">IF(AUTOEVENTO="Manual",ROUND(SUMPRODUCT((CÁLCULO!$M$15:$M$89=EVENTOS!$C26)*(OFFSET(CÁLCULO!$AA$15:$AA$89,0,L$13))),2),0)</f>
        <v>0</v>
      </c>
      <c r="M26" s="543" cm="1">
        <f t="array" aca="1" ref="M26" ca="1">IF(AUTOEVENTO="Manual",ROUND(SUMPRODUCT((CÁLCULO!$M$15:$M$89=EVENTOS!$C26)*(OFFSET(CÁLCULO!$AA$15:$AA$89,0,M$13))),2),0)</f>
        <v>0</v>
      </c>
      <c r="N26" s="543" cm="1">
        <f t="array" aca="1" ref="N26" ca="1">IF(AUTOEVENTO="Manual",ROUND(SUMPRODUCT((CÁLCULO!$M$15:$M$89=EVENTOS!$C26)*(OFFSET(CÁLCULO!$AA$15:$AA$89,0,N$13))),2),0)</f>
        <v>0</v>
      </c>
      <c r="O26" s="543" cm="1">
        <f t="array" aca="1" ref="O26" ca="1">IF(AUTOEVENTO="Manual",ROUND(SUMPRODUCT((CÁLCULO!$M$15:$M$89=EVENTOS!$C26)*(OFFSET(CÁLCULO!$AA$15:$AA$89,0,O$13))),2),0)</f>
        <v>0</v>
      </c>
      <c r="P26" s="543" cm="1">
        <f t="array" aca="1" ref="P26" ca="1">IF(AUTOEVENTO="Manual",ROUND(SUMPRODUCT((CÁLCULO!$M$15:$M$89=EVENTOS!$C26)*(OFFSET(CÁLCULO!$AA$15:$AA$89,0,P$13))),2),0)</f>
        <v>0</v>
      </c>
      <c r="Q26" s="543" cm="1">
        <f t="array" aca="1" ref="Q26" ca="1">IF(AUTOEVENTO="Manual",ROUND(SUMPRODUCT((CÁLCULO!$M$15:$M$89=EVENTOS!$C26)*(OFFSET(CÁLCULO!$AA$15:$AA$89,0,Q$13))),2),0)</f>
        <v>0</v>
      </c>
      <c r="R26" s="543" cm="1">
        <f t="array" aca="1" ref="R26" ca="1">IF(AUTOEVENTO="Manual",ROUND(SUMPRODUCT((CÁLCULO!$M$15:$M$89=EVENTOS!$C26)*(OFFSET(CÁLCULO!$AA$15:$AA$89,0,R$13))),2),0)</f>
        <v>0</v>
      </c>
      <c r="S26" s="543" cm="1">
        <f t="array" aca="1" ref="S26" ca="1">IF(AUTOEVENTO="Manual",ROUND(SUMPRODUCT((CÁLCULO!$M$15:$M$89=EVENTOS!$C26)*(OFFSET(CÁLCULO!$AA$15:$AA$89,0,S$13))),2),0)</f>
        <v>0</v>
      </c>
      <c r="T26" s="543" cm="1">
        <f t="array" aca="1" ref="T26" ca="1">IF(AUTOEVENTO="Manual",ROUND(SUMPRODUCT((CÁLCULO!$M$15:$M$89=EVENTOS!$C26)*(OFFSET(CÁLCULO!$AA$15:$AA$89,0,T$13))),2),0)</f>
        <v>0</v>
      </c>
      <c r="U26" s="543" cm="1">
        <f t="array" aca="1" ref="U26" ca="1">IF(AUTOEVENTO="Manual",ROUND(SUMPRODUCT((CÁLCULO!$M$15:$M$89=EVENTOS!$C26)*(OFFSET(CÁLCULO!$AA$15:$AA$89,0,U$13))),2),0)</f>
        <v>0</v>
      </c>
      <c r="V26" s="543" cm="1">
        <f t="array" aca="1" ref="V26" ca="1">IF(AUTOEVENTO="Manual",ROUND(SUMPRODUCT((CÁLCULO!$M$15:$M$89=EVENTOS!$C26)*(OFFSET(CÁLCULO!$AA$15:$AA$89,0,V$13))),2),0)</f>
        <v>0</v>
      </c>
      <c r="W26" s="543" cm="1">
        <f t="array" aca="1" ref="W26" ca="1">IF(AUTOEVENTO="Manual",ROUND(SUMPRODUCT((CÁLCULO!$M$15:$M$89=EVENTOS!$C26)*(OFFSET(CÁLCULO!$AA$15:$AA$89,0,W$13))),2),0)</f>
        <v>0</v>
      </c>
      <c r="X26" s="543" cm="1">
        <f t="array" aca="1" ref="X26" ca="1">IF(AUTOEVENTO="Manual",ROUND(SUMPRODUCT((CÁLCULO!$M$15:$M$89=EVENTOS!$C26)*(OFFSET(CÁLCULO!$AA$15:$AA$89,0,X$13))),2),0)</f>
        <v>0</v>
      </c>
      <c r="Y26" s="543" cm="1">
        <f t="array" aca="1" ref="Y26" ca="1">IF(AUTOEVENTO="Manual",ROUND(SUMPRODUCT((CÁLCULO!$M$15:$M$89=EVENTOS!$C26)*(OFFSET(CÁLCULO!$AA$15:$AA$89,0,Y$13))),2),0)</f>
        <v>0</v>
      </c>
    </row>
    <row r="27" spans="1:25" x14ac:dyDescent="0.2">
      <c r="A27" s="546" t="str">
        <f t="shared" si="3"/>
        <v/>
      </c>
      <c r="B27" t="str">
        <f t="shared" ca="1" si="4"/>
        <v/>
      </c>
      <c r="C27" s="191" t="str" cm="1">
        <f t="array" aca="1" ref="C27" ca="1">IF(OR(ROW(C27)=ROW(EVENTOS.firstrow)+1,AND(OFFSET(C27,-1,0)&lt;&gt;" ",OFFSET(C27,-1,1)&lt;&gt;"")),OFFSET(C27,-1,0)+1," ")</f>
        <v xml:space="preserve"> </v>
      </c>
      <c r="D27" s="532"/>
      <c r="E27" s="543" cm="1">
        <f t="array" aca="1" ref="E27" ca="1">IF(AUTOEVENTO="Manual",ROUND(SUMPRODUCT((CÁLCULO!$M$15:$M$89=EVENTOS!$C27)*(OFFSET(CÁLCULO!$AA$15:$AA$89,0,E$13))),2),0)</f>
        <v>0</v>
      </c>
      <c r="F27" s="192">
        <f ca="1">IF(AUTOEVENTO="Manual",ROUND(SUMPRODUCT((CÁLCULO!$M$15:$M$89=EVENTOS!$C27)*(OFFSET(CÁLCULO!$AA$15,0,1):OFFSET(CÁLCULO!$AL$89,0,-1))),2),0)</f>
        <v>0</v>
      </c>
      <c r="G27" s="627" t="str">
        <f ca="1">IF(AND(D27=0,F27&gt;0),"NOME",
 IF(AND(D27&lt;&gt;0,$F$14&gt;0,F27=0),"VALOR",
 IF(AND(Import.TipoArredondamento="TransfereGOV",$A27="F",LEN(D27)&gt;100),"Nome &gt;100","")))</f>
        <v/>
      </c>
      <c r="H27" s="543" cm="1">
        <f t="array" aca="1" ref="H27" ca="1">IF(AUTOEVENTO="Manual",ROUND(SUMPRODUCT((CÁLCULO!$M$15:$M$89=EVENTOS!$C27)*(OFFSET(CÁLCULO!$AA$15:$AA$89,0,H$13))),2),0)</f>
        <v>0</v>
      </c>
      <c r="I27" s="543" cm="1">
        <f t="array" aca="1" ref="I27" ca="1">IF(AUTOEVENTO="Manual",ROUND(SUMPRODUCT((CÁLCULO!$M$15:$M$89=EVENTOS!$C27)*(OFFSET(CÁLCULO!$AA$15:$AA$89,0,I$13))),2),0)</f>
        <v>0</v>
      </c>
      <c r="J27" s="543" cm="1">
        <f t="array" aca="1" ref="J27" ca="1">IF(AUTOEVENTO="Manual",ROUND(SUMPRODUCT((CÁLCULO!$M$15:$M$89=EVENTOS!$C27)*(OFFSET(CÁLCULO!$AA$15:$AA$89,0,J$13))),2),0)</f>
        <v>0</v>
      </c>
      <c r="K27" s="543" cm="1">
        <f t="array" aca="1" ref="K27" ca="1">IF(AUTOEVENTO="Manual",ROUND(SUMPRODUCT((CÁLCULO!$M$15:$M$89=EVENTOS!$C27)*(OFFSET(CÁLCULO!$AA$15:$AA$89,0,K$13))),2),0)</f>
        <v>0</v>
      </c>
      <c r="L27" s="543" cm="1">
        <f t="array" aca="1" ref="L27" ca="1">IF(AUTOEVENTO="Manual",ROUND(SUMPRODUCT((CÁLCULO!$M$15:$M$89=EVENTOS!$C27)*(OFFSET(CÁLCULO!$AA$15:$AA$89,0,L$13))),2),0)</f>
        <v>0</v>
      </c>
      <c r="M27" s="543" cm="1">
        <f t="array" aca="1" ref="M27" ca="1">IF(AUTOEVENTO="Manual",ROUND(SUMPRODUCT((CÁLCULO!$M$15:$M$89=EVENTOS!$C27)*(OFFSET(CÁLCULO!$AA$15:$AA$89,0,M$13))),2),0)</f>
        <v>0</v>
      </c>
      <c r="N27" s="543" cm="1">
        <f t="array" aca="1" ref="N27" ca="1">IF(AUTOEVENTO="Manual",ROUND(SUMPRODUCT((CÁLCULO!$M$15:$M$89=EVENTOS!$C27)*(OFFSET(CÁLCULO!$AA$15:$AA$89,0,N$13))),2),0)</f>
        <v>0</v>
      </c>
      <c r="O27" s="543" cm="1">
        <f t="array" aca="1" ref="O27" ca="1">IF(AUTOEVENTO="Manual",ROUND(SUMPRODUCT((CÁLCULO!$M$15:$M$89=EVENTOS!$C27)*(OFFSET(CÁLCULO!$AA$15:$AA$89,0,O$13))),2),0)</f>
        <v>0</v>
      </c>
      <c r="P27" s="543" cm="1">
        <f t="array" aca="1" ref="P27" ca="1">IF(AUTOEVENTO="Manual",ROUND(SUMPRODUCT((CÁLCULO!$M$15:$M$89=EVENTOS!$C27)*(OFFSET(CÁLCULO!$AA$15:$AA$89,0,P$13))),2),0)</f>
        <v>0</v>
      </c>
      <c r="Q27" s="543" cm="1">
        <f t="array" aca="1" ref="Q27" ca="1">IF(AUTOEVENTO="Manual",ROUND(SUMPRODUCT((CÁLCULO!$M$15:$M$89=EVENTOS!$C27)*(OFFSET(CÁLCULO!$AA$15:$AA$89,0,Q$13))),2),0)</f>
        <v>0</v>
      </c>
      <c r="R27" s="543" cm="1">
        <f t="array" aca="1" ref="R27" ca="1">IF(AUTOEVENTO="Manual",ROUND(SUMPRODUCT((CÁLCULO!$M$15:$M$89=EVENTOS!$C27)*(OFFSET(CÁLCULO!$AA$15:$AA$89,0,R$13))),2),0)</f>
        <v>0</v>
      </c>
      <c r="S27" s="543" cm="1">
        <f t="array" aca="1" ref="S27" ca="1">IF(AUTOEVENTO="Manual",ROUND(SUMPRODUCT((CÁLCULO!$M$15:$M$89=EVENTOS!$C27)*(OFFSET(CÁLCULO!$AA$15:$AA$89,0,S$13))),2),0)</f>
        <v>0</v>
      </c>
      <c r="T27" s="543" cm="1">
        <f t="array" aca="1" ref="T27" ca="1">IF(AUTOEVENTO="Manual",ROUND(SUMPRODUCT((CÁLCULO!$M$15:$M$89=EVENTOS!$C27)*(OFFSET(CÁLCULO!$AA$15:$AA$89,0,T$13))),2),0)</f>
        <v>0</v>
      </c>
      <c r="U27" s="543" cm="1">
        <f t="array" aca="1" ref="U27" ca="1">IF(AUTOEVENTO="Manual",ROUND(SUMPRODUCT((CÁLCULO!$M$15:$M$89=EVENTOS!$C27)*(OFFSET(CÁLCULO!$AA$15:$AA$89,0,U$13))),2),0)</f>
        <v>0</v>
      </c>
      <c r="V27" s="543" cm="1">
        <f t="array" aca="1" ref="V27" ca="1">IF(AUTOEVENTO="Manual",ROUND(SUMPRODUCT((CÁLCULO!$M$15:$M$89=EVENTOS!$C27)*(OFFSET(CÁLCULO!$AA$15:$AA$89,0,V$13))),2),0)</f>
        <v>0</v>
      </c>
      <c r="W27" s="543" cm="1">
        <f t="array" aca="1" ref="W27" ca="1">IF(AUTOEVENTO="Manual",ROUND(SUMPRODUCT((CÁLCULO!$M$15:$M$89=EVENTOS!$C27)*(OFFSET(CÁLCULO!$AA$15:$AA$89,0,W$13))),2),0)</f>
        <v>0</v>
      </c>
      <c r="X27" s="543" cm="1">
        <f t="array" aca="1" ref="X27" ca="1">IF(AUTOEVENTO="Manual",ROUND(SUMPRODUCT((CÁLCULO!$M$15:$M$89=EVENTOS!$C27)*(OFFSET(CÁLCULO!$AA$15:$AA$89,0,X$13))),2),0)</f>
        <v>0</v>
      </c>
      <c r="Y27" s="543" cm="1">
        <f t="array" aca="1" ref="Y27" ca="1">IF(AUTOEVENTO="Manual",ROUND(SUMPRODUCT((CÁLCULO!$M$15:$M$89=EVENTOS!$C27)*(OFFSET(CÁLCULO!$AA$15:$AA$89,0,Y$13))),2),0)</f>
        <v>0</v>
      </c>
    </row>
    <row r="28" spans="1:25" x14ac:dyDescent="0.2">
      <c r="A28" s="546" t="str">
        <f t="shared" si="3"/>
        <v/>
      </c>
      <c r="B28" t="str">
        <f t="shared" ca="1" si="4"/>
        <v/>
      </c>
      <c r="C28" s="191" t="str" cm="1">
        <f t="array" aca="1" ref="C28" ca="1">IF(OR(ROW(C28)=ROW(EVENTOS.firstrow)+1,AND(OFFSET(C28,-1,0)&lt;&gt;" ",OFFSET(C28,-1,1)&lt;&gt;"")),OFFSET(C28,-1,0)+1," ")</f>
        <v xml:space="preserve"> </v>
      </c>
      <c r="D28" s="532"/>
      <c r="E28" s="543" cm="1">
        <f t="array" aca="1" ref="E28" ca="1">IF(AUTOEVENTO="Manual",ROUND(SUMPRODUCT((CÁLCULO!$M$15:$M$89=EVENTOS!$C28)*(OFFSET(CÁLCULO!$AA$15:$AA$89,0,E$13))),2),0)</f>
        <v>0</v>
      </c>
      <c r="F28" s="192">
        <f ca="1">IF(AUTOEVENTO="Manual",ROUND(SUMPRODUCT((CÁLCULO!$M$15:$M$89=EVENTOS!$C28)*(OFFSET(CÁLCULO!$AA$15,0,1):OFFSET(CÁLCULO!$AL$89,0,-1))),2),0)</f>
        <v>0</v>
      </c>
      <c r="G28" s="627" t="str">
        <f ca="1">IF(AND(D28=0,F28&gt;0),"NOME",
 IF(AND(D28&lt;&gt;0,$F$14&gt;0,F28=0),"VALOR",
 IF(AND(Import.TipoArredondamento="TransfereGOV",$A28="F",LEN(D28)&gt;100),"Nome &gt;100","")))</f>
        <v/>
      </c>
      <c r="H28" s="543" cm="1">
        <f t="array" aca="1" ref="H28" ca="1">IF(AUTOEVENTO="Manual",ROUND(SUMPRODUCT((CÁLCULO!$M$15:$M$89=EVENTOS!$C28)*(OFFSET(CÁLCULO!$AA$15:$AA$89,0,H$13))),2),0)</f>
        <v>0</v>
      </c>
      <c r="I28" s="543" cm="1">
        <f t="array" aca="1" ref="I28" ca="1">IF(AUTOEVENTO="Manual",ROUND(SUMPRODUCT((CÁLCULO!$M$15:$M$89=EVENTOS!$C28)*(OFFSET(CÁLCULO!$AA$15:$AA$89,0,I$13))),2),0)</f>
        <v>0</v>
      </c>
      <c r="J28" s="543" cm="1">
        <f t="array" aca="1" ref="J28" ca="1">IF(AUTOEVENTO="Manual",ROUND(SUMPRODUCT((CÁLCULO!$M$15:$M$89=EVENTOS!$C28)*(OFFSET(CÁLCULO!$AA$15:$AA$89,0,J$13))),2),0)</f>
        <v>0</v>
      </c>
      <c r="K28" s="543" cm="1">
        <f t="array" aca="1" ref="K28" ca="1">IF(AUTOEVENTO="Manual",ROUND(SUMPRODUCT((CÁLCULO!$M$15:$M$89=EVENTOS!$C28)*(OFFSET(CÁLCULO!$AA$15:$AA$89,0,K$13))),2),0)</f>
        <v>0</v>
      </c>
      <c r="L28" s="543" cm="1">
        <f t="array" aca="1" ref="L28" ca="1">IF(AUTOEVENTO="Manual",ROUND(SUMPRODUCT((CÁLCULO!$M$15:$M$89=EVENTOS!$C28)*(OFFSET(CÁLCULO!$AA$15:$AA$89,0,L$13))),2),0)</f>
        <v>0</v>
      </c>
      <c r="M28" s="543" cm="1">
        <f t="array" aca="1" ref="M28" ca="1">IF(AUTOEVENTO="Manual",ROUND(SUMPRODUCT((CÁLCULO!$M$15:$M$89=EVENTOS!$C28)*(OFFSET(CÁLCULO!$AA$15:$AA$89,0,M$13))),2),0)</f>
        <v>0</v>
      </c>
      <c r="N28" s="543" cm="1">
        <f t="array" aca="1" ref="N28" ca="1">IF(AUTOEVENTO="Manual",ROUND(SUMPRODUCT((CÁLCULO!$M$15:$M$89=EVENTOS!$C28)*(OFFSET(CÁLCULO!$AA$15:$AA$89,0,N$13))),2),0)</f>
        <v>0</v>
      </c>
      <c r="O28" s="543" cm="1">
        <f t="array" aca="1" ref="O28" ca="1">IF(AUTOEVENTO="Manual",ROUND(SUMPRODUCT((CÁLCULO!$M$15:$M$89=EVENTOS!$C28)*(OFFSET(CÁLCULO!$AA$15:$AA$89,0,O$13))),2),0)</f>
        <v>0</v>
      </c>
      <c r="P28" s="543" cm="1">
        <f t="array" aca="1" ref="P28" ca="1">IF(AUTOEVENTO="Manual",ROUND(SUMPRODUCT((CÁLCULO!$M$15:$M$89=EVENTOS!$C28)*(OFFSET(CÁLCULO!$AA$15:$AA$89,0,P$13))),2),0)</f>
        <v>0</v>
      </c>
      <c r="Q28" s="543" cm="1">
        <f t="array" aca="1" ref="Q28" ca="1">IF(AUTOEVENTO="Manual",ROUND(SUMPRODUCT((CÁLCULO!$M$15:$M$89=EVENTOS!$C28)*(OFFSET(CÁLCULO!$AA$15:$AA$89,0,Q$13))),2),0)</f>
        <v>0</v>
      </c>
      <c r="R28" s="543" cm="1">
        <f t="array" aca="1" ref="R28" ca="1">IF(AUTOEVENTO="Manual",ROUND(SUMPRODUCT((CÁLCULO!$M$15:$M$89=EVENTOS!$C28)*(OFFSET(CÁLCULO!$AA$15:$AA$89,0,R$13))),2),0)</f>
        <v>0</v>
      </c>
      <c r="S28" s="543" cm="1">
        <f t="array" aca="1" ref="S28" ca="1">IF(AUTOEVENTO="Manual",ROUND(SUMPRODUCT((CÁLCULO!$M$15:$M$89=EVENTOS!$C28)*(OFFSET(CÁLCULO!$AA$15:$AA$89,0,S$13))),2),0)</f>
        <v>0</v>
      </c>
      <c r="T28" s="543" cm="1">
        <f t="array" aca="1" ref="T28" ca="1">IF(AUTOEVENTO="Manual",ROUND(SUMPRODUCT((CÁLCULO!$M$15:$M$89=EVENTOS!$C28)*(OFFSET(CÁLCULO!$AA$15:$AA$89,0,T$13))),2),0)</f>
        <v>0</v>
      </c>
      <c r="U28" s="543" cm="1">
        <f t="array" aca="1" ref="U28" ca="1">IF(AUTOEVENTO="Manual",ROUND(SUMPRODUCT((CÁLCULO!$M$15:$M$89=EVENTOS!$C28)*(OFFSET(CÁLCULO!$AA$15:$AA$89,0,U$13))),2),0)</f>
        <v>0</v>
      </c>
      <c r="V28" s="543" cm="1">
        <f t="array" aca="1" ref="V28" ca="1">IF(AUTOEVENTO="Manual",ROUND(SUMPRODUCT((CÁLCULO!$M$15:$M$89=EVENTOS!$C28)*(OFFSET(CÁLCULO!$AA$15:$AA$89,0,V$13))),2),0)</f>
        <v>0</v>
      </c>
      <c r="W28" s="543" cm="1">
        <f t="array" aca="1" ref="W28" ca="1">IF(AUTOEVENTO="Manual",ROUND(SUMPRODUCT((CÁLCULO!$M$15:$M$89=EVENTOS!$C28)*(OFFSET(CÁLCULO!$AA$15:$AA$89,0,W$13))),2),0)</f>
        <v>0</v>
      </c>
      <c r="X28" s="543" cm="1">
        <f t="array" aca="1" ref="X28" ca="1">IF(AUTOEVENTO="Manual",ROUND(SUMPRODUCT((CÁLCULO!$M$15:$M$89=EVENTOS!$C28)*(OFFSET(CÁLCULO!$AA$15:$AA$89,0,X$13))),2),0)</f>
        <v>0</v>
      </c>
      <c r="Y28" s="543" cm="1">
        <f t="array" aca="1" ref="Y28" ca="1">IF(AUTOEVENTO="Manual",ROUND(SUMPRODUCT((CÁLCULO!$M$15:$M$89=EVENTOS!$C28)*(OFFSET(CÁLCULO!$AA$15:$AA$89,0,Y$13))),2),0)</f>
        <v>0</v>
      </c>
    </row>
    <row r="29" spans="1:25" x14ac:dyDescent="0.2">
      <c r="A29" s="546" t="str">
        <f t="shared" si="3"/>
        <v/>
      </c>
      <c r="B29" t="str">
        <f t="shared" ca="1" si="4"/>
        <v/>
      </c>
      <c r="C29" s="191" t="str" cm="1">
        <f t="array" aca="1" ref="C29" ca="1">IF(OR(ROW(C29)=ROW(EVENTOS.firstrow)+1,AND(OFFSET(C29,-1,0)&lt;&gt;" ",OFFSET(C29,-1,1)&lt;&gt;"")),OFFSET(C29,-1,0)+1," ")</f>
        <v xml:space="preserve"> </v>
      </c>
      <c r="D29" s="532"/>
      <c r="E29" s="543" cm="1">
        <f t="array" aca="1" ref="E29" ca="1">IF(AUTOEVENTO="Manual",ROUND(SUMPRODUCT((CÁLCULO!$M$15:$M$89=EVENTOS!$C29)*(OFFSET(CÁLCULO!$AA$15:$AA$89,0,E$13))),2),0)</f>
        <v>0</v>
      </c>
      <c r="F29" s="192">
        <f ca="1">IF(AUTOEVENTO="Manual",ROUND(SUMPRODUCT((CÁLCULO!$M$15:$M$89=EVENTOS!$C29)*(OFFSET(CÁLCULO!$AA$15,0,1):OFFSET(CÁLCULO!$AL$89,0,-1))),2),0)</f>
        <v>0</v>
      </c>
      <c r="G29" s="627" t="str">
        <f ca="1">IF(AND(D29=0,F29&gt;0),"NOME",
 IF(AND(D29&lt;&gt;0,$F$14&gt;0,F29=0),"VALOR",
 IF(AND(Import.TipoArredondamento="TransfereGOV",$A29="F",LEN(D29)&gt;100),"Nome &gt;100","")))</f>
        <v/>
      </c>
      <c r="H29" s="543" cm="1">
        <f t="array" aca="1" ref="H29" ca="1">IF(AUTOEVENTO="Manual",ROUND(SUMPRODUCT((CÁLCULO!$M$15:$M$89=EVENTOS!$C29)*(OFFSET(CÁLCULO!$AA$15:$AA$89,0,H$13))),2),0)</f>
        <v>0</v>
      </c>
      <c r="I29" s="543" cm="1">
        <f t="array" aca="1" ref="I29" ca="1">IF(AUTOEVENTO="Manual",ROUND(SUMPRODUCT((CÁLCULO!$M$15:$M$89=EVENTOS!$C29)*(OFFSET(CÁLCULO!$AA$15:$AA$89,0,I$13))),2),0)</f>
        <v>0</v>
      </c>
      <c r="J29" s="543" cm="1">
        <f t="array" aca="1" ref="J29" ca="1">IF(AUTOEVENTO="Manual",ROUND(SUMPRODUCT((CÁLCULO!$M$15:$M$89=EVENTOS!$C29)*(OFFSET(CÁLCULO!$AA$15:$AA$89,0,J$13))),2),0)</f>
        <v>0</v>
      </c>
      <c r="K29" s="543" cm="1">
        <f t="array" aca="1" ref="K29" ca="1">IF(AUTOEVENTO="Manual",ROUND(SUMPRODUCT((CÁLCULO!$M$15:$M$89=EVENTOS!$C29)*(OFFSET(CÁLCULO!$AA$15:$AA$89,0,K$13))),2),0)</f>
        <v>0</v>
      </c>
      <c r="L29" s="543" cm="1">
        <f t="array" aca="1" ref="L29" ca="1">IF(AUTOEVENTO="Manual",ROUND(SUMPRODUCT((CÁLCULO!$M$15:$M$89=EVENTOS!$C29)*(OFFSET(CÁLCULO!$AA$15:$AA$89,0,L$13))),2),0)</f>
        <v>0</v>
      </c>
      <c r="M29" s="543" cm="1">
        <f t="array" aca="1" ref="M29" ca="1">IF(AUTOEVENTO="Manual",ROUND(SUMPRODUCT((CÁLCULO!$M$15:$M$89=EVENTOS!$C29)*(OFFSET(CÁLCULO!$AA$15:$AA$89,0,M$13))),2),0)</f>
        <v>0</v>
      </c>
      <c r="N29" s="543" cm="1">
        <f t="array" aca="1" ref="N29" ca="1">IF(AUTOEVENTO="Manual",ROUND(SUMPRODUCT((CÁLCULO!$M$15:$M$89=EVENTOS!$C29)*(OFFSET(CÁLCULO!$AA$15:$AA$89,0,N$13))),2),0)</f>
        <v>0</v>
      </c>
      <c r="O29" s="543" cm="1">
        <f t="array" aca="1" ref="O29" ca="1">IF(AUTOEVENTO="Manual",ROUND(SUMPRODUCT((CÁLCULO!$M$15:$M$89=EVENTOS!$C29)*(OFFSET(CÁLCULO!$AA$15:$AA$89,0,O$13))),2),0)</f>
        <v>0</v>
      </c>
      <c r="P29" s="543" cm="1">
        <f t="array" aca="1" ref="P29" ca="1">IF(AUTOEVENTO="Manual",ROUND(SUMPRODUCT((CÁLCULO!$M$15:$M$89=EVENTOS!$C29)*(OFFSET(CÁLCULO!$AA$15:$AA$89,0,P$13))),2),0)</f>
        <v>0</v>
      </c>
      <c r="Q29" s="543" cm="1">
        <f t="array" aca="1" ref="Q29" ca="1">IF(AUTOEVENTO="Manual",ROUND(SUMPRODUCT((CÁLCULO!$M$15:$M$89=EVENTOS!$C29)*(OFFSET(CÁLCULO!$AA$15:$AA$89,0,Q$13))),2),0)</f>
        <v>0</v>
      </c>
      <c r="R29" s="543" cm="1">
        <f t="array" aca="1" ref="R29" ca="1">IF(AUTOEVENTO="Manual",ROUND(SUMPRODUCT((CÁLCULO!$M$15:$M$89=EVENTOS!$C29)*(OFFSET(CÁLCULO!$AA$15:$AA$89,0,R$13))),2),0)</f>
        <v>0</v>
      </c>
      <c r="S29" s="543" cm="1">
        <f t="array" aca="1" ref="S29" ca="1">IF(AUTOEVENTO="Manual",ROUND(SUMPRODUCT((CÁLCULO!$M$15:$M$89=EVENTOS!$C29)*(OFFSET(CÁLCULO!$AA$15:$AA$89,0,S$13))),2),0)</f>
        <v>0</v>
      </c>
      <c r="T29" s="543" cm="1">
        <f t="array" aca="1" ref="T29" ca="1">IF(AUTOEVENTO="Manual",ROUND(SUMPRODUCT((CÁLCULO!$M$15:$M$89=EVENTOS!$C29)*(OFFSET(CÁLCULO!$AA$15:$AA$89,0,T$13))),2),0)</f>
        <v>0</v>
      </c>
      <c r="U29" s="543" cm="1">
        <f t="array" aca="1" ref="U29" ca="1">IF(AUTOEVENTO="Manual",ROUND(SUMPRODUCT((CÁLCULO!$M$15:$M$89=EVENTOS!$C29)*(OFFSET(CÁLCULO!$AA$15:$AA$89,0,U$13))),2),0)</f>
        <v>0</v>
      </c>
      <c r="V29" s="543" cm="1">
        <f t="array" aca="1" ref="V29" ca="1">IF(AUTOEVENTO="Manual",ROUND(SUMPRODUCT((CÁLCULO!$M$15:$M$89=EVENTOS!$C29)*(OFFSET(CÁLCULO!$AA$15:$AA$89,0,V$13))),2),0)</f>
        <v>0</v>
      </c>
      <c r="W29" s="543" cm="1">
        <f t="array" aca="1" ref="W29" ca="1">IF(AUTOEVENTO="Manual",ROUND(SUMPRODUCT((CÁLCULO!$M$15:$M$89=EVENTOS!$C29)*(OFFSET(CÁLCULO!$AA$15:$AA$89,0,W$13))),2),0)</f>
        <v>0</v>
      </c>
      <c r="X29" s="543" cm="1">
        <f t="array" aca="1" ref="X29" ca="1">IF(AUTOEVENTO="Manual",ROUND(SUMPRODUCT((CÁLCULO!$M$15:$M$89=EVENTOS!$C29)*(OFFSET(CÁLCULO!$AA$15:$AA$89,0,X$13))),2),0)</f>
        <v>0</v>
      </c>
      <c r="Y29" s="543" cm="1">
        <f t="array" aca="1" ref="Y29" ca="1">IF(AUTOEVENTO="Manual",ROUND(SUMPRODUCT((CÁLCULO!$M$15:$M$89=EVENTOS!$C29)*(OFFSET(CÁLCULO!$AA$15:$AA$89,0,Y$13))),2),0)</f>
        <v>0</v>
      </c>
    </row>
    <row r="30" spans="1:25" x14ac:dyDescent="0.2">
      <c r="A30" s="546" t="str">
        <f t="shared" si="3"/>
        <v/>
      </c>
      <c r="B30" t="str">
        <f t="shared" ca="1" si="4"/>
        <v/>
      </c>
      <c r="C30" s="191" t="str" cm="1">
        <f t="array" aca="1" ref="C30" ca="1">IF(OR(ROW(C30)=ROW(EVENTOS.firstrow)+1,AND(OFFSET(C30,-1,0)&lt;&gt;" ",OFFSET(C30,-1,1)&lt;&gt;"")),OFFSET(C30,-1,0)+1," ")</f>
        <v xml:space="preserve"> </v>
      </c>
      <c r="D30" s="532"/>
      <c r="E30" s="543" cm="1">
        <f t="array" aca="1" ref="E30" ca="1">IF(AUTOEVENTO="Manual",ROUND(SUMPRODUCT((CÁLCULO!$M$15:$M$89=EVENTOS!$C30)*(OFFSET(CÁLCULO!$AA$15:$AA$89,0,E$13))),2),0)</f>
        <v>0</v>
      </c>
      <c r="F30" s="192">
        <f ca="1">IF(AUTOEVENTO="Manual",ROUND(SUMPRODUCT((CÁLCULO!$M$15:$M$89=EVENTOS!$C30)*(OFFSET(CÁLCULO!$AA$15,0,1):OFFSET(CÁLCULO!$AL$89,0,-1))),2),0)</f>
        <v>0</v>
      </c>
      <c r="G30" s="627" t="str">
        <f ca="1">IF(AND(D30=0,F30&gt;0),"NOME",
 IF(AND(D30&lt;&gt;0,$F$14&gt;0,F30=0),"VALOR",
 IF(AND(Import.TipoArredondamento="TransfereGOV",$A30="F",LEN(D30)&gt;100),"Nome &gt;100","")))</f>
        <v/>
      </c>
      <c r="H30" s="543" cm="1">
        <f t="array" aca="1" ref="H30" ca="1">IF(AUTOEVENTO="Manual",ROUND(SUMPRODUCT((CÁLCULO!$M$15:$M$89=EVENTOS!$C30)*(OFFSET(CÁLCULO!$AA$15:$AA$89,0,H$13))),2),0)</f>
        <v>0</v>
      </c>
      <c r="I30" s="543" cm="1">
        <f t="array" aca="1" ref="I30" ca="1">IF(AUTOEVENTO="Manual",ROUND(SUMPRODUCT((CÁLCULO!$M$15:$M$89=EVENTOS!$C30)*(OFFSET(CÁLCULO!$AA$15:$AA$89,0,I$13))),2),0)</f>
        <v>0</v>
      </c>
      <c r="J30" s="543" cm="1">
        <f t="array" aca="1" ref="J30" ca="1">IF(AUTOEVENTO="Manual",ROUND(SUMPRODUCT((CÁLCULO!$M$15:$M$89=EVENTOS!$C30)*(OFFSET(CÁLCULO!$AA$15:$AA$89,0,J$13))),2),0)</f>
        <v>0</v>
      </c>
      <c r="K30" s="543" cm="1">
        <f t="array" aca="1" ref="K30" ca="1">IF(AUTOEVENTO="Manual",ROUND(SUMPRODUCT((CÁLCULO!$M$15:$M$89=EVENTOS!$C30)*(OFFSET(CÁLCULO!$AA$15:$AA$89,0,K$13))),2),0)</f>
        <v>0</v>
      </c>
      <c r="L30" s="543" cm="1">
        <f t="array" aca="1" ref="L30" ca="1">IF(AUTOEVENTO="Manual",ROUND(SUMPRODUCT((CÁLCULO!$M$15:$M$89=EVENTOS!$C30)*(OFFSET(CÁLCULO!$AA$15:$AA$89,0,L$13))),2),0)</f>
        <v>0</v>
      </c>
      <c r="M30" s="543" cm="1">
        <f t="array" aca="1" ref="M30" ca="1">IF(AUTOEVENTO="Manual",ROUND(SUMPRODUCT((CÁLCULO!$M$15:$M$89=EVENTOS!$C30)*(OFFSET(CÁLCULO!$AA$15:$AA$89,0,M$13))),2),0)</f>
        <v>0</v>
      </c>
      <c r="N30" s="543" cm="1">
        <f t="array" aca="1" ref="N30" ca="1">IF(AUTOEVENTO="Manual",ROUND(SUMPRODUCT((CÁLCULO!$M$15:$M$89=EVENTOS!$C30)*(OFFSET(CÁLCULO!$AA$15:$AA$89,0,N$13))),2),0)</f>
        <v>0</v>
      </c>
      <c r="O30" s="543" cm="1">
        <f t="array" aca="1" ref="O30" ca="1">IF(AUTOEVENTO="Manual",ROUND(SUMPRODUCT((CÁLCULO!$M$15:$M$89=EVENTOS!$C30)*(OFFSET(CÁLCULO!$AA$15:$AA$89,0,O$13))),2),0)</f>
        <v>0</v>
      </c>
      <c r="P30" s="543" cm="1">
        <f t="array" aca="1" ref="P30" ca="1">IF(AUTOEVENTO="Manual",ROUND(SUMPRODUCT((CÁLCULO!$M$15:$M$89=EVENTOS!$C30)*(OFFSET(CÁLCULO!$AA$15:$AA$89,0,P$13))),2),0)</f>
        <v>0</v>
      </c>
      <c r="Q30" s="543" cm="1">
        <f t="array" aca="1" ref="Q30" ca="1">IF(AUTOEVENTO="Manual",ROUND(SUMPRODUCT((CÁLCULO!$M$15:$M$89=EVENTOS!$C30)*(OFFSET(CÁLCULO!$AA$15:$AA$89,0,Q$13))),2),0)</f>
        <v>0</v>
      </c>
      <c r="R30" s="543" cm="1">
        <f t="array" aca="1" ref="R30" ca="1">IF(AUTOEVENTO="Manual",ROUND(SUMPRODUCT((CÁLCULO!$M$15:$M$89=EVENTOS!$C30)*(OFFSET(CÁLCULO!$AA$15:$AA$89,0,R$13))),2),0)</f>
        <v>0</v>
      </c>
      <c r="S30" s="543" cm="1">
        <f t="array" aca="1" ref="S30" ca="1">IF(AUTOEVENTO="Manual",ROUND(SUMPRODUCT((CÁLCULO!$M$15:$M$89=EVENTOS!$C30)*(OFFSET(CÁLCULO!$AA$15:$AA$89,0,S$13))),2),0)</f>
        <v>0</v>
      </c>
      <c r="T30" s="543" cm="1">
        <f t="array" aca="1" ref="T30" ca="1">IF(AUTOEVENTO="Manual",ROUND(SUMPRODUCT((CÁLCULO!$M$15:$M$89=EVENTOS!$C30)*(OFFSET(CÁLCULO!$AA$15:$AA$89,0,T$13))),2),0)</f>
        <v>0</v>
      </c>
      <c r="U30" s="543" cm="1">
        <f t="array" aca="1" ref="U30" ca="1">IF(AUTOEVENTO="Manual",ROUND(SUMPRODUCT((CÁLCULO!$M$15:$M$89=EVENTOS!$C30)*(OFFSET(CÁLCULO!$AA$15:$AA$89,0,U$13))),2),0)</f>
        <v>0</v>
      </c>
      <c r="V30" s="543" cm="1">
        <f t="array" aca="1" ref="V30" ca="1">IF(AUTOEVENTO="Manual",ROUND(SUMPRODUCT((CÁLCULO!$M$15:$M$89=EVENTOS!$C30)*(OFFSET(CÁLCULO!$AA$15:$AA$89,0,V$13))),2),0)</f>
        <v>0</v>
      </c>
      <c r="W30" s="543" cm="1">
        <f t="array" aca="1" ref="W30" ca="1">IF(AUTOEVENTO="Manual",ROUND(SUMPRODUCT((CÁLCULO!$M$15:$M$89=EVENTOS!$C30)*(OFFSET(CÁLCULO!$AA$15:$AA$89,0,W$13))),2),0)</f>
        <v>0</v>
      </c>
      <c r="X30" s="543" cm="1">
        <f t="array" aca="1" ref="X30" ca="1">IF(AUTOEVENTO="Manual",ROUND(SUMPRODUCT((CÁLCULO!$M$15:$M$89=EVENTOS!$C30)*(OFFSET(CÁLCULO!$AA$15:$AA$89,0,X$13))),2),0)</f>
        <v>0</v>
      </c>
      <c r="Y30" s="543" cm="1">
        <f t="array" aca="1" ref="Y30" ca="1">IF(AUTOEVENTO="Manual",ROUND(SUMPRODUCT((CÁLCULO!$M$15:$M$89=EVENTOS!$C30)*(OFFSET(CÁLCULO!$AA$15:$AA$89,0,Y$13))),2),0)</f>
        <v>0</v>
      </c>
    </row>
    <row r="31" spans="1:25" x14ac:dyDescent="0.2">
      <c r="A31" s="546" t="str">
        <f t="shared" si="3"/>
        <v/>
      </c>
      <c r="B31" t="str">
        <f t="shared" ca="1" si="4"/>
        <v/>
      </c>
      <c r="C31" s="191" t="str" cm="1">
        <f t="array" aca="1" ref="C31" ca="1">IF(OR(ROW(C31)=ROW(EVENTOS.firstrow)+1,AND(OFFSET(C31,-1,0)&lt;&gt;" ",OFFSET(C31,-1,1)&lt;&gt;"")),OFFSET(C31,-1,0)+1," ")</f>
        <v xml:space="preserve"> </v>
      </c>
      <c r="D31" s="532"/>
      <c r="E31" s="543" cm="1">
        <f t="array" aca="1" ref="E31" ca="1">IF(AUTOEVENTO="Manual",ROUND(SUMPRODUCT((CÁLCULO!$M$15:$M$89=EVENTOS!$C31)*(OFFSET(CÁLCULO!$AA$15:$AA$89,0,E$13))),2),0)</f>
        <v>0</v>
      </c>
      <c r="F31" s="192">
        <f ca="1">IF(AUTOEVENTO="Manual",ROUND(SUMPRODUCT((CÁLCULO!$M$15:$M$89=EVENTOS!$C31)*(OFFSET(CÁLCULO!$AA$15,0,1):OFFSET(CÁLCULO!$AL$89,0,-1))),2),0)</f>
        <v>0</v>
      </c>
      <c r="G31" s="627" t="str">
        <f ca="1">IF(AND(D31=0,F31&gt;0),"NOME",
 IF(AND(D31&lt;&gt;0,$F$14&gt;0,F31=0),"VALOR",
 IF(AND(Import.TipoArredondamento="TransfereGOV",$A31="F",LEN(D31)&gt;100),"Nome &gt;100","")))</f>
        <v/>
      </c>
      <c r="H31" s="543" cm="1">
        <f t="array" aca="1" ref="H31" ca="1">IF(AUTOEVENTO="Manual",ROUND(SUMPRODUCT((CÁLCULO!$M$15:$M$89=EVENTOS!$C31)*(OFFSET(CÁLCULO!$AA$15:$AA$89,0,H$13))),2),0)</f>
        <v>0</v>
      </c>
      <c r="I31" s="543" cm="1">
        <f t="array" aca="1" ref="I31" ca="1">IF(AUTOEVENTO="Manual",ROUND(SUMPRODUCT((CÁLCULO!$M$15:$M$89=EVENTOS!$C31)*(OFFSET(CÁLCULO!$AA$15:$AA$89,0,I$13))),2),0)</f>
        <v>0</v>
      </c>
      <c r="J31" s="543" cm="1">
        <f t="array" aca="1" ref="J31" ca="1">IF(AUTOEVENTO="Manual",ROUND(SUMPRODUCT((CÁLCULO!$M$15:$M$89=EVENTOS!$C31)*(OFFSET(CÁLCULO!$AA$15:$AA$89,0,J$13))),2),0)</f>
        <v>0</v>
      </c>
      <c r="K31" s="543" cm="1">
        <f t="array" aca="1" ref="K31" ca="1">IF(AUTOEVENTO="Manual",ROUND(SUMPRODUCT((CÁLCULO!$M$15:$M$89=EVENTOS!$C31)*(OFFSET(CÁLCULO!$AA$15:$AA$89,0,K$13))),2),0)</f>
        <v>0</v>
      </c>
      <c r="L31" s="543" cm="1">
        <f t="array" aca="1" ref="L31" ca="1">IF(AUTOEVENTO="Manual",ROUND(SUMPRODUCT((CÁLCULO!$M$15:$M$89=EVENTOS!$C31)*(OFFSET(CÁLCULO!$AA$15:$AA$89,0,L$13))),2),0)</f>
        <v>0</v>
      </c>
      <c r="M31" s="543" cm="1">
        <f t="array" aca="1" ref="M31" ca="1">IF(AUTOEVENTO="Manual",ROUND(SUMPRODUCT((CÁLCULO!$M$15:$M$89=EVENTOS!$C31)*(OFFSET(CÁLCULO!$AA$15:$AA$89,0,M$13))),2),0)</f>
        <v>0</v>
      </c>
      <c r="N31" s="543" cm="1">
        <f t="array" aca="1" ref="N31" ca="1">IF(AUTOEVENTO="Manual",ROUND(SUMPRODUCT((CÁLCULO!$M$15:$M$89=EVENTOS!$C31)*(OFFSET(CÁLCULO!$AA$15:$AA$89,0,N$13))),2),0)</f>
        <v>0</v>
      </c>
      <c r="O31" s="543" cm="1">
        <f t="array" aca="1" ref="O31" ca="1">IF(AUTOEVENTO="Manual",ROUND(SUMPRODUCT((CÁLCULO!$M$15:$M$89=EVENTOS!$C31)*(OFFSET(CÁLCULO!$AA$15:$AA$89,0,O$13))),2),0)</f>
        <v>0</v>
      </c>
      <c r="P31" s="543" cm="1">
        <f t="array" aca="1" ref="P31" ca="1">IF(AUTOEVENTO="Manual",ROUND(SUMPRODUCT((CÁLCULO!$M$15:$M$89=EVENTOS!$C31)*(OFFSET(CÁLCULO!$AA$15:$AA$89,0,P$13))),2),0)</f>
        <v>0</v>
      </c>
      <c r="Q31" s="543" cm="1">
        <f t="array" aca="1" ref="Q31" ca="1">IF(AUTOEVENTO="Manual",ROUND(SUMPRODUCT((CÁLCULO!$M$15:$M$89=EVENTOS!$C31)*(OFFSET(CÁLCULO!$AA$15:$AA$89,0,Q$13))),2),0)</f>
        <v>0</v>
      </c>
      <c r="R31" s="543" cm="1">
        <f t="array" aca="1" ref="R31" ca="1">IF(AUTOEVENTO="Manual",ROUND(SUMPRODUCT((CÁLCULO!$M$15:$M$89=EVENTOS!$C31)*(OFFSET(CÁLCULO!$AA$15:$AA$89,0,R$13))),2),0)</f>
        <v>0</v>
      </c>
      <c r="S31" s="543" cm="1">
        <f t="array" aca="1" ref="S31" ca="1">IF(AUTOEVENTO="Manual",ROUND(SUMPRODUCT((CÁLCULO!$M$15:$M$89=EVENTOS!$C31)*(OFFSET(CÁLCULO!$AA$15:$AA$89,0,S$13))),2),0)</f>
        <v>0</v>
      </c>
      <c r="T31" s="543" cm="1">
        <f t="array" aca="1" ref="T31" ca="1">IF(AUTOEVENTO="Manual",ROUND(SUMPRODUCT((CÁLCULO!$M$15:$M$89=EVENTOS!$C31)*(OFFSET(CÁLCULO!$AA$15:$AA$89,0,T$13))),2),0)</f>
        <v>0</v>
      </c>
      <c r="U31" s="543" cm="1">
        <f t="array" aca="1" ref="U31" ca="1">IF(AUTOEVENTO="Manual",ROUND(SUMPRODUCT((CÁLCULO!$M$15:$M$89=EVENTOS!$C31)*(OFFSET(CÁLCULO!$AA$15:$AA$89,0,U$13))),2),0)</f>
        <v>0</v>
      </c>
      <c r="V31" s="543" cm="1">
        <f t="array" aca="1" ref="V31" ca="1">IF(AUTOEVENTO="Manual",ROUND(SUMPRODUCT((CÁLCULO!$M$15:$M$89=EVENTOS!$C31)*(OFFSET(CÁLCULO!$AA$15:$AA$89,0,V$13))),2),0)</f>
        <v>0</v>
      </c>
      <c r="W31" s="543" cm="1">
        <f t="array" aca="1" ref="W31" ca="1">IF(AUTOEVENTO="Manual",ROUND(SUMPRODUCT((CÁLCULO!$M$15:$M$89=EVENTOS!$C31)*(OFFSET(CÁLCULO!$AA$15:$AA$89,0,W$13))),2),0)</f>
        <v>0</v>
      </c>
      <c r="X31" s="543" cm="1">
        <f t="array" aca="1" ref="X31" ca="1">IF(AUTOEVENTO="Manual",ROUND(SUMPRODUCT((CÁLCULO!$M$15:$M$89=EVENTOS!$C31)*(OFFSET(CÁLCULO!$AA$15:$AA$89,0,X$13))),2),0)</f>
        <v>0</v>
      </c>
      <c r="Y31" s="543" cm="1">
        <f t="array" aca="1" ref="Y31" ca="1">IF(AUTOEVENTO="Manual",ROUND(SUMPRODUCT((CÁLCULO!$M$15:$M$89=EVENTOS!$C31)*(OFFSET(CÁLCULO!$AA$15:$AA$89,0,Y$13))),2),0)</f>
        <v>0</v>
      </c>
    </row>
    <row r="32" spans="1:25" x14ac:dyDescent="0.2">
      <c r="A32" s="546" t="str">
        <f t="shared" si="3"/>
        <v/>
      </c>
      <c r="B32" t="str">
        <f t="shared" ca="1" si="4"/>
        <v/>
      </c>
      <c r="C32" s="191" t="str" cm="1">
        <f t="array" aca="1" ref="C32" ca="1">IF(OR(ROW(C32)=ROW(EVENTOS.firstrow)+1,AND(OFFSET(C32,-1,0)&lt;&gt;" ",OFFSET(C32,-1,1)&lt;&gt;"")),OFFSET(C32,-1,0)+1," ")</f>
        <v xml:space="preserve"> </v>
      </c>
      <c r="D32" s="532"/>
      <c r="E32" s="543" cm="1">
        <f t="array" aca="1" ref="E32" ca="1">IF(AUTOEVENTO="Manual",ROUND(SUMPRODUCT((CÁLCULO!$M$15:$M$89=EVENTOS!$C32)*(OFFSET(CÁLCULO!$AA$15:$AA$89,0,E$13))),2),0)</f>
        <v>0</v>
      </c>
      <c r="F32" s="192">
        <f ca="1">IF(AUTOEVENTO="Manual",ROUND(SUMPRODUCT((CÁLCULO!$M$15:$M$89=EVENTOS!$C32)*(OFFSET(CÁLCULO!$AA$15,0,1):OFFSET(CÁLCULO!$AL$89,0,-1))),2),0)</f>
        <v>0</v>
      </c>
      <c r="G32" s="627" t="str">
        <f ca="1">IF(AND(D32=0,F32&gt;0),"NOME",
 IF(AND(D32&lt;&gt;0,$F$14&gt;0,F32=0),"VALOR",
 IF(AND(Import.TipoArredondamento="TransfereGOV",$A32="F",LEN(D32)&gt;100),"Nome &gt;100","")))</f>
        <v/>
      </c>
      <c r="H32" s="543" cm="1">
        <f t="array" aca="1" ref="H32" ca="1">IF(AUTOEVENTO="Manual",ROUND(SUMPRODUCT((CÁLCULO!$M$15:$M$89=EVENTOS!$C32)*(OFFSET(CÁLCULO!$AA$15:$AA$89,0,H$13))),2),0)</f>
        <v>0</v>
      </c>
      <c r="I32" s="543" cm="1">
        <f t="array" aca="1" ref="I32" ca="1">IF(AUTOEVENTO="Manual",ROUND(SUMPRODUCT((CÁLCULO!$M$15:$M$89=EVENTOS!$C32)*(OFFSET(CÁLCULO!$AA$15:$AA$89,0,I$13))),2),0)</f>
        <v>0</v>
      </c>
      <c r="J32" s="543" cm="1">
        <f t="array" aca="1" ref="J32" ca="1">IF(AUTOEVENTO="Manual",ROUND(SUMPRODUCT((CÁLCULO!$M$15:$M$89=EVENTOS!$C32)*(OFFSET(CÁLCULO!$AA$15:$AA$89,0,J$13))),2),0)</f>
        <v>0</v>
      </c>
      <c r="K32" s="543" cm="1">
        <f t="array" aca="1" ref="K32" ca="1">IF(AUTOEVENTO="Manual",ROUND(SUMPRODUCT((CÁLCULO!$M$15:$M$89=EVENTOS!$C32)*(OFFSET(CÁLCULO!$AA$15:$AA$89,0,K$13))),2),0)</f>
        <v>0</v>
      </c>
      <c r="L32" s="543" cm="1">
        <f t="array" aca="1" ref="L32" ca="1">IF(AUTOEVENTO="Manual",ROUND(SUMPRODUCT((CÁLCULO!$M$15:$M$89=EVENTOS!$C32)*(OFFSET(CÁLCULO!$AA$15:$AA$89,0,L$13))),2),0)</f>
        <v>0</v>
      </c>
      <c r="M32" s="543" cm="1">
        <f t="array" aca="1" ref="M32" ca="1">IF(AUTOEVENTO="Manual",ROUND(SUMPRODUCT((CÁLCULO!$M$15:$M$89=EVENTOS!$C32)*(OFFSET(CÁLCULO!$AA$15:$AA$89,0,M$13))),2),0)</f>
        <v>0</v>
      </c>
      <c r="N32" s="543" cm="1">
        <f t="array" aca="1" ref="N32" ca="1">IF(AUTOEVENTO="Manual",ROUND(SUMPRODUCT((CÁLCULO!$M$15:$M$89=EVENTOS!$C32)*(OFFSET(CÁLCULO!$AA$15:$AA$89,0,N$13))),2),0)</f>
        <v>0</v>
      </c>
      <c r="O32" s="543" cm="1">
        <f t="array" aca="1" ref="O32" ca="1">IF(AUTOEVENTO="Manual",ROUND(SUMPRODUCT((CÁLCULO!$M$15:$M$89=EVENTOS!$C32)*(OFFSET(CÁLCULO!$AA$15:$AA$89,0,O$13))),2),0)</f>
        <v>0</v>
      </c>
      <c r="P32" s="543" cm="1">
        <f t="array" aca="1" ref="P32" ca="1">IF(AUTOEVENTO="Manual",ROUND(SUMPRODUCT((CÁLCULO!$M$15:$M$89=EVENTOS!$C32)*(OFFSET(CÁLCULO!$AA$15:$AA$89,0,P$13))),2),0)</f>
        <v>0</v>
      </c>
      <c r="Q32" s="543" cm="1">
        <f t="array" aca="1" ref="Q32" ca="1">IF(AUTOEVENTO="Manual",ROUND(SUMPRODUCT((CÁLCULO!$M$15:$M$89=EVENTOS!$C32)*(OFFSET(CÁLCULO!$AA$15:$AA$89,0,Q$13))),2),0)</f>
        <v>0</v>
      </c>
      <c r="R32" s="543" cm="1">
        <f t="array" aca="1" ref="R32" ca="1">IF(AUTOEVENTO="Manual",ROUND(SUMPRODUCT((CÁLCULO!$M$15:$M$89=EVENTOS!$C32)*(OFFSET(CÁLCULO!$AA$15:$AA$89,0,R$13))),2),0)</f>
        <v>0</v>
      </c>
      <c r="S32" s="543" cm="1">
        <f t="array" aca="1" ref="S32" ca="1">IF(AUTOEVENTO="Manual",ROUND(SUMPRODUCT((CÁLCULO!$M$15:$M$89=EVENTOS!$C32)*(OFFSET(CÁLCULO!$AA$15:$AA$89,0,S$13))),2),0)</f>
        <v>0</v>
      </c>
      <c r="T32" s="543" cm="1">
        <f t="array" aca="1" ref="T32" ca="1">IF(AUTOEVENTO="Manual",ROUND(SUMPRODUCT((CÁLCULO!$M$15:$M$89=EVENTOS!$C32)*(OFFSET(CÁLCULO!$AA$15:$AA$89,0,T$13))),2),0)</f>
        <v>0</v>
      </c>
      <c r="U32" s="543" cm="1">
        <f t="array" aca="1" ref="U32" ca="1">IF(AUTOEVENTO="Manual",ROUND(SUMPRODUCT((CÁLCULO!$M$15:$M$89=EVENTOS!$C32)*(OFFSET(CÁLCULO!$AA$15:$AA$89,0,U$13))),2),0)</f>
        <v>0</v>
      </c>
      <c r="V32" s="543" cm="1">
        <f t="array" aca="1" ref="V32" ca="1">IF(AUTOEVENTO="Manual",ROUND(SUMPRODUCT((CÁLCULO!$M$15:$M$89=EVENTOS!$C32)*(OFFSET(CÁLCULO!$AA$15:$AA$89,0,V$13))),2),0)</f>
        <v>0</v>
      </c>
      <c r="W32" s="543" cm="1">
        <f t="array" aca="1" ref="W32" ca="1">IF(AUTOEVENTO="Manual",ROUND(SUMPRODUCT((CÁLCULO!$M$15:$M$89=EVENTOS!$C32)*(OFFSET(CÁLCULO!$AA$15:$AA$89,0,W$13))),2),0)</f>
        <v>0</v>
      </c>
      <c r="X32" s="543" cm="1">
        <f t="array" aca="1" ref="X32" ca="1">IF(AUTOEVENTO="Manual",ROUND(SUMPRODUCT((CÁLCULO!$M$15:$M$89=EVENTOS!$C32)*(OFFSET(CÁLCULO!$AA$15:$AA$89,0,X$13))),2),0)</f>
        <v>0</v>
      </c>
      <c r="Y32" s="543" cm="1">
        <f t="array" aca="1" ref="Y32" ca="1">IF(AUTOEVENTO="Manual",ROUND(SUMPRODUCT((CÁLCULO!$M$15:$M$89=EVENTOS!$C32)*(OFFSET(CÁLCULO!$AA$15:$AA$89,0,Y$13))),2),0)</f>
        <v>0</v>
      </c>
    </row>
    <row r="33" spans="1:25" x14ac:dyDescent="0.2">
      <c r="A33" s="546" t="str">
        <f t="shared" si="3"/>
        <v/>
      </c>
      <c r="B33" t="str">
        <f t="shared" ca="1" si="4"/>
        <v/>
      </c>
      <c r="C33" s="191" t="str" cm="1">
        <f t="array" aca="1" ref="C33" ca="1">IF(OR(ROW(C33)=ROW(EVENTOS.firstrow)+1,AND(OFFSET(C33,-1,0)&lt;&gt;" ",OFFSET(C33,-1,1)&lt;&gt;"")),OFFSET(C33,-1,0)+1," ")</f>
        <v xml:space="preserve"> </v>
      </c>
      <c r="D33" s="532"/>
      <c r="E33" s="543" cm="1">
        <f t="array" aca="1" ref="E33" ca="1">IF(AUTOEVENTO="Manual",ROUND(SUMPRODUCT((CÁLCULO!$M$15:$M$89=EVENTOS!$C33)*(OFFSET(CÁLCULO!$AA$15:$AA$89,0,E$13))),2),0)</f>
        <v>0</v>
      </c>
      <c r="F33" s="192">
        <f ca="1">IF(AUTOEVENTO="Manual",ROUND(SUMPRODUCT((CÁLCULO!$M$15:$M$89=EVENTOS!$C33)*(OFFSET(CÁLCULO!$AA$15,0,1):OFFSET(CÁLCULO!$AL$89,0,-1))),2),0)</f>
        <v>0</v>
      </c>
      <c r="G33" s="627" t="str">
        <f ca="1">IF(AND(D33=0,F33&gt;0),"NOME",
 IF(AND(D33&lt;&gt;0,$F$14&gt;0,F33=0),"VALOR",
 IF(AND(Import.TipoArredondamento="TransfereGOV",$A33="F",LEN(D33)&gt;100),"Nome &gt;100","")))</f>
        <v/>
      </c>
      <c r="H33" s="543" cm="1">
        <f t="array" aca="1" ref="H33" ca="1">IF(AUTOEVENTO="Manual",ROUND(SUMPRODUCT((CÁLCULO!$M$15:$M$89=EVENTOS!$C33)*(OFFSET(CÁLCULO!$AA$15:$AA$89,0,H$13))),2),0)</f>
        <v>0</v>
      </c>
      <c r="I33" s="543" cm="1">
        <f t="array" aca="1" ref="I33" ca="1">IF(AUTOEVENTO="Manual",ROUND(SUMPRODUCT((CÁLCULO!$M$15:$M$89=EVENTOS!$C33)*(OFFSET(CÁLCULO!$AA$15:$AA$89,0,I$13))),2),0)</f>
        <v>0</v>
      </c>
      <c r="J33" s="543" cm="1">
        <f t="array" aca="1" ref="J33" ca="1">IF(AUTOEVENTO="Manual",ROUND(SUMPRODUCT((CÁLCULO!$M$15:$M$89=EVENTOS!$C33)*(OFFSET(CÁLCULO!$AA$15:$AA$89,0,J$13))),2),0)</f>
        <v>0</v>
      </c>
      <c r="K33" s="543" cm="1">
        <f t="array" aca="1" ref="K33" ca="1">IF(AUTOEVENTO="Manual",ROUND(SUMPRODUCT((CÁLCULO!$M$15:$M$89=EVENTOS!$C33)*(OFFSET(CÁLCULO!$AA$15:$AA$89,0,K$13))),2),0)</f>
        <v>0</v>
      </c>
      <c r="L33" s="543" cm="1">
        <f t="array" aca="1" ref="L33" ca="1">IF(AUTOEVENTO="Manual",ROUND(SUMPRODUCT((CÁLCULO!$M$15:$M$89=EVENTOS!$C33)*(OFFSET(CÁLCULO!$AA$15:$AA$89,0,L$13))),2),0)</f>
        <v>0</v>
      </c>
      <c r="M33" s="543" cm="1">
        <f t="array" aca="1" ref="M33" ca="1">IF(AUTOEVENTO="Manual",ROUND(SUMPRODUCT((CÁLCULO!$M$15:$M$89=EVENTOS!$C33)*(OFFSET(CÁLCULO!$AA$15:$AA$89,0,M$13))),2),0)</f>
        <v>0</v>
      </c>
      <c r="N33" s="543" cm="1">
        <f t="array" aca="1" ref="N33" ca="1">IF(AUTOEVENTO="Manual",ROUND(SUMPRODUCT((CÁLCULO!$M$15:$M$89=EVENTOS!$C33)*(OFFSET(CÁLCULO!$AA$15:$AA$89,0,N$13))),2),0)</f>
        <v>0</v>
      </c>
      <c r="O33" s="543" cm="1">
        <f t="array" aca="1" ref="O33" ca="1">IF(AUTOEVENTO="Manual",ROUND(SUMPRODUCT((CÁLCULO!$M$15:$M$89=EVENTOS!$C33)*(OFFSET(CÁLCULO!$AA$15:$AA$89,0,O$13))),2),0)</f>
        <v>0</v>
      </c>
      <c r="P33" s="543" cm="1">
        <f t="array" aca="1" ref="P33" ca="1">IF(AUTOEVENTO="Manual",ROUND(SUMPRODUCT((CÁLCULO!$M$15:$M$89=EVENTOS!$C33)*(OFFSET(CÁLCULO!$AA$15:$AA$89,0,P$13))),2),0)</f>
        <v>0</v>
      </c>
      <c r="Q33" s="543" cm="1">
        <f t="array" aca="1" ref="Q33" ca="1">IF(AUTOEVENTO="Manual",ROUND(SUMPRODUCT((CÁLCULO!$M$15:$M$89=EVENTOS!$C33)*(OFFSET(CÁLCULO!$AA$15:$AA$89,0,Q$13))),2),0)</f>
        <v>0</v>
      </c>
      <c r="R33" s="543" cm="1">
        <f t="array" aca="1" ref="R33" ca="1">IF(AUTOEVENTO="Manual",ROUND(SUMPRODUCT((CÁLCULO!$M$15:$M$89=EVENTOS!$C33)*(OFFSET(CÁLCULO!$AA$15:$AA$89,0,R$13))),2),0)</f>
        <v>0</v>
      </c>
      <c r="S33" s="543" cm="1">
        <f t="array" aca="1" ref="S33" ca="1">IF(AUTOEVENTO="Manual",ROUND(SUMPRODUCT((CÁLCULO!$M$15:$M$89=EVENTOS!$C33)*(OFFSET(CÁLCULO!$AA$15:$AA$89,0,S$13))),2),0)</f>
        <v>0</v>
      </c>
      <c r="T33" s="543" cm="1">
        <f t="array" aca="1" ref="T33" ca="1">IF(AUTOEVENTO="Manual",ROUND(SUMPRODUCT((CÁLCULO!$M$15:$M$89=EVENTOS!$C33)*(OFFSET(CÁLCULO!$AA$15:$AA$89,0,T$13))),2),0)</f>
        <v>0</v>
      </c>
      <c r="U33" s="543" cm="1">
        <f t="array" aca="1" ref="U33" ca="1">IF(AUTOEVENTO="Manual",ROUND(SUMPRODUCT((CÁLCULO!$M$15:$M$89=EVENTOS!$C33)*(OFFSET(CÁLCULO!$AA$15:$AA$89,0,U$13))),2),0)</f>
        <v>0</v>
      </c>
      <c r="V33" s="543" cm="1">
        <f t="array" aca="1" ref="V33" ca="1">IF(AUTOEVENTO="Manual",ROUND(SUMPRODUCT((CÁLCULO!$M$15:$M$89=EVENTOS!$C33)*(OFFSET(CÁLCULO!$AA$15:$AA$89,0,V$13))),2),0)</f>
        <v>0</v>
      </c>
      <c r="W33" s="543" cm="1">
        <f t="array" aca="1" ref="W33" ca="1">IF(AUTOEVENTO="Manual",ROUND(SUMPRODUCT((CÁLCULO!$M$15:$M$89=EVENTOS!$C33)*(OFFSET(CÁLCULO!$AA$15:$AA$89,0,W$13))),2),0)</f>
        <v>0</v>
      </c>
      <c r="X33" s="543" cm="1">
        <f t="array" aca="1" ref="X33" ca="1">IF(AUTOEVENTO="Manual",ROUND(SUMPRODUCT((CÁLCULO!$M$15:$M$89=EVENTOS!$C33)*(OFFSET(CÁLCULO!$AA$15:$AA$89,0,X$13))),2),0)</f>
        <v>0</v>
      </c>
      <c r="Y33" s="543" cm="1">
        <f t="array" aca="1" ref="Y33" ca="1">IF(AUTOEVENTO="Manual",ROUND(SUMPRODUCT((CÁLCULO!$M$15:$M$89=EVENTOS!$C33)*(OFFSET(CÁLCULO!$AA$15:$AA$89,0,Y$13))),2),0)</f>
        <v>0</v>
      </c>
    </row>
    <row r="34" spans="1:25" x14ac:dyDescent="0.2">
      <c r="A34" s="546" t="str">
        <f t="shared" si="3"/>
        <v/>
      </c>
      <c r="B34" t="str">
        <f t="shared" ca="1" si="4"/>
        <v/>
      </c>
      <c r="C34" s="191" t="str" cm="1">
        <f t="array" aca="1" ref="C34" ca="1">IF(OR(ROW(C34)=ROW(EVENTOS.firstrow)+1,AND(OFFSET(C34,-1,0)&lt;&gt;" ",OFFSET(C34,-1,1)&lt;&gt;"")),OFFSET(C34,-1,0)+1," ")</f>
        <v xml:space="preserve"> </v>
      </c>
      <c r="D34" s="532"/>
      <c r="E34" s="543" cm="1">
        <f t="array" aca="1" ref="E34" ca="1">IF(AUTOEVENTO="Manual",ROUND(SUMPRODUCT((CÁLCULO!$M$15:$M$89=EVENTOS!$C34)*(OFFSET(CÁLCULO!$AA$15:$AA$89,0,E$13))),2),0)</f>
        <v>0</v>
      </c>
      <c r="F34" s="192">
        <f ca="1">IF(AUTOEVENTO="Manual",ROUND(SUMPRODUCT((CÁLCULO!$M$15:$M$89=EVENTOS!$C34)*(OFFSET(CÁLCULO!$AA$15,0,1):OFFSET(CÁLCULO!$AL$89,0,-1))),2),0)</f>
        <v>0</v>
      </c>
      <c r="G34" s="627" t="str">
        <f ca="1">IF(AND(D34=0,F34&gt;0),"NOME",
 IF(AND(D34&lt;&gt;0,$F$14&gt;0,F34=0),"VALOR",
 IF(AND(Import.TipoArredondamento="TransfereGOV",$A34="F",LEN(D34)&gt;100),"Nome &gt;100","")))</f>
        <v/>
      </c>
      <c r="H34" s="543" cm="1">
        <f t="array" aca="1" ref="H34" ca="1">IF(AUTOEVENTO="Manual",ROUND(SUMPRODUCT((CÁLCULO!$M$15:$M$89=EVENTOS!$C34)*(OFFSET(CÁLCULO!$AA$15:$AA$89,0,H$13))),2),0)</f>
        <v>0</v>
      </c>
      <c r="I34" s="543" cm="1">
        <f t="array" aca="1" ref="I34" ca="1">IF(AUTOEVENTO="Manual",ROUND(SUMPRODUCT((CÁLCULO!$M$15:$M$89=EVENTOS!$C34)*(OFFSET(CÁLCULO!$AA$15:$AA$89,0,I$13))),2),0)</f>
        <v>0</v>
      </c>
      <c r="J34" s="543" cm="1">
        <f t="array" aca="1" ref="J34" ca="1">IF(AUTOEVENTO="Manual",ROUND(SUMPRODUCT((CÁLCULO!$M$15:$M$89=EVENTOS!$C34)*(OFFSET(CÁLCULO!$AA$15:$AA$89,0,J$13))),2),0)</f>
        <v>0</v>
      </c>
      <c r="K34" s="543" cm="1">
        <f t="array" aca="1" ref="K34" ca="1">IF(AUTOEVENTO="Manual",ROUND(SUMPRODUCT((CÁLCULO!$M$15:$M$89=EVENTOS!$C34)*(OFFSET(CÁLCULO!$AA$15:$AA$89,0,K$13))),2),0)</f>
        <v>0</v>
      </c>
      <c r="L34" s="543" cm="1">
        <f t="array" aca="1" ref="L34" ca="1">IF(AUTOEVENTO="Manual",ROUND(SUMPRODUCT((CÁLCULO!$M$15:$M$89=EVENTOS!$C34)*(OFFSET(CÁLCULO!$AA$15:$AA$89,0,L$13))),2),0)</f>
        <v>0</v>
      </c>
      <c r="M34" s="543" cm="1">
        <f t="array" aca="1" ref="M34" ca="1">IF(AUTOEVENTO="Manual",ROUND(SUMPRODUCT((CÁLCULO!$M$15:$M$89=EVENTOS!$C34)*(OFFSET(CÁLCULO!$AA$15:$AA$89,0,M$13))),2),0)</f>
        <v>0</v>
      </c>
      <c r="N34" s="543" cm="1">
        <f t="array" aca="1" ref="N34" ca="1">IF(AUTOEVENTO="Manual",ROUND(SUMPRODUCT((CÁLCULO!$M$15:$M$89=EVENTOS!$C34)*(OFFSET(CÁLCULO!$AA$15:$AA$89,0,N$13))),2),0)</f>
        <v>0</v>
      </c>
      <c r="O34" s="543" cm="1">
        <f t="array" aca="1" ref="O34" ca="1">IF(AUTOEVENTO="Manual",ROUND(SUMPRODUCT((CÁLCULO!$M$15:$M$89=EVENTOS!$C34)*(OFFSET(CÁLCULO!$AA$15:$AA$89,0,O$13))),2),0)</f>
        <v>0</v>
      </c>
      <c r="P34" s="543" cm="1">
        <f t="array" aca="1" ref="P34" ca="1">IF(AUTOEVENTO="Manual",ROUND(SUMPRODUCT((CÁLCULO!$M$15:$M$89=EVENTOS!$C34)*(OFFSET(CÁLCULO!$AA$15:$AA$89,0,P$13))),2),0)</f>
        <v>0</v>
      </c>
      <c r="Q34" s="543" cm="1">
        <f t="array" aca="1" ref="Q34" ca="1">IF(AUTOEVENTO="Manual",ROUND(SUMPRODUCT((CÁLCULO!$M$15:$M$89=EVENTOS!$C34)*(OFFSET(CÁLCULO!$AA$15:$AA$89,0,Q$13))),2),0)</f>
        <v>0</v>
      </c>
      <c r="R34" s="543" cm="1">
        <f t="array" aca="1" ref="R34" ca="1">IF(AUTOEVENTO="Manual",ROUND(SUMPRODUCT((CÁLCULO!$M$15:$M$89=EVENTOS!$C34)*(OFFSET(CÁLCULO!$AA$15:$AA$89,0,R$13))),2),0)</f>
        <v>0</v>
      </c>
      <c r="S34" s="543" cm="1">
        <f t="array" aca="1" ref="S34" ca="1">IF(AUTOEVENTO="Manual",ROUND(SUMPRODUCT((CÁLCULO!$M$15:$M$89=EVENTOS!$C34)*(OFFSET(CÁLCULO!$AA$15:$AA$89,0,S$13))),2),0)</f>
        <v>0</v>
      </c>
      <c r="T34" s="543" cm="1">
        <f t="array" aca="1" ref="T34" ca="1">IF(AUTOEVENTO="Manual",ROUND(SUMPRODUCT((CÁLCULO!$M$15:$M$89=EVENTOS!$C34)*(OFFSET(CÁLCULO!$AA$15:$AA$89,0,T$13))),2),0)</f>
        <v>0</v>
      </c>
      <c r="U34" s="543" cm="1">
        <f t="array" aca="1" ref="U34" ca="1">IF(AUTOEVENTO="Manual",ROUND(SUMPRODUCT((CÁLCULO!$M$15:$M$89=EVENTOS!$C34)*(OFFSET(CÁLCULO!$AA$15:$AA$89,0,U$13))),2),0)</f>
        <v>0</v>
      </c>
      <c r="V34" s="543" cm="1">
        <f t="array" aca="1" ref="V34" ca="1">IF(AUTOEVENTO="Manual",ROUND(SUMPRODUCT((CÁLCULO!$M$15:$M$89=EVENTOS!$C34)*(OFFSET(CÁLCULO!$AA$15:$AA$89,0,V$13))),2),0)</f>
        <v>0</v>
      </c>
      <c r="W34" s="543" cm="1">
        <f t="array" aca="1" ref="W34" ca="1">IF(AUTOEVENTO="Manual",ROUND(SUMPRODUCT((CÁLCULO!$M$15:$M$89=EVENTOS!$C34)*(OFFSET(CÁLCULO!$AA$15:$AA$89,0,W$13))),2),0)</f>
        <v>0</v>
      </c>
      <c r="X34" s="543" cm="1">
        <f t="array" aca="1" ref="X34" ca="1">IF(AUTOEVENTO="Manual",ROUND(SUMPRODUCT((CÁLCULO!$M$15:$M$89=EVENTOS!$C34)*(OFFSET(CÁLCULO!$AA$15:$AA$89,0,X$13))),2),0)</f>
        <v>0</v>
      </c>
      <c r="Y34" s="543" cm="1">
        <f t="array" aca="1" ref="Y34" ca="1">IF(AUTOEVENTO="Manual",ROUND(SUMPRODUCT((CÁLCULO!$M$15:$M$89=EVENTOS!$C34)*(OFFSET(CÁLCULO!$AA$15:$AA$89,0,Y$13))),2),0)</f>
        <v>0</v>
      </c>
    </row>
    <row r="35" spans="1:25" x14ac:dyDescent="0.2">
      <c r="A35" s="546" t="str">
        <f t="shared" si="3"/>
        <v/>
      </c>
      <c r="B35" t="str">
        <f t="shared" ca="1" si="4"/>
        <v/>
      </c>
      <c r="C35" s="191" t="str" cm="1">
        <f t="array" aca="1" ref="C35" ca="1">IF(OR(ROW(C35)=ROW(EVENTOS.firstrow)+1,AND(OFFSET(C35,-1,0)&lt;&gt;" ",OFFSET(C35,-1,1)&lt;&gt;"")),OFFSET(C35,-1,0)+1," ")</f>
        <v xml:space="preserve"> </v>
      </c>
      <c r="D35" s="532"/>
      <c r="E35" s="543" cm="1">
        <f t="array" aca="1" ref="E35" ca="1">IF(AUTOEVENTO="Manual",ROUND(SUMPRODUCT((CÁLCULO!$M$15:$M$89=EVENTOS!$C35)*(OFFSET(CÁLCULO!$AA$15:$AA$89,0,E$13))),2),0)</f>
        <v>0</v>
      </c>
      <c r="F35" s="192">
        <f ca="1">IF(AUTOEVENTO="Manual",ROUND(SUMPRODUCT((CÁLCULO!$M$15:$M$89=EVENTOS!$C35)*(OFFSET(CÁLCULO!$AA$15,0,1):OFFSET(CÁLCULO!$AL$89,0,-1))),2),0)</f>
        <v>0</v>
      </c>
      <c r="G35" s="627" t="str">
        <f ca="1">IF(AND(D35=0,F35&gt;0),"NOME",
 IF(AND(D35&lt;&gt;0,$F$14&gt;0,F35=0),"VALOR",
 IF(AND(Import.TipoArredondamento="TransfereGOV",$A35="F",LEN(D35)&gt;100),"Nome &gt;100","")))</f>
        <v/>
      </c>
      <c r="H35" s="543" cm="1">
        <f t="array" aca="1" ref="H35" ca="1">IF(AUTOEVENTO="Manual",ROUND(SUMPRODUCT((CÁLCULO!$M$15:$M$89=EVENTOS!$C35)*(OFFSET(CÁLCULO!$AA$15:$AA$89,0,H$13))),2),0)</f>
        <v>0</v>
      </c>
      <c r="I35" s="543" cm="1">
        <f t="array" aca="1" ref="I35" ca="1">IF(AUTOEVENTO="Manual",ROUND(SUMPRODUCT((CÁLCULO!$M$15:$M$89=EVENTOS!$C35)*(OFFSET(CÁLCULO!$AA$15:$AA$89,0,I$13))),2),0)</f>
        <v>0</v>
      </c>
      <c r="J35" s="543" cm="1">
        <f t="array" aca="1" ref="J35" ca="1">IF(AUTOEVENTO="Manual",ROUND(SUMPRODUCT((CÁLCULO!$M$15:$M$89=EVENTOS!$C35)*(OFFSET(CÁLCULO!$AA$15:$AA$89,0,J$13))),2),0)</f>
        <v>0</v>
      </c>
      <c r="K35" s="543" cm="1">
        <f t="array" aca="1" ref="K35" ca="1">IF(AUTOEVENTO="Manual",ROUND(SUMPRODUCT((CÁLCULO!$M$15:$M$89=EVENTOS!$C35)*(OFFSET(CÁLCULO!$AA$15:$AA$89,0,K$13))),2),0)</f>
        <v>0</v>
      </c>
      <c r="L35" s="543" cm="1">
        <f t="array" aca="1" ref="L35" ca="1">IF(AUTOEVENTO="Manual",ROUND(SUMPRODUCT((CÁLCULO!$M$15:$M$89=EVENTOS!$C35)*(OFFSET(CÁLCULO!$AA$15:$AA$89,0,L$13))),2),0)</f>
        <v>0</v>
      </c>
      <c r="M35" s="543" cm="1">
        <f t="array" aca="1" ref="M35" ca="1">IF(AUTOEVENTO="Manual",ROUND(SUMPRODUCT((CÁLCULO!$M$15:$M$89=EVENTOS!$C35)*(OFFSET(CÁLCULO!$AA$15:$AA$89,0,M$13))),2),0)</f>
        <v>0</v>
      </c>
      <c r="N35" s="543" cm="1">
        <f t="array" aca="1" ref="N35" ca="1">IF(AUTOEVENTO="Manual",ROUND(SUMPRODUCT((CÁLCULO!$M$15:$M$89=EVENTOS!$C35)*(OFFSET(CÁLCULO!$AA$15:$AA$89,0,N$13))),2),0)</f>
        <v>0</v>
      </c>
      <c r="O35" s="543" cm="1">
        <f t="array" aca="1" ref="O35" ca="1">IF(AUTOEVENTO="Manual",ROUND(SUMPRODUCT((CÁLCULO!$M$15:$M$89=EVENTOS!$C35)*(OFFSET(CÁLCULO!$AA$15:$AA$89,0,O$13))),2),0)</f>
        <v>0</v>
      </c>
      <c r="P35" s="543" cm="1">
        <f t="array" aca="1" ref="P35" ca="1">IF(AUTOEVENTO="Manual",ROUND(SUMPRODUCT((CÁLCULO!$M$15:$M$89=EVENTOS!$C35)*(OFFSET(CÁLCULO!$AA$15:$AA$89,0,P$13))),2),0)</f>
        <v>0</v>
      </c>
      <c r="Q35" s="543" cm="1">
        <f t="array" aca="1" ref="Q35" ca="1">IF(AUTOEVENTO="Manual",ROUND(SUMPRODUCT((CÁLCULO!$M$15:$M$89=EVENTOS!$C35)*(OFFSET(CÁLCULO!$AA$15:$AA$89,0,Q$13))),2),0)</f>
        <v>0</v>
      </c>
      <c r="R35" s="543" cm="1">
        <f t="array" aca="1" ref="R35" ca="1">IF(AUTOEVENTO="Manual",ROUND(SUMPRODUCT((CÁLCULO!$M$15:$M$89=EVENTOS!$C35)*(OFFSET(CÁLCULO!$AA$15:$AA$89,0,R$13))),2),0)</f>
        <v>0</v>
      </c>
      <c r="S35" s="543" cm="1">
        <f t="array" aca="1" ref="S35" ca="1">IF(AUTOEVENTO="Manual",ROUND(SUMPRODUCT((CÁLCULO!$M$15:$M$89=EVENTOS!$C35)*(OFFSET(CÁLCULO!$AA$15:$AA$89,0,S$13))),2),0)</f>
        <v>0</v>
      </c>
      <c r="T35" s="543" cm="1">
        <f t="array" aca="1" ref="T35" ca="1">IF(AUTOEVENTO="Manual",ROUND(SUMPRODUCT((CÁLCULO!$M$15:$M$89=EVENTOS!$C35)*(OFFSET(CÁLCULO!$AA$15:$AA$89,0,T$13))),2),0)</f>
        <v>0</v>
      </c>
      <c r="U35" s="543" cm="1">
        <f t="array" aca="1" ref="U35" ca="1">IF(AUTOEVENTO="Manual",ROUND(SUMPRODUCT((CÁLCULO!$M$15:$M$89=EVENTOS!$C35)*(OFFSET(CÁLCULO!$AA$15:$AA$89,0,U$13))),2),0)</f>
        <v>0</v>
      </c>
      <c r="V35" s="543" cm="1">
        <f t="array" aca="1" ref="V35" ca="1">IF(AUTOEVENTO="Manual",ROUND(SUMPRODUCT((CÁLCULO!$M$15:$M$89=EVENTOS!$C35)*(OFFSET(CÁLCULO!$AA$15:$AA$89,0,V$13))),2),0)</f>
        <v>0</v>
      </c>
      <c r="W35" s="543" cm="1">
        <f t="array" aca="1" ref="W35" ca="1">IF(AUTOEVENTO="Manual",ROUND(SUMPRODUCT((CÁLCULO!$M$15:$M$89=EVENTOS!$C35)*(OFFSET(CÁLCULO!$AA$15:$AA$89,0,W$13))),2),0)</f>
        <v>0</v>
      </c>
      <c r="X35" s="543" cm="1">
        <f t="array" aca="1" ref="X35" ca="1">IF(AUTOEVENTO="Manual",ROUND(SUMPRODUCT((CÁLCULO!$M$15:$M$89=EVENTOS!$C35)*(OFFSET(CÁLCULO!$AA$15:$AA$89,0,X$13))),2),0)</f>
        <v>0</v>
      </c>
      <c r="Y35" s="543" cm="1">
        <f t="array" aca="1" ref="Y35" ca="1">IF(AUTOEVENTO="Manual",ROUND(SUMPRODUCT((CÁLCULO!$M$15:$M$89=EVENTOS!$C35)*(OFFSET(CÁLCULO!$AA$15:$AA$89,0,Y$13))),2),0)</f>
        <v>0</v>
      </c>
    </row>
    <row r="36" spans="1:25" ht="5.0999999999999996" customHeight="1" x14ac:dyDescent="0.2">
      <c r="A36" s="546" t="s">
        <v>244</v>
      </c>
      <c r="C36" s="186"/>
      <c r="D36" s="193"/>
      <c r="E36" s="593"/>
      <c r="F36" s="194"/>
      <c r="G36" s="530"/>
      <c r="H36" s="593"/>
      <c r="I36" s="593"/>
      <c r="J36" s="593"/>
      <c r="K36" s="593"/>
      <c r="L36" s="593"/>
      <c r="M36" s="593"/>
      <c r="N36" s="593"/>
      <c r="O36" s="593"/>
      <c r="P36" s="593"/>
      <c r="Q36" s="593"/>
      <c r="R36" s="593"/>
      <c r="S36" s="593"/>
      <c r="T36" s="593"/>
      <c r="U36" s="593"/>
      <c r="V36" s="593"/>
      <c r="W36" s="593"/>
      <c r="X36" s="593"/>
      <c r="Y36" s="593"/>
    </row>
    <row r="37" spans="1:25" x14ac:dyDescent="0.2">
      <c r="A37" s="546" t="s">
        <v>244</v>
      </c>
    </row>
    <row r="38" spans="1:25" x14ac:dyDescent="0.2">
      <c r="A38" s="546" t="s">
        <v>244</v>
      </c>
    </row>
    <row r="39" spans="1:25" ht="15" x14ac:dyDescent="0.2">
      <c r="A39" s="546" t="s">
        <v>244</v>
      </c>
      <c r="D39" s="528" t="str">
        <f>Import.Município</f>
        <v>SARANDI/RS</v>
      </c>
      <c r="L39" s="492"/>
      <c r="M39" s="435"/>
      <c r="N39" s="435"/>
      <c r="O39" s="435"/>
      <c r="V39" s="492"/>
      <c r="W39" s="435"/>
      <c r="X39" s="435"/>
      <c r="Y39" s="435"/>
    </row>
    <row r="40" spans="1:25" x14ac:dyDescent="0.2">
      <c r="A40" s="546" t="s">
        <v>244</v>
      </c>
      <c r="D40" s="10" t="s">
        <v>186</v>
      </c>
      <c r="H40" s="594"/>
      <c r="I40" s="594"/>
      <c r="J40" s="594"/>
      <c r="L40" s="190" t="s">
        <v>188</v>
      </c>
      <c r="V40" s="190" t="s">
        <v>188</v>
      </c>
    </row>
    <row r="41" spans="1:25" x14ac:dyDescent="0.2">
      <c r="A41" s="546" t="s">
        <v>244</v>
      </c>
      <c r="H41" s="594"/>
      <c r="I41" s="594"/>
      <c r="J41" s="594"/>
      <c r="L41" s="413" t="str">
        <f t="array" aca="1" ref="L41:L43" ca="1">OFFSET(Import.RespOrçamento,0,-1) &amp; " " &amp; Import.RespOrçamento</f>
        <v xml:space="preserve">Nome: MARCIELE FLORES </v>
      </c>
      <c r="V41" s="413" t="str">
        <f t="array" aca="1" ref="V41:V43" ca="1">OFFSET(Import.RespOrçamento,0,-1) &amp; " " &amp; Import.RespOrçamento</f>
        <v xml:space="preserve">Nome: MARCIELE FLORES </v>
      </c>
    </row>
    <row r="42" spans="1:25" x14ac:dyDescent="0.2">
      <c r="A42" s="546" t="s">
        <v>244</v>
      </c>
      <c r="D42" s="529">
        <f>DADOS!$C$25</f>
        <v>46161</v>
      </c>
      <c r="L42" s="413" t="str">
        <f ca="1"/>
        <v>CREA/CAU: CREA/RS 268.201</v>
      </c>
      <c r="V42" s="413" t="str">
        <f ca="1"/>
        <v>CREA/CAU: CREA/RS 268.201</v>
      </c>
    </row>
    <row r="43" spans="1:25" x14ac:dyDescent="0.2">
      <c r="A43" s="546" t="s">
        <v>244</v>
      </c>
      <c r="D43" s="10" t="s">
        <v>187</v>
      </c>
      <c r="L43" s="413" t="str">
        <f ca="1"/>
        <v>ART/RRT: 0</v>
      </c>
      <c r="V43" s="413" t="str">
        <f ca="1"/>
        <v>ART/RRT: 0</v>
      </c>
    </row>
  </sheetData>
  <sheetProtection algorithmName="SHA-512" hashValue="d6+JWhItIRP1YaMIuEnJlw+F/EJGaaD//Ia8f8qkK0BVQIdlwrwmWPIA56i/EPpS4tQ6XVpBjKb6lEicnJfqSQ==" saltValue="6rI2W8kj4yTqaw5x1V+yFA==" spinCount="100000" sheet="1" objects="1" scenarios="1"/>
  <autoFilter ref="A13:A43"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3 K10:Y13 C14:Y15 C1:Z1 Z10:Z15 C16:Z36">
    <cfRule type="expression" dxfId="309" priority="1" stopIfTrue="1">
      <formula>OR(AUTOEVENTO&lt;&gt;"Manual",ACOMPANHAMENTO="BM",C$10=0,C$13=0,$C1=" ")</formula>
    </cfRule>
  </conditionalFormatting>
  <conditionalFormatting sqref="A15 C15:XFD15">
    <cfRule type="expression" dxfId="308" priority="151">
      <formula>$C$15=0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2" firstPageNumber="0" orientation="portrait" horizontalDpi="300" verticalDpi="300" r:id="rId1"/>
  <headerFooter alignWithMargins="0">
    <oddHeader>&amp;L_</oddHeader>
    <oddFooter>&amp;LPMv3.08&amp;R&amp;P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57"/>
  <sheetViews>
    <sheetView showGridLines="0" zoomScale="115" zoomScaleNormal="115" zoomScaleSheetLayoutView="90" workbookViewId="0">
      <pane xSplit="8" ySplit="15" topLeftCell="J86" activePane="bottomRight" state="frozen"/>
      <selection activeCell="C1" sqref="C1"/>
      <selection pane="topRight" activeCell="I1" sqref="I1"/>
      <selection pane="bottomLeft" activeCell="C16" sqref="C16"/>
      <selection pane="bottomRight" activeCell="S88" sqref="S88"/>
    </sheetView>
  </sheetViews>
  <sheetFormatPr defaultRowHeight="0" customHeight="1" zeroHeight="1" x14ac:dyDescent="0.2"/>
  <cols>
    <col min="1"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1.5703125" customWidth="1"/>
    <col min="11" max="11" width="4.5703125" customWidth="1"/>
    <col min="12" max="12" width="0.85546875" customWidth="1"/>
    <col min="13" max="13" width="9.140625" style="7" hidden="1" customWidth="1"/>
    <col min="14" max="14" width="31.5703125" customWidth="1"/>
    <col min="15" max="15" width="9.140625" hidden="1" customWidth="1"/>
    <col min="16" max="16" width="1.5703125" customWidth="1"/>
    <col min="17" max="26" width="11.5703125" customWidth="1"/>
    <col min="27" max="59" width="9.140625" hidden="1" customWidth="1"/>
    <col min="60" max="60" width="1.5703125" hidden="1" customWidth="1"/>
  </cols>
  <sheetData>
    <row r="1" spans="1:59" ht="12.75" hidden="1" customHeight="1" x14ac:dyDescent="0.2">
      <c r="M1" s="7" cm="1">
        <f t="array" aca="1" ref="M1" ca="1">CÁLCULO.FrentesPreenchidas</f>
        <v>1</v>
      </c>
      <c r="O1" s="563">
        <f>IF(OR(ACOMPANHAMENTO="BM",N1=0,O12=""),0,1)</f>
        <v>0</v>
      </c>
      <c r="P1" t="s">
        <v>253</v>
      </c>
      <c r="Q1" s="563">
        <f>IF(OR(ACOMPANHAMENTO="BM",P1=0,Q12=""),0,1)</f>
        <v>1</v>
      </c>
      <c r="R1" s="563">
        <f>IF(OR(ACOMPANHAMENTO="BM",Q1=0,R12=""),0,1)</f>
        <v>0</v>
      </c>
      <c r="S1" s="563">
        <f>IF(OR(ACOMPANHAMENTO="BM",R1=0,S12=""),0,1)</f>
        <v>0</v>
      </c>
      <c r="T1" s="563">
        <f>IF(OR(ACOMPANHAMENTO="BM",S1=0,T12=""),0,1)</f>
        <v>0</v>
      </c>
      <c r="U1" s="563">
        <f>IF(OR(ACOMPANHAMENTO="BM",T1=0,U12=""),0,1)</f>
        <v>0</v>
      </c>
      <c r="V1" s="563">
        <f>IF(OR(ACOMPANHAMENTO="BM",U1=0,V12=""),0,1)</f>
        <v>0</v>
      </c>
      <c r="W1" s="563">
        <f>IF(OR(ACOMPANHAMENTO="BM",V1=0,W12=""),0,1)</f>
        <v>0</v>
      </c>
      <c r="X1" s="563">
        <f>IF(OR(ACOMPANHAMENTO="BM",W1=0,X12=""),0,1)</f>
        <v>0</v>
      </c>
      <c r="Y1" s="563">
        <f>IF(OR(ACOMPANHAMENTO="BM",X1=0,Y12=""),0,1)</f>
        <v>0</v>
      </c>
      <c r="Z1" s="563">
        <f>IF(OR(ACOMPANHAMENTO="BM",Y1=0,Z12=""),0,1)</f>
        <v>0</v>
      </c>
      <c r="AB1" t="s">
        <v>249</v>
      </c>
      <c r="AM1" t="s">
        <v>250</v>
      </c>
      <c r="AX1" t="s">
        <v>251</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23" t="str">
        <f>IF(ACOMPANHAMENTO="BM","MEMÓRIA DE CÁLCULO","PLQ - PLANILHA DE LEVANTAMENTO DE QUANTIDADES")</f>
        <v>PLQ - PLANILHA DE LEVANTAMENTO DE QUANTIDADES</v>
      </c>
      <c r="G6" s="723"/>
      <c r="H6" s="723"/>
      <c r="I6" s="147"/>
      <c r="K6" s="147"/>
      <c r="L6" s="147"/>
      <c r="M6" s="148"/>
      <c r="N6" s="147"/>
      <c r="P6" s="147"/>
      <c r="Q6" s="706" t="s">
        <v>139</v>
      </c>
      <c r="R6" s="706"/>
      <c r="Y6" s="706" t="s">
        <v>139</v>
      </c>
      <c r="Z6" s="706"/>
    </row>
    <row r="7" spans="1:59" ht="15" customHeight="1" x14ac:dyDescent="0.2">
      <c r="F7" s="724" t="str">
        <f>IF(ACOMPANHAMENTO="BM","","Memória de Cálculo")&amp;" - "&amp;import.recurso</f>
        <v>Memória de Cálculo - OGU</v>
      </c>
      <c r="G7" s="724"/>
      <c r="H7" s="724"/>
      <c r="I7" s="149"/>
      <c r="K7" s="149"/>
      <c r="L7" s="149"/>
      <c r="M7" s="150"/>
      <c r="N7" s="149"/>
      <c r="P7" s="149"/>
      <c r="Q7" s="707" t="s">
        <v>142</v>
      </c>
      <c r="R7" s="707"/>
      <c r="Y7" s="707" t="s">
        <v>142</v>
      </c>
      <c r="Z7" s="707"/>
    </row>
    <row r="8" spans="1:59" ht="12.75" customHeight="1" x14ac:dyDescent="0.2">
      <c r="AE8" s="510"/>
    </row>
    <row r="9" spans="1:59" ht="12.75" customHeight="1" x14ac:dyDescent="0.2">
      <c r="E9" s="662" t="s">
        <v>200</v>
      </c>
      <c r="F9" s="662"/>
      <c r="G9" s="662" t="s">
        <v>422</v>
      </c>
      <c r="H9" s="662"/>
      <c r="I9" s="89" t="s">
        <v>145</v>
      </c>
      <c r="K9" s="151" t="s">
        <v>146</v>
      </c>
      <c r="L9" s="152"/>
      <c r="M9" s="152"/>
      <c r="N9" s="152"/>
      <c r="O9" s="152"/>
      <c r="P9" s="152"/>
      <c r="Q9" s="152"/>
      <c r="R9" s="153"/>
      <c r="S9" s="662" t="s">
        <v>145</v>
      </c>
      <c r="T9" s="662"/>
      <c r="U9" s="662" t="s">
        <v>146</v>
      </c>
      <c r="V9" s="662"/>
      <c r="W9" s="662"/>
      <c r="X9" s="662"/>
      <c r="Y9" s="662"/>
      <c r="Z9" s="662"/>
    </row>
    <row r="10" spans="1:59" ht="12.75" customHeight="1" x14ac:dyDescent="0.2">
      <c r="E10" s="668" t="str">
        <f>Import.Apelido</f>
        <v>PAVILHÃO COMUNITÁRIO COMUNIDADE ÁREA 10</v>
      </c>
      <c r="F10" s="668"/>
      <c r="G10" s="668" t="str" cm="1">
        <f t="array" ref="G10">Import.TransfereGOV</f>
        <v>000000</v>
      </c>
      <c r="H10" s="668"/>
      <c r="I10" s="92" t="str">
        <f>Import.CR</f>
        <v>000000-00</v>
      </c>
      <c r="K10" s="154" t="str">
        <f>Import.Proponente</f>
        <v>PREFEITURA MUNICIPAL DE SARANDI/RS</v>
      </c>
      <c r="L10" s="155"/>
      <c r="M10" s="102"/>
      <c r="N10" s="155"/>
      <c r="O10" s="155"/>
      <c r="P10" s="155"/>
      <c r="Q10" s="155"/>
      <c r="R10" s="93"/>
      <c r="S10" s="668" t="str">
        <f>Import.CR</f>
        <v>000000-00</v>
      </c>
      <c r="T10" s="668"/>
      <c r="U10" s="668" t="str">
        <f>Import.Proponente</f>
        <v>PREFEITURA MUNICIPAL DE SARANDI/RS</v>
      </c>
      <c r="V10" s="668"/>
      <c r="W10" s="668"/>
      <c r="X10" s="668"/>
      <c r="Y10" s="668"/>
      <c r="Z10" s="668"/>
    </row>
    <row r="11" spans="1:59" ht="12.75" customHeight="1" x14ac:dyDescent="0.2">
      <c r="F11" s="621" t="str">
        <f ca="1">IF(AND(ACOMPANHAMENTO="PLE",CÁLCULO.FrentesPreenchidas=0),"Preencher os nomes das Frentes de Obra",
  IF(COUNTIF($J$15:$J$89,"►")&gt;0,"Não pode haver serviços sem agrupador de eventos",
  IF(COUNTIF($P$11:$AA$11,"▼")&gt;0,"Não pode haver frentes de obra sem quantidades",
  IF(COUNTIF($P$11:$AA$11,"Nome &gt;100")&gt;0,"Nome da frente de obra com mais de 100 caracteres",""))))</f>
        <v>Não pode haver frentes de obra sem quantidades</v>
      </c>
      <c r="N11" s="631" t="str">
        <f ca="1">IF(OR(COUNTIF($J$15:$J$89,"►")&gt;0,COUNTIF($J$15:$J$89,"►►")&gt;0),"",
IF(COUNTIF($P$11:$AA$11,"▼")&gt;0,"Falta preencher a frente de obra nº " &amp; HLOOKUP("▼",$P$11:$AA$13,3,FALSE),
IF(COUNTIF($P$11:$AA$11,"Nome &gt;100")&gt;0,"Resuma o nome da frente de obra nº " &amp; HLOOKUP("Nome &gt;100",$P$11:$AA$13,3,FALSE),"")))</f>
        <v>Falta preencher a frente de obra nº 1</v>
      </c>
      <c r="O11" s="620" t="e">
        <f ca="1">IF(AND(O1=1,O15=0),"▼",IF(AND(O1=1,LEN(O12)&gt;100),"Nome &gt;100",""))</f>
        <v>#VALUE!</v>
      </c>
      <c r="P11" s="7"/>
      <c r="Q11" s="620" t="str">
        <f ca="1">IF(AND(Q1=1,Q15=0),"▼",IF(AND(Q1=1,LEN(Q12)&gt;100),"Nome &gt;100",""))</f>
        <v>▼</v>
      </c>
      <c r="R11" s="620" t="str">
        <f t="shared" ref="R11:Z11" ca="1" si="0">IF(AND(R1=1,R15=0),"▼",IF(AND(R1=1,LEN(R12)&gt;100),"Nome &gt;100",""))</f>
        <v/>
      </c>
      <c r="S11" s="620" t="str">
        <f t="shared" ca="1" si="0"/>
        <v/>
      </c>
      <c r="T11" s="620" t="str">
        <f t="shared" ca="1" si="0"/>
        <v/>
      </c>
      <c r="U11" s="620" t="str">
        <f t="shared" ca="1" si="0"/>
        <v/>
      </c>
      <c r="V11" s="620" t="str">
        <f t="shared" ca="1" si="0"/>
        <v/>
      </c>
      <c r="W11" s="620" t="str">
        <f t="shared" ca="1" si="0"/>
        <v/>
      </c>
      <c r="X11" s="620" t="str">
        <f t="shared" ca="1" si="0"/>
        <v/>
      </c>
      <c r="Y11" s="620" t="str">
        <f t="shared" ca="1" si="0"/>
        <v/>
      </c>
      <c r="Z11" s="620" t="str">
        <f t="shared" ca="1" si="0"/>
        <v/>
      </c>
    </row>
    <row r="12" spans="1:59"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252</v>
      </c>
      <c r="C12" s="524" t="s">
        <v>207</v>
      </c>
      <c r="H12" s="157"/>
      <c r="I12" s="634" t="str">
        <f ca="1">IF(COUNTIF($J$15:$J$89,"►")&gt;0,"Falta Definir o Agrupador de Evento na linha "&amp;MATCH("►",$J$15:$J$89,0)+ROW($J$14),
  IF(COUNTIF($J$15:$J$89,"►►")&gt;0,"Falta preencher a quantidade do serviço na linha "&amp;MATCH("►►",$J$15:$J$89,0)+ROW($J$14),
  IF(AND(COUNTIF($P$11:$AA$11,"▼")=0,COUNTIF($J$15:$J$89,"◄")&gt;0),"Falta Preencher o Memorial de Cálculo na linha "&amp;MATCH("◄",$J$15:$J$89,0)+ROW($J$14),"")))</f>
        <v/>
      </c>
      <c r="J12" s="158" t="s">
        <v>253</v>
      </c>
      <c r="K12" s="159" t="s">
        <v>254</v>
      </c>
      <c r="L12" s="158" t="s">
        <v>253</v>
      </c>
      <c r="M12" s="626">
        <f ca="1">IF(ACOMPANHAMENTO="BM",0,MAX($M$15:$M$89))</f>
        <v>10</v>
      </c>
      <c r="N12" s="632" t="s">
        <v>255</v>
      </c>
      <c r="O12" s="160"/>
      <c r="P12" s="158" t="s">
        <v>253</v>
      </c>
      <c r="Q12" s="484" t="s">
        <v>1006</v>
      </c>
      <c r="R12" s="160"/>
      <c r="S12" s="160"/>
      <c r="T12" s="562"/>
      <c r="U12" s="160"/>
      <c r="V12" s="160"/>
      <c r="W12" s="160"/>
      <c r="X12" s="160"/>
      <c r="Y12" s="160"/>
      <c r="Z12" s="161"/>
      <c r="AA12" s="158" t="s">
        <v>253</v>
      </c>
      <c r="AB12" s="162" t="str">
        <f ca="1">IF(OFFSET($P$1,0,AB$13)=0,0,OFFSET($P$12,0,AB$13))</f>
        <v>GNIÁSIO 10</v>
      </c>
      <c r="AC12" s="162">
        <f t="shared" ref="AC12:AK12" ca="1" si="1">IF(OFFSET($P$1,0,AC$13)=0,0,OFFSET($P$12,0,AC$13))</f>
        <v>0</v>
      </c>
      <c r="AD12" s="162">
        <f t="shared" ca="1" si="1"/>
        <v>0</v>
      </c>
      <c r="AE12" s="162">
        <f t="shared" ca="1" si="1"/>
        <v>0</v>
      </c>
      <c r="AF12" s="162">
        <f t="shared" ca="1" si="1"/>
        <v>0</v>
      </c>
      <c r="AG12" s="162">
        <f t="shared" ca="1" si="1"/>
        <v>0</v>
      </c>
      <c r="AH12" s="162">
        <f t="shared" ca="1" si="1"/>
        <v>0</v>
      </c>
      <c r="AI12" s="162">
        <f t="shared" ca="1" si="1"/>
        <v>0</v>
      </c>
      <c r="AJ12" s="162">
        <f t="shared" ca="1" si="1"/>
        <v>0</v>
      </c>
      <c r="AK12" s="162">
        <f t="shared" ca="1" si="1"/>
        <v>0</v>
      </c>
      <c r="AM12" s="162" t="str">
        <f t="shared" ref="AM12:BG12" ca="1" si="2">IF(OFFSET($P$1,0,AM$13)=0,0,OFFSET($P$12,0,AM$13))</f>
        <v>GNIÁSIO 10</v>
      </c>
      <c r="AN12" s="163">
        <f t="shared" ca="1" si="2"/>
        <v>0</v>
      </c>
      <c r="AO12" s="163">
        <f t="shared" ca="1" si="2"/>
        <v>0</v>
      </c>
      <c r="AP12" s="163">
        <f t="shared" ca="1" si="2"/>
        <v>0</v>
      </c>
      <c r="AQ12" s="163">
        <f t="shared" ca="1" si="2"/>
        <v>0</v>
      </c>
      <c r="AR12" s="163">
        <f t="shared" ca="1" si="2"/>
        <v>0</v>
      </c>
      <c r="AS12" s="163">
        <f t="shared" ca="1" si="2"/>
        <v>0</v>
      </c>
      <c r="AT12" s="163">
        <f t="shared" ca="1" si="2"/>
        <v>0</v>
      </c>
      <c r="AU12" s="163">
        <f t="shared" ca="1" si="2"/>
        <v>0</v>
      </c>
      <c r="AV12" s="164">
        <f t="shared" ca="1" si="2"/>
        <v>0</v>
      </c>
      <c r="AX12" s="162" t="str">
        <f t="shared" ca="1" si="2"/>
        <v>GNIÁSIO 10</v>
      </c>
      <c r="AY12" s="163">
        <f t="shared" ca="1" si="2"/>
        <v>0</v>
      </c>
      <c r="AZ12" s="163">
        <f t="shared" ca="1" si="2"/>
        <v>0</v>
      </c>
      <c r="BA12" s="163">
        <f t="shared" ca="1" si="2"/>
        <v>0</v>
      </c>
      <c r="BB12" s="163">
        <f t="shared" ca="1" si="2"/>
        <v>0</v>
      </c>
      <c r="BC12" s="163">
        <f t="shared" ca="1" si="2"/>
        <v>0</v>
      </c>
      <c r="BD12" s="163">
        <f t="shared" ca="1" si="2"/>
        <v>0</v>
      </c>
      <c r="BE12" s="163">
        <f t="shared" ca="1" si="2"/>
        <v>0</v>
      </c>
      <c r="BF12" s="163">
        <f t="shared" ca="1" si="2"/>
        <v>0</v>
      </c>
      <c r="BG12" s="164">
        <f t="shared" ca="1" si="2"/>
        <v>0</v>
      </c>
    </row>
    <row r="13" spans="1:59" ht="12.75" customHeight="1" x14ac:dyDescent="0.2">
      <c r="A13" s="85" t="s">
        <v>256</v>
      </c>
      <c r="B13" s="7" t="s">
        <v>252</v>
      </c>
      <c r="C13" s="525" t="s">
        <v>215</v>
      </c>
      <c r="D13" s="109" t="s">
        <v>227</v>
      </c>
      <c r="E13" s="109" t="s">
        <v>229</v>
      </c>
      <c r="F13" s="109" t="s">
        <v>232</v>
      </c>
      <c r="G13" s="111" t="s">
        <v>233</v>
      </c>
      <c r="H13" s="109" t="s">
        <v>201</v>
      </c>
      <c r="I13" s="109" t="s">
        <v>257</v>
      </c>
      <c r="J13" s="565"/>
      <c r="K13" s="304" t="s">
        <v>258</v>
      </c>
      <c r="L13" s="158"/>
      <c r="M13" s="109" t="s">
        <v>259</v>
      </c>
      <c r="N13" s="109" t="s">
        <v>260</v>
      </c>
      <c r="O13" s="165" t="e">
        <f ca="1">OFFSET(O13,0,-1)+1</f>
        <v>#VALUE!</v>
      </c>
      <c r="Q13" s="166">
        <f t="shared" ref="Q13:Z13" ca="1" si="3">OFFSET(Q13,0,-1)+1</f>
        <v>1</v>
      </c>
      <c r="R13" s="165">
        <f t="shared" ca="1" si="3"/>
        <v>2</v>
      </c>
      <c r="S13" s="165">
        <f t="shared" ca="1" si="3"/>
        <v>3</v>
      </c>
      <c r="T13" s="165">
        <f t="shared" ca="1" si="3"/>
        <v>4</v>
      </c>
      <c r="U13" s="165">
        <f t="shared" ca="1" si="3"/>
        <v>5</v>
      </c>
      <c r="V13" s="165">
        <f t="shared" ca="1" si="3"/>
        <v>6</v>
      </c>
      <c r="W13" s="165">
        <f t="shared" ca="1" si="3"/>
        <v>7</v>
      </c>
      <c r="X13" s="165">
        <f t="shared" ca="1" si="3"/>
        <v>8</v>
      </c>
      <c r="Y13" s="165">
        <f t="shared" ca="1" si="3"/>
        <v>9</v>
      </c>
      <c r="Z13" s="167">
        <f t="shared" ca="1" si="3"/>
        <v>10</v>
      </c>
      <c r="AB13" s="115">
        <f t="shared" ref="AB13:BG13" ca="1" si="4">OFFSET(AB13,0,-1)+1</f>
        <v>1</v>
      </c>
      <c r="AC13" s="168">
        <f t="shared" ca="1" si="4"/>
        <v>2</v>
      </c>
      <c r="AD13" s="168">
        <f t="shared" ca="1" si="4"/>
        <v>3</v>
      </c>
      <c r="AE13" s="168">
        <f t="shared" ca="1" si="4"/>
        <v>4</v>
      </c>
      <c r="AF13" s="168">
        <f t="shared" ca="1" si="4"/>
        <v>5</v>
      </c>
      <c r="AG13" s="168">
        <f t="shared" ca="1" si="4"/>
        <v>6</v>
      </c>
      <c r="AH13" s="168">
        <f t="shared" ca="1" si="4"/>
        <v>7</v>
      </c>
      <c r="AI13" s="168">
        <f t="shared" ca="1" si="4"/>
        <v>8</v>
      </c>
      <c r="AJ13" s="168">
        <f t="shared" ca="1" si="4"/>
        <v>9</v>
      </c>
      <c r="AK13" s="169">
        <f t="shared" ca="1" si="4"/>
        <v>10</v>
      </c>
      <c r="AM13" s="115">
        <f t="shared" ca="1" si="4"/>
        <v>1</v>
      </c>
      <c r="AN13" s="168">
        <f t="shared" ca="1" si="4"/>
        <v>2</v>
      </c>
      <c r="AO13" s="168">
        <f t="shared" ca="1" si="4"/>
        <v>3</v>
      </c>
      <c r="AP13" s="168">
        <f t="shared" ca="1" si="4"/>
        <v>4</v>
      </c>
      <c r="AQ13" s="168">
        <f t="shared" ca="1" si="4"/>
        <v>5</v>
      </c>
      <c r="AR13" s="168">
        <f t="shared" ca="1" si="4"/>
        <v>6</v>
      </c>
      <c r="AS13" s="168">
        <f t="shared" ca="1" si="4"/>
        <v>7</v>
      </c>
      <c r="AT13" s="168">
        <f t="shared" ca="1" si="4"/>
        <v>8</v>
      </c>
      <c r="AU13" s="168">
        <f t="shared" ca="1" si="4"/>
        <v>9</v>
      </c>
      <c r="AV13" s="169">
        <f t="shared" ca="1" si="4"/>
        <v>10</v>
      </c>
      <c r="AX13" s="115">
        <f t="shared" ca="1" si="4"/>
        <v>1</v>
      </c>
      <c r="AY13" s="168">
        <f t="shared" ca="1" si="4"/>
        <v>2</v>
      </c>
      <c r="AZ13" s="168">
        <f t="shared" ca="1" si="4"/>
        <v>3</v>
      </c>
      <c r="BA13" s="168">
        <f t="shared" ca="1" si="4"/>
        <v>4</v>
      </c>
      <c r="BB13" s="168">
        <f t="shared" ca="1" si="4"/>
        <v>5</v>
      </c>
      <c r="BC13" s="168">
        <f t="shared" ca="1" si="4"/>
        <v>6</v>
      </c>
      <c r="BD13" s="168">
        <f t="shared" ca="1" si="4"/>
        <v>7</v>
      </c>
      <c r="BE13" s="168">
        <f t="shared" ca="1" si="4"/>
        <v>8</v>
      </c>
      <c r="BF13" s="168">
        <f t="shared" ca="1" si="4"/>
        <v>9</v>
      </c>
      <c r="BG13" s="169">
        <f t="shared" ca="1" si="4"/>
        <v>10</v>
      </c>
    </row>
    <row r="14" spans="1:59"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0" t="str">
        <f ca="1">OFFSET(ORÇAMENTO!R$15,ROW(F14)-ROW(F$15),0)</f>
        <v>(abra o arquivo 'Referência 04-2026.xlsm)</v>
      </c>
      <c r="G14" s="171" t="str">
        <f ca="1">IF($D14&lt;&gt;"Serviço","",OFFSET(ORÇAMENTO!S$15,ROW(G14)-ROW(G$15),0))</f>
        <v>-</v>
      </c>
      <c r="H14" s="124" cm="1">
        <f t="array" aca="1" ref="H14" ca="1">IF($D14&lt;&gt;"Serviço",0,IF(_xlfn.SINGLE(ACOMPANHAMENTO)="BM",ROUND(OFFSET(ORÇAMENTO!AJ$15,ROW(H14)-ROW(H$15),0),15-13*ORÇAMENTO!$AF$7),SUMPRODUCT(($Q$1:$AA$1)*ROUND($Q14:$AA14,15-13*ORÇAMENTO!$AF$7))))</f>
        <v>0</v>
      </c>
      <c r="I14" s="500"/>
      <c r="J14" s="633" t="e" cm="1">
        <f t="array" aca="1" ref="J14" ca="1">IF(B14&lt;&gt;"S","",IF(AND(ACOMPANHAMENTO="PLE",AUTOEVENTO="Manual",OR(H14&gt;0,ORÇAMENTO!AC14="QUANT."),OR(K14="",M14=0,N14="")),"►",IF(AND(ACOMPANHAMENTO="PLE",ORÇAMENTO!AC14="QUANT."),"►►",IF(AND(COUNTIF($P$11:$AA$11,"▼")=0,H14&gt;0,I14=""),"◄",""))))</f>
        <v>#VALUE!</v>
      </c>
      <c r="K14" s="624"/>
      <c r="L14" s="172" t="s">
        <v>253</v>
      </c>
      <c r="M14" s="173" t="str">
        <f ca="1">IF($D14&lt;&gt;"Serviço","",
          IF(AUTOEVENTO="manual",$A14,
                IF(ISERROR(MATCH($A14,$A$15:OFFSET($A14,-1,0),0)),MAX($M$15:OFFSET(M14,-1,0))+1,
                      INDEX($M$15:OFFSET(M14,-1,0),MATCH($A14,$A$15:OFFSET($A14,-1,0),0)))))</f>
        <v># Evento</v>
      </c>
      <c r="N14" s="174" t="e">
        <f ca="1">IF($D14&lt;&gt;"Serviço","",
         IF(AUTOEVENTO="Manual",
                IF($A14=0,"&lt;-- defina o número do agrupador",
                       OFFSET(EVENTOS!$D$15,$A14-$A$15,0)),
                OFFSET($F$15,$A14,0)))</f>
        <v>#VALUE!</v>
      </c>
      <c r="O14" s="175"/>
      <c r="Q14" s="175"/>
      <c r="R14" s="176"/>
      <c r="S14" s="176"/>
      <c r="T14" s="176"/>
      <c r="U14" s="176"/>
      <c r="V14" s="176"/>
      <c r="W14" s="176"/>
      <c r="X14" s="176"/>
      <c r="Y14" s="176"/>
      <c r="Z14" s="177"/>
      <c r="AB14" s="485">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85">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85">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85">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85">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85">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85">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85">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85">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85">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8" t="e">
        <f ca="1">IF(OR($D14&lt;&gt;"Serviço",AND(AUTOEVENTO="Manual",$M14=$A$15)),0,
         IF(OFFSET(CRONOPLE!$F$15,$M14-$A$15,AM$13)="",10^12,OFFSET(CRONOPLE!$F$15,$M14-$A$15,AM$13)))</f>
        <v>#VALUE!</v>
      </c>
      <c r="AN14" s="178" t="e">
        <f ca="1">IF(OR($D14&lt;&gt;"Serviço",AND(AUTOEVENTO="Manual",$M14=$A$15)),0,
         IF(OFFSET(CRONOPLE!$F$15,$M14-$A$15,AN$13)="",10^12,OFFSET(CRONOPLE!$F$15,$M14-$A$15,AN$13)))</f>
        <v>#VALUE!</v>
      </c>
      <c r="AO14" s="178" t="e">
        <f ca="1">IF(OR($D14&lt;&gt;"Serviço",AND(AUTOEVENTO="Manual",$M14=$A$15)),0,
         IF(OFFSET(CRONOPLE!$F$15,$M14-$A$15,AO$13)="",10^12,OFFSET(CRONOPLE!$F$15,$M14-$A$15,AO$13)))</f>
        <v>#VALUE!</v>
      </c>
      <c r="AP14" s="178" t="e">
        <f ca="1">IF(OR($D14&lt;&gt;"Serviço",AND(AUTOEVENTO="Manual",$M14=$A$15)),0,
         IF(OFFSET(CRONOPLE!$F$15,$M14-$A$15,AP$13)="",10^12,OFFSET(CRONOPLE!$F$15,$M14-$A$15,AP$13)))</f>
        <v>#VALUE!</v>
      </c>
      <c r="AQ14" s="178" t="e">
        <f ca="1">IF(OR($D14&lt;&gt;"Serviço",AND(AUTOEVENTO="Manual",$M14=$A$15)),0,
         IF(OFFSET(CRONOPLE!$F$15,$M14-$A$15,AQ$13)="",10^12,OFFSET(CRONOPLE!$F$15,$M14-$A$15,AQ$13)))</f>
        <v>#VALUE!</v>
      </c>
      <c r="AR14" s="178" t="e">
        <f ca="1">IF(OR($D14&lt;&gt;"Serviço",AND(AUTOEVENTO="Manual",$M14=$A$15)),0,
         IF(OFFSET(CRONOPLE!$F$15,$M14-$A$15,AR$13)="",10^12,OFFSET(CRONOPLE!$F$15,$M14-$A$15,AR$13)))</f>
        <v>#VALUE!</v>
      </c>
      <c r="AS14" s="178" t="e">
        <f ca="1">IF(OR($D14&lt;&gt;"Serviço",AND(AUTOEVENTO="Manual",$M14=$A$15)),0,
         IF(OFFSET(CRONOPLE!$F$15,$M14-$A$15,AS$13)="",10^12,OFFSET(CRONOPLE!$F$15,$M14-$A$15,AS$13)))</f>
        <v>#VALUE!</v>
      </c>
      <c r="AT14" s="178" t="e">
        <f ca="1">IF(OR($D14&lt;&gt;"Serviço",AND(AUTOEVENTO="Manual",$M14=$A$15)),0,
         IF(OFFSET(CRONOPLE!$F$15,$M14-$A$15,AT$13)="",10^12,OFFSET(CRONOPLE!$F$15,$M14-$A$15,AT$13)))</f>
        <v>#VALUE!</v>
      </c>
      <c r="AU14" s="178" t="e">
        <f ca="1">IF(OR($D14&lt;&gt;"Serviço",AND(AUTOEVENTO="Manual",$M14=$A$15)),0,
         IF(OFFSET(CRONOPLE!$F$15,$M14-$A$15,AU$13)="",10^12,OFFSET(CRONOPLE!$F$15,$M14-$A$15,AU$13)))</f>
        <v>#VALUE!</v>
      </c>
      <c r="AV14" s="178" t="e">
        <f ca="1">IF(OR($D14&lt;&gt;"Serviço",AND(AUTOEVENTO="Manual",$M14=$A$15)),0,
         IF(OFFSET(CRONOPLE!$F$15,$M14-$A$15,AV$13)="",10^12,OFFSET(CRONOPLE!$F$15,$M14-$A$15,AV$13)))</f>
        <v>#VALUE!</v>
      </c>
      <c r="AX14" s="179">
        <f ca="1">IF(OR($D14&lt;&gt;"Serviço",AND(AUTOEVENTO="Manual",$M14=$A$15),$M14&gt;(ROW(PLE.lastrow)-ROW(PLE.firstrow))),0,
           IF(OFFSET(PLE!$G$15,$M14-$A$15,AX$13)="",10^12,OFFSET(PLE!$G$15,$M14-$A$15,AX$13)))</f>
        <v>0</v>
      </c>
      <c r="AY14" s="179">
        <f ca="1">IF(OR($D14&lt;&gt;"Serviço",AND(AUTOEVENTO="Manual",$M14=$A$15),$M14&gt;(ROW(PLE.lastrow)-ROW(PLE.firstrow))),0,
           IF(OFFSET(PLE!$G$15,$M14-$A$15,AY$13)="",10^12,OFFSET(PLE!$G$15,$M14-$A$15,AY$13)))</f>
        <v>0</v>
      </c>
      <c r="AZ14" s="179">
        <f ca="1">IF(OR($D14&lt;&gt;"Serviço",AND(AUTOEVENTO="Manual",$M14=$A$15),$M14&gt;(ROW(PLE.lastrow)-ROW(PLE.firstrow))),0,
           IF(OFFSET(PLE!$G$15,$M14-$A$15,AZ$13)="",10^12,OFFSET(PLE!$G$15,$M14-$A$15,AZ$13)))</f>
        <v>0</v>
      </c>
      <c r="BA14" s="179">
        <f ca="1">IF(OR($D14&lt;&gt;"Serviço",AND(AUTOEVENTO="Manual",$M14=$A$15),$M14&gt;(ROW(PLE.lastrow)-ROW(PLE.firstrow))),0,
           IF(OFFSET(PLE!$G$15,$M14-$A$15,BA$13)="",10^12,OFFSET(PLE!$G$15,$M14-$A$15,BA$13)))</f>
        <v>0</v>
      </c>
      <c r="BB14" s="179">
        <f ca="1">IF(OR($D14&lt;&gt;"Serviço",AND(AUTOEVENTO="Manual",$M14=$A$15),$M14&gt;(ROW(PLE.lastrow)-ROW(PLE.firstrow))),0,
           IF(OFFSET(PLE!$G$15,$M14-$A$15,BB$13)="",10^12,OFFSET(PLE!$G$15,$M14-$A$15,BB$13)))</f>
        <v>0</v>
      </c>
      <c r="BC14" s="179">
        <f ca="1">IF(OR($D14&lt;&gt;"Serviço",AND(AUTOEVENTO="Manual",$M14=$A$15),$M14&gt;(ROW(PLE.lastrow)-ROW(PLE.firstrow))),0,
           IF(OFFSET(PLE!$G$15,$M14-$A$15,BC$13)="",10^12,OFFSET(PLE!$G$15,$M14-$A$15,BC$13)))</f>
        <v>0</v>
      </c>
      <c r="BD14" s="179">
        <f ca="1">IF(OR($D14&lt;&gt;"Serviço",AND(AUTOEVENTO="Manual",$M14=$A$15),$M14&gt;(ROW(PLE.lastrow)-ROW(PLE.firstrow))),0,
           IF(OFFSET(PLE!$G$15,$M14-$A$15,BD$13)="",10^12,OFFSET(PLE!$G$15,$M14-$A$15,BD$13)))</f>
        <v>0</v>
      </c>
      <c r="BE14" s="179">
        <f ca="1">IF(OR($D14&lt;&gt;"Serviço",AND(AUTOEVENTO="Manual",$M14=$A$15),$M14&gt;(ROW(PLE.lastrow)-ROW(PLE.firstrow))),0,
           IF(OFFSET(PLE!$G$15,$M14-$A$15,BE$13)="",10^12,OFFSET(PLE!$G$15,$M14-$A$15,BE$13)))</f>
        <v>0</v>
      </c>
      <c r="BF14" s="179">
        <f ca="1">IF(OR($D14&lt;&gt;"Serviço",AND(AUTOEVENTO="Manual",$M14=$A$15),$M14&gt;(ROW(PLE.lastrow)-ROW(PLE.firstrow))),0,
           IF(OFFSET(PLE!$G$15,$M14-$A$15,BF$13)="",10^12,OFFSET(PLE!$G$15,$M14-$A$15,BF$13)))</f>
        <v>0</v>
      </c>
      <c r="BG14" s="179">
        <f ca="1">IF(OR($D14&lt;&gt;"Serviço",AND(AUTOEVENTO="Manual",$M14=$A$15),$M14&gt;(ROW(PLE.lastrow)-ROW(PLE.firstrow))),0,
           IF(OFFSET(PLE!$G$15,$M14-$A$15,BG$13)="",10^12,OFFSET(PLE!$G$15,$M14-$A$15,BG$13)))</f>
        <v>0</v>
      </c>
    </row>
    <row r="15" spans="1:59" ht="12.75" customHeight="1" x14ac:dyDescent="0.2">
      <c r="A15" s="7" cm="1">
        <f t="array" aca="1" ref="A15" ca="1">IF(AdmLocal="Automática",1,0)</f>
        <v>0</v>
      </c>
      <c r="B15" s="7" t="str">
        <f ca="1">OFFSET(ORÇAMENTO!C$15,ROW(B15)-ROW(B$15),0)</f>
        <v>L</v>
      </c>
      <c r="C15" s="7" t="str">
        <f ca="1">OFFSET(ORÇAMENTO!L$15,ROW(C15)-ROW(C$15),0)</f>
        <v>F</v>
      </c>
      <c r="D15" s="132" t="str">
        <f>IF(TIPOORCAMENTO="LICITADO","CTEF","LOTE")</f>
        <v>LOTE</v>
      </c>
      <c r="E15" s="722" t="str">
        <f>Import.DescLote</f>
        <v>PAVILHÃO COMUNITÁRIO COMUNIDADE ÁREA 10</v>
      </c>
      <c r="F15" s="722"/>
      <c r="G15" s="722"/>
      <c r="H15" s="722"/>
      <c r="I15" s="501"/>
      <c r="J15" s="565"/>
      <c r="K15" s="625"/>
      <c r="L15" s="172" t="s">
        <v>253</v>
      </c>
      <c r="M15" s="622">
        <v>0</v>
      </c>
      <c r="N15" s="180" t="s">
        <v>261</v>
      </c>
      <c r="O15" s="181" t="e">
        <f ca="1">OFFSET($AA$15,0,O$13)</f>
        <v>#VALUE!</v>
      </c>
      <c r="Q15" s="182">
        <f t="shared" ref="Q15:Z15" ca="1" si="5">OFFSET($AA$15,0,Q$13)</f>
        <v>0</v>
      </c>
      <c r="R15" s="181">
        <f t="shared" ca="1" si="5"/>
        <v>0</v>
      </c>
      <c r="S15" s="181">
        <f t="shared" ca="1" si="5"/>
        <v>0</v>
      </c>
      <c r="T15" s="181">
        <f t="shared" ca="1" si="5"/>
        <v>0</v>
      </c>
      <c r="U15" s="181">
        <f t="shared" ca="1" si="5"/>
        <v>0</v>
      </c>
      <c r="V15" s="181">
        <f t="shared" ca="1" si="5"/>
        <v>0</v>
      </c>
      <c r="W15" s="181">
        <f t="shared" ca="1" si="5"/>
        <v>0</v>
      </c>
      <c r="X15" s="181">
        <f t="shared" ca="1" si="5"/>
        <v>0</v>
      </c>
      <c r="Y15" s="181">
        <f t="shared" ca="1" si="5"/>
        <v>0</v>
      </c>
      <c r="Z15" s="183">
        <f t="shared" ca="1" si="5"/>
        <v>0</v>
      </c>
      <c r="AB15" s="184">
        <f ca="1">ROUND(SUM(OFFSET(AB$15,1,0):AB$89),2)</f>
        <v>0</v>
      </c>
      <c r="AC15" s="184">
        <f ca="1">SUM(OFFSET(AC$15,1,0):AC$89)</f>
        <v>0</v>
      </c>
      <c r="AD15" s="184">
        <f ca="1">SUM(OFFSET(AD$15,1,0):AD$89)</f>
        <v>0</v>
      </c>
      <c r="AE15" s="184">
        <f ca="1">SUM(OFFSET(AE$15,1,0):AE$89)</f>
        <v>0</v>
      </c>
      <c r="AF15" s="184">
        <f ca="1">SUM(OFFSET(AF$15,1,0):AF$89)</f>
        <v>0</v>
      </c>
      <c r="AG15" s="184">
        <f ca="1">SUM(OFFSET(AG$15,1,0):AG$89)</f>
        <v>0</v>
      </c>
      <c r="AH15" s="184">
        <f ca="1">SUM(OFFSET(AH$15,1,0):AH$89)</f>
        <v>0</v>
      </c>
      <c r="AI15" s="184">
        <f ca="1">SUM(OFFSET(AI$15,1,0):AI$89)</f>
        <v>0</v>
      </c>
      <c r="AJ15" s="184">
        <f ca="1">SUM(OFFSET(AJ$15,1,0):AJ$89)</f>
        <v>0</v>
      </c>
      <c r="AK15" s="184">
        <f ca="1">SUM(OFFSET(AK$15,1,0):AK$89)</f>
        <v>0</v>
      </c>
      <c r="AM15" s="185">
        <f>10^12</f>
        <v>1000000000000</v>
      </c>
      <c r="AN15" s="185">
        <f t="shared" ref="AN15:AV15" si="6">10^12</f>
        <v>1000000000000</v>
      </c>
      <c r="AO15" s="185">
        <f t="shared" si="6"/>
        <v>1000000000000</v>
      </c>
      <c r="AP15" s="185">
        <f t="shared" si="6"/>
        <v>1000000000000</v>
      </c>
      <c r="AQ15" s="185">
        <f t="shared" si="6"/>
        <v>1000000000000</v>
      </c>
      <c r="AR15" s="185">
        <f t="shared" si="6"/>
        <v>1000000000000</v>
      </c>
      <c r="AS15" s="185">
        <f t="shared" si="6"/>
        <v>1000000000000</v>
      </c>
      <c r="AT15" s="185">
        <f t="shared" si="6"/>
        <v>1000000000000</v>
      </c>
      <c r="AU15" s="185">
        <f t="shared" si="6"/>
        <v>1000000000000</v>
      </c>
      <c r="AV15" s="185">
        <f t="shared" si="6"/>
        <v>1000000000000</v>
      </c>
      <c r="AX15" s="185">
        <f t="shared" ref="AX15:BG15" si="7">10^12</f>
        <v>1000000000000</v>
      </c>
      <c r="AY15" s="185">
        <f t="shared" si="7"/>
        <v>1000000000000</v>
      </c>
      <c r="AZ15" s="185">
        <f t="shared" si="7"/>
        <v>1000000000000</v>
      </c>
      <c r="BA15" s="185">
        <f t="shared" si="7"/>
        <v>1000000000000</v>
      </c>
      <c r="BB15" s="185">
        <f t="shared" si="7"/>
        <v>1000000000000</v>
      </c>
      <c r="BC15" s="185">
        <f t="shared" si="7"/>
        <v>1000000000000</v>
      </c>
      <c r="BD15" s="185">
        <f t="shared" si="7"/>
        <v>1000000000000</v>
      </c>
      <c r="BE15" s="185">
        <f t="shared" si="7"/>
        <v>1000000000000</v>
      </c>
      <c r="BF15" s="185">
        <f t="shared" si="7"/>
        <v>1000000000000</v>
      </c>
      <c r="BG15" s="185">
        <f t="shared" si="7"/>
        <v>1000000000000</v>
      </c>
    </row>
    <row r="16" spans="1:59" ht="12.75" x14ac:dyDescent="0.2">
      <c r="A16" s="7" t="str">
        <f ca="1">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0" t="str">
        <f ca="1">OFFSET(ORÇAMENTO!R$15,ROW(F16)-ROW(F$15),0)</f>
        <v>REFORMA E AMPLIAÇÃO DE PAVILHÃO</v>
      </c>
      <c r="G16" s="171" t="str">
        <f ca="1">IF($D16&lt;&gt;"Serviço","",OFFSET(ORÇAMENTO!S$15,ROW(G16)-ROW(G$15),0))</f>
        <v/>
      </c>
      <c r="H16" s="124" cm="1">
        <f t="array" aca="1" ref="H16" ca="1">IF($D16&lt;&gt;"Serviço",0,IF(_xlfn.SINGLE(ACOMPANHAMENTO)="BM",ROUND(OFFSET(ORÇAMENTO!AJ$15,ROW(H16)-ROW(H$15),0),15-13*ORÇAMENTO!$AF$7),SUMPRODUCT(($Q$1:$AA$1)*ROUND($Q16:$AA16,15-13*ORÇAMENTO!$AF$7))))</f>
        <v>0</v>
      </c>
      <c r="I16" s="500"/>
      <c r="J16" s="633" t="str" cm="1">
        <f t="array" aca="1" ref="J16" ca="1">IF(B16&lt;&gt;"S","",IF(AND(ACOMPANHAMENTO="PLE",AUTOEVENTO="Manual",OR(H16&gt;0,ORÇAMENTO!AC16="QUANT."),OR(K16="",M16=0,N16="")),"►",IF(AND(ACOMPANHAMENTO="PLE",ORÇAMENTO!AC16="QUANT."),"►►",IF(AND(COUNTIF($P$11:$AA$11,"▼")=0,H16&gt;0,I16=""),"◄",""))))</f>
        <v/>
      </c>
      <c r="K16" s="624"/>
      <c r="L16" s="172" t="s">
        <v>253</v>
      </c>
      <c r="M16" s="173" t="str">
        <f ca="1">IF($D16&lt;&gt;"Serviço","",
          IF(AUTOEVENTO="manual",$A16,
                IF(ISERROR(MATCH($A16,$A$15:OFFSET($A16,-1,0),0)),MAX($M$15:OFFSET(M16,-1,0))+1,
                      INDEX($M$15:OFFSET(M16,-1,0),MATCH($A16,$A$15:OFFSET($A16,-1,0),0)))))</f>
        <v/>
      </c>
      <c r="N16" s="174" t="str">
        <f ca="1">IF($D16&lt;&gt;"Serviço","",
         IF(AUTOEVENTO="Manual",
                IF($A16=0,"&lt;-- defina o número do agrupador",
                       OFFSET(EVENTOS!$D$15,$A16-$A$15,0)),
                OFFSET($F$15,$A16,0)))</f>
        <v/>
      </c>
      <c r="O16" s="175"/>
      <c r="Q16" s="175"/>
      <c r="R16" s="176"/>
      <c r="S16" s="176"/>
      <c r="T16" s="176"/>
      <c r="U16" s="176"/>
      <c r="V16" s="176"/>
      <c r="W16" s="176"/>
      <c r="X16" s="176"/>
      <c r="Y16" s="176"/>
      <c r="Z16" s="177"/>
      <c r="AB16" s="485">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85">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85">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85">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85">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85">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85">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85">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85">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85">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8">
        <f ca="1">IF(OR($D16&lt;&gt;"Serviço",AND(AUTOEVENTO="Manual",$M16=$A$15)),0,
         IF(OFFSET(CRONOPLE!$F$15,$M16-$A$15,AM$13)="",10^12,OFFSET(CRONOPLE!$F$15,$M16-$A$15,AM$13)))</f>
        <v>0</v>
      </c>
      <c r="AN16" s="178">
        <f ca="1">IF(OR($D16&lt;&gt;"Serviço",AND(AUTOEVENTO="Manual",$M16=$A$15)),0,
         IF(OFFSET(CRONOPLE!$F$15,$M16-$A$15,AN$13)="",10^12,OFFSET(CRONOPLE!$F$15,$M16-$A$15,AN$13)))</f>
        <v>0</v>
      </c>
      <c r="AO16" s="178">
        <f ca="1">IF(OR($D16&lt;&gt;"Serviço",AND(AUTOEVENTO="Manual",$M16=$A$15)),0,
         IF(OFFSET(CRONOPLE!$F$15,$M16-$A$15,AO$13)="",10^12,OFFSET(CRONOPLE!$F$15,$M16-$A$15,AO$13)))</f>
        <v>0</v>
      </c>
      <c r="AP16" s="178">
        <f ca="1">IF(OR($D16&lt;&gt;"Serviço",AND(AUTOEVENTO="Manual",$M16=$A$15)),0,
         IF(OFFSET(CRONOPLE!$F$15,$M16-$A$15,AP$13)="",10^12,OFFSET(CRONOPLE!$F$15,$M16-$A$15,AP$13)))</f>
        <v>0</v>
      </c>
      <c r="AQ16" s="178">
        <f ca="1">IF(OR($D16&lt;&gt;"Serviço",AND(AUTOEVENTO="Manual",$M16=$A$15)),0,
         IF(OFFSET(CRONOPLE!$F$15,$M16-$A$15,AQ$13)="",10^12,OFFSET(CRONOPLE!$F$15,$M16-$A$15,AQ$13)))</f>
        <v>0</v>
      </c>
      <c r="AR16" s="178">
        <f ca="1">IF(OR($D16&lt;&gt;"Serviço",AND(AUTOEVENTO="Manual",$M16=$A$15)),0,
         IF(OFFSET(CRONOPLE!$F$15,$M16-$A$15,AR$13)="",10^12,OFFSET(CRONOPLE!$F$15,$M16-$A$15,AR$13)))</f>
        <v>0</v>
      </c>
      <c r="AS16" s="178">
        <f ca="1">IF(OR($D16&lt;&gt;"Serviço",AND(AUTOEVENTO="Manual",$M16=$A$15)),0,
         IF(OFFSET(CRONOPLE!$F$15,$M16-$A$15,AS$13)="",10^12,OFFSET(CRONOPLE!$F$15,$M16-$A$15,AS$13)))</f>
        <v>0</v>
      </c>
      <c r="AT16" s="178">
        <f ca="1">IF(OR($D16&lt;&gt;"Serviço",AND(AUTOEVENTO="Manual",$M16=$A$15)),0,
         IF(OFFSET(CRONOPLE!$F$15,$M16-$A$15,AT$13)="",10^12,OFFSET(CRONOPLE!$F$15,$M16-$A$15,AT$13)))</f>
        <v>0</v>
      </c>
      <c r="AU16" s="178">
        <f ca="1">IF(OR($D16&lt;&gt;"Serviço",AND(AUTOEVENTO="Manual",$M16=$A$15)),0,
         IF(OFFSET(CRONOPLE!$F$15,$M16-$A$15,AU$13)="",10^12,OFFSET(CRONOPLE!$F$15,$M16-$A$15,AU$13)))</f>
        <v>0</v>
      </c>
      <c r="AV16" s="178">
        <f ca="1">IF(OR($D16&lt;&gt;"Serviço",AND(AUTOEVENTO="Manual",$M16=$A$15)),0,
         IF(OFFSET(CRONOPLE!$F$15,$M16-$A$15,AV$13)="",10^12,OFFSET(CRONOPLE!$F$15,$M16-$A$15,AV$13)))</f>
        <v>0</v>
      </c>
      <c r="AX16" s="179">
        <f ca="1">IF(OR($D16&lt;&gt;"Serviço",AND(AUTOEVENTO="Manual",$M16=$A$15),$M16&gt;(ROW(PLE.lastrow)-ROW(PLE.firstrow))),0,
           IF(OFFSET(PLE!$G$15,$M16-$A$15,AX$13)="",10^12,OFFSET(PLE!$G$15,$M16-$A$15,AX$13)))</f>
        <v>0</v>
      </c>
      <c r="AY16" s="179">
        <f ca="1">IF(OR($D16&lt;&gt;"Serviço",AND(AUTOEVENTO="Manual",$M16=$A$15),$M16&gt;(ROW(PLE.lastrow)-ROW(PLE.firstrow))),0,
           IF(OFFSET(PLE!$G$15,$M16-$A$15,AY$13)="",10^12,OFFSET(PLE!$G$15,$M16-$A$15,AY$13)))</f>
        <v>0</v>
      </c>
      <c r="AZ16" s="179">
        <f ca="1">IF(OR($D16&lt;&gt;"Serviço",AND(AUTOEVENTO="Manual",$M16=$A$15),$M16&gt;(ROW(PLE.lastrow)-ROW(PLE.firstrow))),0,
           IF(OFFSET(PLE!$G$15,$M16-$A$15,AZ$13)="",10^12,OFFSET(PLE!$G$15,$M16-$A$15,AZ$13)))</f>
        <v>0</v>
      </c>
      <c r="BA16" s="179">
        <f ca="1">IF(OR($D16&lt;&gt;"Serviço",AND(AUTOEVENTO="Manual",$M16=$A$15),$M16&gt;(ROW(PLE.lastrow)-ROW(PLE.firstrow))),0,
           IF(OFFSET(PLE!$G$15,$M16-$A$15,BA$13)="",10^12,OFFSET(PLE!$G$15,$M16-$A$15,BA$13)))</f>
        <v>0</v>
      </c>
      <c r="BB16" s="179">
        <f ca="1">IF(OR($D16&lt;&gt;"Serviço",AND(AUTOEVENTO="Manual",$M16=$A$15),$M16&gt;(ROW(PLE.lastrow)-ROW(PLE.firstrow))),0,
           IF(OFFSET(PLE!$G$15,$M16-$A$15,BB$13)="",10^12,OFFSET(PLE!$G$15,$M16-$A$15,BB$13)))</f>
        <v>0</v>
      </c>
      <c r="BC16" s="179">
        <f ca="1">IF(OR($D16&lt;&gt;"Serviço",AND(AUTOEVENTO="Manual",$M16=$A$15),$M16&gt;(ROW(PLE.lastrow)-ROW(PLE.firstrow))),0,
           IF(OFFSET(PLE!$G$15,$M16-$A$15,BC$13)="",10^12,OFFSET(PLE!$G$15,$M16-$A$15,BC$13)))</f>
        <v>0</v>
      </c>
      <c r="BD16" s="179">
        <f ca="1">IF(OR($D16&lt;&gt;"Serviço",AND(AUTOEVENTO="Manual",$M16=$A$15),$M16&gt;(ROW(PLE.lastrow)-ROW(PLE.firstrow))),0,
           IF(OFFSET(PLE!$G$15,$M16-$A$15,BD$13)="",10^12,OFFSET(PLE!$G$15,$M16-$A$15,BD$13)))</f>
        <v>0</v>
      </c>
      <c r="BE16" s="179">
        <f ca="1">IF(OR($D16&lt;&gt;"Serviço",AND(AUTOEVENTO="Manual",$M16=$A$15),$M16&gt;(ROW(PLE.lastrow)-ROW(PLE.firstrow))),0,
           IF(OFFSET(PLE!$G$15,$M16-$A$15,BE$13)="",10^12,OFFSET(PLE!$G$15,$M16-$A$15,BE$13)))</f>
        <v>0</v>
      </c>
      <c r="BF16" s="179">
        <f ca="1">IF(OR($D16&lt;&gt;"Serviço",AND(AUTOEVENTO="Manual",$M16=$A$15),$M16&gt;(ROW(PLE.lastrow)-ROW(PLE.firstrow))),0,
           IF(OFFSET(PLE!$G$15,$M16-$A$15,BF$13)="",10^12,OFFSET(PLE!$G$15,$M16-$A$15,BF$13)))</f>
        <v>0</v>
      </c>
      <c r="BG16" s="179">
        <f ca="1">IF(OR($D16&lt;&gt;"Serviço",AND(AUTOEVENTO="Manual",$M16=$A$15),$M16&gt;(ROW(PLE.lastrow)-ROW(PLE.firstrow))),0,
           IF(OFFSET(PLE!$G$15,$M16-$A$15,BG$13)="",10^12,OFFSET(PLE!$G$15,$M16-$A$15,BG$13)))</f>
        <v>0</v>
      </c>
    </row>
    <row r="17" spans="1:59" ht="12.75" x14ac:dyDescent="0.2">
      <c r="A17" s="7" t="str">
        <f ca="1">IF(AUTOEVENTO="Manual",IF(K17&lt;&gt;"",MIN(VALUE(LEFT(K17,FIND(".",K17)-1)),COUNTA(EVENTOS.Lista)),0),IF(OR($B17&gt;AUTOEVENTO,$B17="S",$B17=0),SUBSTITUTE(OFFSET($A17,-1,0),IF($D17="Serviço",".",""),""),ROW(A17)-ROW($A$15)&amp;"."))</f>
        <v>2.</v>
      </c>
      <c r="B17" s="7">
        <f ca="1">OFFSET(ORÇAMENTO!C$15,ROW(B17)-ROW(B$15),0)</f>
        <v>2</v>
      </c>
      <c r="C17" s="7" t="str">
        <f ca="1">OFFSET(ORÇAMENTO!L$15,ROW(C17)-ROW(C$15),0)</f>
        <v>F</v>
      </c>
      <c r="D17" s="118" t="str">
        <f ca="1">OFFSET(ORÇAMENTO!N$15,ROW(D17)-ROW(D$15),0)</f>
        <v>Nível 2</v>
      </c>
      <c r="E17" s="119" t="str">
        <f ca="1">OFFSET(ORÇAMENTO!O$15,ROW(E17)-ROW(E$15),0)</f>
        <v>1.1.</v>
      </c>
      <c r="F17" s="170" t="str">
        <f ca="1">OFFSET(ORÇAMENTO!R$15,ROW(F17)-ROW(F$15),0)</f>
        <v xml:space="preserve">SERVIÇOS PRELIMINARES </v>
      </c>
      <c r="G17" s="171" t="str">
        <f ca="1">IF($D17&lt;&gt;"Serviço","",OFFSET(ORÇAMENTO!S$15,ROW(G17)-ROW(G$15),0))</f>
        <v/>
      </c>
      <c r="H17" s="124" cm="1">
        <f t="array" aca="1" ref="H17" ca="1">IF($D17&lt;&gt;"Serviço",0,IF(_xlfn.SINGLE(ACOMPANHAMENTO)="BM",ROUND(OFFSET(ORÇAMENTO!AJ$15,ROW(H17)-ROW(H$15),0),15-13*ORÇAMENTO!$AF$7),SUMPRODUCT(($Q$1:$AA$1)*ROUND($Q17:$AA17,15-13*ORÇAMENTO!$AF$7))))</f>
        <v>0</v>
      </c>
      <c r="I17" s="500"/>
      <c r="J17" s="633" t="str" cm="1">
        <f t="array" aca="1" ref="J17" ca="1">IF(B17&lt;&gt;"S","",IF(AND(ACOMPANHAMENTO="PLE",AUTOEVENTO="Manual",OR(H17&gt;0,ORÇAMENTO!AC17="QUANT."),OR(K17="",M17=0,N17="")),"►",IF(AND(ACOMPANHAMENTO="PLE",ORÇAMENTO!AC17="QUANT."),"►►",IF(AND(COUNTIF($P$11:$AA$11,"▼")=0,H17&gt;0,I17=""),"◄",""))))</f>
        <v/>
      </c>
      <c r="K17" s="624"/>
      <c r="L17" s="172" t="s">
        <v>253</v>
      </c>
      <c r="M17" s="173" t="str">
        <f ca="1">IF($D17&lt;&gt;"Serviço","",
          IF(AUTOEVENTO="manual",$A17,
                IF(ISERROR(MATCH($A17,$A$15:OFFSET($A17,-1,0),0)),MAX($M$15:OFFSET(M17,-1,0))+1,
                      INDEX($M$15:OFFSET(M17,-1,0),MATCH($A17,$A$15:OFFSET($A17,-1,0),0)))))</f>
        <v/>
      </c>
      <c r="N17" s="174" t="str">
        <f ca="1">IF($D17&lt;&gt;"Serviço","",
         IF(AUTOEVENTO="Manual",
                IF($A17=0,"&lt;-- defina o número do agrupador",
                       OFFSET(EVENTOS!$D$15,$A17-$A$15,0)),
                OFFSET($F$15,$A17,0)))</f>
        <v/>
      </c>
      <c r="O17" s="175"/>
      <c r="Q17" s="175"/>
      <c r="R17" s="176"/>
      <c r="S17" s="176"/>
      <c r="T17" s="176"/>
      <c r="U17" s="176"/>
      <c r="V17" s="176"/>
      <c r="W17" s="176"/>
      <c r="X17" s="176"/>
      <c r="Y17" s="176"/>
      <c r="Z17" s="177"/>
      <c r="AB17" s="485">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85">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85">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85">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85">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85">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85">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85">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85">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85">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8">
        <f ca="1">IF(OR($D17&lt;&gt;"Serviço",AND(AUTOEVENTO="Manual",$M17=$A$15)),0,
         IF(OFFSET(CRONOPLE!$F$15,$M17-$A$15,AM$13)="",10^12,OFFSET(CRONOPLE!$F$15,$M17-$A$15,AM$13)))</f>
        <v>0</v>
      </c>
      <c r="AN17" s="178">
        <f ca="1">IF(OR($D17&lt;&gt;"Serviço",AND(AUTOEVENTO="Manual",$M17=$A$15)),0,
         IF(OFFSET(CRONOPLE!$F$15,$M17-$A$15,AN$13)="",10^12,OFFSET(CRONOPLE!$F$15,$M17-$A$15,AN$13)))</f>
        <v>0</v>
      </c>
      <c r="AO17" s="178">
        <f ca="1">IF(OR($D17&lt;&gt;"Serviço",AND(AUTOEVENTO="Manual",$M17=$A$15)),0,
         IF(OFFSET(CRONOPLE!$F$15,$M17-$A$15,AO$13)="",10^12,OFFSET(CRONOPLE!$F$15,$M17-$A$15,AO$13)))</f>
        <v>0</v>
      </c>
      <c r="AP17" s="178">
        <f ca="1">IF(OR($D17&lt;&gt;"Serviço",AND(AUTOEVENTO="Manual",$M17=$A$15)),0,
         IF(OFFSET(CRONOPLE!$F$15,$M17-$A$15,AP$13)="",10^12,OFFSET(CRONOPLE!$F$15,$M17-$A$15,AP$13)))</f>
        <v>0</v>
      </c>
      <c r="AQ17" s="178">
        <f ca="1">IF(OR($D17&lt;&gt;"Serviço",AND(AUTOEVENTO="Manual",$M17=$A$15)),0,
         IF(OFFSET(CRONOPLE!$F$15,$M17-$A$15,AQ$13)="",10^12,OFFSET(CRONOPLE!$F$15,$M17-$A$15,AQ$13)))</f>
        <v>0</v>
      </c>
      <c r="AR17" s="178">
        <f ca="1">IF(OR($D17&lt;&gt;"Serviço",AND(AUTOEVENTO="Manual",$M17=$A$15)),0,
         IF(OFFSET(CRONOPLE!$F$15,$M17-$A$15,AR$13)="",10^12,OFFSET(CRONOPLE!$F$15,$M17-$A$15,AR$13)))</f>
        <v>0</v>
      </c>
      <c r="AS17" s="178">
        <f ca="1">IF(OR($D17&lt;&gt;"Serviço",AND(AUTOEVENTO="Manual",$M17=$A$15)),0,
         IF(OFFSET(CRONOPLE!$F$15,$M17-$A$15,AS$13)="",10^12,OFFSET(CRONOPLE!$F$15,$M17-$A$15,AS$13)))</f>
        <v>0</v>
      </c>
      <c r="AT17" s="178">
        <f ca="1">IF(OR($D17&lt;&gt;"Serviço",AND(AUTOEVENTO="Manual",$M17=$A$15)),0,
         IF(OFFSET(CRONOPLE!$F$15,$M17-$A$15,AT$13)="",10^12,OFFSET(CRONOPLE!$F$15,$M17-$A$15,AT$13)))</f>
        <v>0</v>
      </c>
      <c r="AU17" s="178">
        <f ca="1">IF(OR($D17&lt;&gt;"Serviço",AND(AUTOEVENTO="Manual",$M17=$A$15)),0,
         IF(OFFSET(CRONOPLE!$F$15,$M17-$A$15,AU$13)="",10^12,OFFSET(CRONOPLE!$F$15,$M17-$A$15,AU$13)))</f>
        <v>0</v>
      </c>
      <c r="AV17" s="178">
        <f ca="1">IF(OR($D17&lt;&gt;"Serviço",AND(AUTOEVENTO="Manual",$M17=$A$15)),0,
         IF(OFFSET(CRONOPLE!$F$15,$M17-$A$15,AV$13)="",10^12,OFFSET(CRONOPLE!$F$15,$M17-$A$15,AV$13)))</f>
        <v>0</v>
      </c>
      <c r="AX17" s="179">
        <f ca="1">IF(OR($D17&lt;&gt;"Serviço",AND(AUTOEVENTO="Manual",$M17=$A$15),$M17&gt;(ROW(PLE.lastrow)-ROW(PLE.firstrow))),0,
           IF(OFFSET(PLE!$G$15,$M17-$A$15,AX$13)="",10^12,OFFSET(PLE!$G$15,$M17-$A$15,AX$13)))</f>
        <v>0</v>
      </c>
      <c r="AY17" s="179">
        <f ca="1">IF(OR($D17&lt;&gt;"Serviço",AND(AUTOEVENTO="Manual",$M17=$A$15),$M17&gt;(ROW(PLE.lastrow)-ROW(PLE.firstrow))),0,
           IF(OFFSET(PLE!$G$15,$M17-$A$15,AY$13)="",10^12,OFFSET(PLE!$G$15,$M17-$A$15,AY$13)))</f>
        <v>0</v>
      </c>
      <c r="AZ17" s="179">
        <f ca="1">IF(OR($D17&lt;&gt;"Serviço",AND(AUTOEVENTO="Manual",$M17=$A$15),$M17&gt;(ROW(PLE.lastrow)-ROW(PLE.firstrow))),0,
           IF(OFFSET(PLE!$G$15,$M17-$A$15,AZ$13)="",10^12,OFFSET(PLE!$G$15,$M17-$A$15,AZ$13)))</f>
        <v>0</v>
      </c>
      <c r="BA17" s="179">
        <f ca="1">IF(OR($D17&lt;&gt;"Serviço",AND(AUTOEVENTO="Manual",$M17=$A$15),$M17&gt;(ROW(PLE.lastrow)-ROW(PLE.firstrow))),0,
           IF(OFFSET(PLE!$G$15,$M17-$A$15,BA$13)="",10^12,OFFSET(PLE!$G$15,$M17-$A$15,BA$13)))</f>
        <v>0</v>
      </c>
      <c r="BB17" s="179">
        <f ca="1">IF(OR($D17&lt;&gt;"Serviço",AND(AUTOEVENTO="Manual",$M17=$A$15),$M17&gt;(ROW(PLE.lastrow)-ROW(PLE.firstrow))),0,
           IF(OFFSET(PLE!$G$15,$M17-$A$15,BB$13)="",10^12,OFFSET(PLE!$G$15,$M17-$A$15,BB$13)))</f>
        <v>0</v>
      </c>
      <c r="BC17" s="179">
        <f ca="1">IF(OR($D17&lt;&gt;"Serviço",AND(AUTOEVENTO="Manual",$M17=$A$15),$M17&gt;(ROW(PLE.lastrow)-ROW(PLE.firstrow))),0,
           IF(OFFSET(PLE!$G$15,$M17-$A$15,BC$13)="",10^12,OFFSET(PLE!$G$15,$M17-$A$15,BC$13)))</f>
        <v>0</v>
      </c>
      <c r="BD17" s="179">
        <f ca="1">IF(OR($D17&lt;&gt;"Serviço",AND(AUTOEVENTO="Manual",$M17=$A$15),$M17&gt;(ROW(PLE.lastrow)-ROW(PLE.firstrow))),0,
           IF(OFFSET(PLE!$G$15,$M17-$A$15,BD$13)="",10^12,OFFSET(PLE!$G$15,$M17-$A$15,BD$13)))</f>
        <v>0</v>
      </c>
      <c r="BE17" s="179">
        <f ca="1">IF(OR($D17&lt;&gt;"Serviço",AND(AUTOEVENTO="Manual",$M17=$A$15),$M17&gt;(ROW(PLE.lastrow)-ROW(PLE.firstrow))),0,
           IF(OFFSET(PLE!$G$15,$M17-$A$15,BE$13)="",10^12,OFFSET(PLE!$G$15,$M17-$A$15,BE$13)))</f>
        <v>0</v>
      </c>
      <c r="BF17" s="179">
        <f ca="1">IF(OR($D17&lt;&gt;"Serviço",AND(AUTOEVENTO="Manual",$M17=$A$15),$M17&gt;(ROW(PLE.lastrow)-ROW(PLE.firstrow))),0,
           IF(OFFSET(PLE!$G$15,$M17-$A$15,BF$13)="",10^12,OFFSET(PLE!$G$15,$M17-$A$15,BF$13)))</f>
        <v>0</v>
      </c>
      <c r="BG17" s="179">
        <f ca="1">IF(OR($D17&lt;&gt;"Serviço",AND(AUTOEVENTO="Manual",$M17=$A$15),$M17&gt;(ROW(PLE.lastrow)-ROW(PLE.firstrow))),0,
           IF(OFFSET(PLE!$G$15,$M17-$A$15,BG$13)="",10^12,OFFSET(PLE!$G$15,$M17-$A$15,BG$13)))</f>
        <v>0</v>
      </c>
    </row>
    <row r="18" spans="1:59" ht="25.5" x14ac:dyDescent="0.2">
      <c r="A18" s="7" t="str">
        <f ca="1">IF(AUTOEVENTO="Manual",IF(K18&lt;&gt;"",MIN(VALUE(LEFT(K18,FIND(".",K18)-1)),COUNTA(EVENTOS.Lista)),0),IF(OR($B18&gt;AUTOEVENTO,$B18="S",$B18=0),SUBSTITUTE(OFFSET($A18,-1,0),IF($D18="Serviço",".",""),""),ROW(A18)-ROW($A$15)&amp;"."))</f>
        <v>2</v>
      </c>
      <c r="B18" s="7" t="str">
        <f ca="1">OFFSET(ORÇAMENTO!C$15,ROW(B18)-ROW(B$15),0)</f>
        <v>S</v>
      </c>
      <c r="C18" s="7" t="str">
        <f ca="1">OFFSET(ORÇAMENTO!L$15,ROW(C18)-ROW(C$15),0)</f>
        <v/>
      </c>
      <c r="D18" s="118" t="str">
        <f ca="1">OFFSET(ORÇAMENTO!N$15,ROW(D18)-ROW(D$15),0)</f>
        <v>Serviço</v>
      </c>
      <c r="E18" s="119" t="str">
        <f ca="1">OFFSET(ORÇAMENTO!O$15,ROW(E18)-ROW(E$15),0)</f>
        <v>-</v>
      </c>
      <c r="F18" s="170" t="str">
        <f ca="1">OFFSET(ORÇAMENTO!R$15,ROW(F18)-ROW(F$15),0)</f>
        <v>(abra o arquivo 'Referência 04-2026.xlsm)</v>
      </c>
      <c r="G18" s="171" t="str">
        <f ca="1">IF($D18&lt;&gt;"Serviço","",OFFSET(ORÇAMENTO!S$15,ROW(G18)-ROW(G$15),0))</f>
        <v>-</v>
      </c>
      <c r="H18" s="124" cm="1">
        <f t="array" aca="1" ref="H18" ca="1">IF($D18&lt;&gt;"Serviço",0,IF(_xlfn.SINGLE(ACOMPANHAMENTO)="BM",ROUND(OFFSET(ORÇAMENTO!AJ$15,ROW(H18)-ROW(H$15),0),15-13*ORÇAMENTO!$AF$7),SUMPRODUCT(($Q$1:$AA$1)*ROUND($Q18:$AA18,15-13*ORÇAMENTO!$AF$7))))</f>
        <v>4.5</v>
      </c>
      <c r="I18" s="500" t="s">
        <v>970</v>
      </c>
      <c r="J18" s="633" t="str" cm="1">
        <f t="array" aca="1" ref="J18" ca="1">IF(B18&lt;&gt;"S","",IF(AND(ACOMPANHAMENTO="PLE",AUTOEVENTO="Manual",OR(H18&gt;0,ORÇAMENTO!AC18="QUANT."),OR(K18="",M18=0,N18="")),"►",IF(AND(ACOMPANHAMENTO="PLE",ORÇAMENTO!AC18="QUANT."),"►►",IF(AND(COUNTIF($P$11:$AA$11,"▼")=0,H18&gt;0,I18=""),"◄",""))))</f>
        <v/>
      </c>
      <c r="K18" s="624"/>
      <c r="L18" s="172" t="s">
        <v>253</v>
      </c>
      <c r="M18" s="173">
        <f ca="1">IF($D18&lt;&gt;"Serviço","",
          IF(AUTOEVENTO="manual",$A18,
                IF(ISERROR(MATCH($A18,$A$15:OFFSET($A18,-1,0),0)),MAX($M$15:OFFSET(M18,-1,0))+1,
                      INDEX($M$15:OFFSET(M18,-1,0),MATCH($A18,$A$15:OFFSET($A18,-1,0),0)))))</f>
        <v>1</v>
      </c>
      <c r="N18" s="174" t="str">
        <f ca="1">IF($D18&lt;&gt;"Serviço","",
         IF(AUTOEVENTO="Manual",
                IF($A18=0,"&lt;-- defina o número do agrupador",
                       OFFSET(EVENTOS!$D$15,$A18-$A$15,0)),
                OFFSET($F$15,$A18,0)))</f>
        <v xml:space="preserve">SERVIÇOS PRELIMINARES </v>
      </c>
      <c r="O18" s="175"/>
      <c r="Q18" s="175">
        <f>4.5</f>
        <v>4.5</v>
      </c>
      <c r="R18" s="176"/>
      <c r="S18" s="176"/>
      <c r="T18" s="176"/>
      <c r="U18" s="176"/>
      <c r="V18" s="176"/>
      <c r="W18" s="176"/>
      <c r="X18" s="176"/>
      <c r="Y18" s="176"/>
      <c r="Z18" s="177"/>
      <c r="AB18" s="485">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85">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85">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85">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85">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85">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85">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85">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85">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85">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8">
        <f ca="1">IF(OR($D18&lt;&gt;"Serviço",AND(AUTOEVENTO="Manual",$M18=$A$15)),0,
         IF(OFFSET(CRONOPLE!$F$15,$M18-$A$15,AM$13)="",10^12,OFFSET(CRONOPLE!$F$15,$M18-$A$15,AM$13)))</f>
        <v>1</v>
      </c>
      <c r="AN18" s="178">
        <f ca="1">IF(OR($D18&lt;&gt;"Serviço",AND(AUTOEVENTO="Manual",$M18=$A$15)),0,
         IF(OFFSET(CRONOPLE!$F$15,$M18-$A$15,AN$13)="",10^12,OFFSET(CRONOPLE!$F$15,$M18-$A$15,AN$13)))</f>
        <v>1000000000000</v>
      </c>
      <c r="AO18" s="178">
        <f ca="1">IF(OR($D18&lt;&gt;"Serviço",AND(AUTOEVENTO="Manual",$M18=$A$15)),0,
         IF(OFFSET(CRONOPLE!$F$15,$M18-$A$15,AO$13)="",10^12,OFFSET(CRONOPLE!$F$15,$M18-$A$15,AO$13)))</f>
        <v>1000000000000</v>
      </c>
      <c r="AP18" s="178">
        <f ca="1">IF(OR($D18&lt;&gt;"Serviço",AND(AUTOEVENTO="Manual",$M18=$A$15)),0,
         IF(OFFSET(CRONOPLE!$F$15,$M18-$A$15,AP$13)="",10^12,OFFSET(CRONOPLE!$F$15,$M18-$A$15,AP$13)))</f>
        <v>1000000000000</v>
      </c>
      <c r="AQ18" s="178">
        <f ca="1">IF(OR($D18&lt;&gt;"Serviço",AND(AUTOEVENTO="Manual",$M18=$A$15)),0,
         IF(OFFSET(CRONOPLE!$F$15,$M18-$A$15,AQ$13)="",10^12,OFFSET(CRONOPLE!$F$15,$M18-$A$15,AQ$13)))</f>
        <v>1000000000000</v>
      </c>
      <c r="AR18" s="178">
        <f ca="1">IF(OR($D18&lt;&gt;"Serviço",AND(AUTOEVENTO="Manual",$M18=$A$15)),0,
         IF(OFFSET(CRONOPLE!$F$15,$M18-$A$15,AR$13)="",10^12,OFFSET(CRONOPLE!$F$15,$M18-$A$15,AR$13)))</f>
        <v>1000000000000</v>
      </c>
      <c r="AS18" s="178">
        <f ca="1">IF(OR($D18&lt;&gt;"Serviço",AND(AUTOEVENTO="Manual",$M18=$A$15)),0,
         IF(OFFSET(CRONOPLE!$F$15,$M18-$A$15,AS$13)="",10^12,OFFSET(CRONOPLE!$F$15,$M18-$A$15,AS$13)))</f>
        <v>1000000000000</v>
      </c>
      <c r="AT18" s="178">
        <f ca="1">IF(OR($D18&lt;&gt;"Serviço",AND(AUTOEVENTO="Manual",$M18=$A$15)),0,
         IF(OFFSET(CRONOPLE!$F$15,$M18-$A$15,AT$13)="",10^12,OFFSET(CRONOPLE!$F$15,$M18-$A$15,AT$13)))</f>
        <v>1000000000000</v>
      </c>
      <c r="AU18" s="178">
        <f ca="1">IF(OR($D18&lt;&gt;"Serviço",AND(AUTOEVENTO="Manual",$M18=$A$15)),0,
         IF(OFFSET(CRONOPLE!$F$15,$M18-$A$15,AU$13)="",10^12,OFFSET(CRONOPLE!$F$15,$M18-$A$15,AU$13)))</f>
        <v>1000000000000</v>
      </c>
      <c r="AV18" s="178">
        <f ca="1">IF(OR($D18&lt;&gt;"Serviço",AND(AUTOEVENTO="Manual",$M18=$A$15)),0,
         IF(OFFSET(CRONOPLE!$F$15,$M18-$A$15,AV$13)="",10^12,OFFSET(CRONOPLE!$F$15,$M18-$A$15,AV$13)))</f>
        <v>1000000000000</v>
      </c>
      <c r="AX18" s="179">
        <f ca="1">IF(OR($D18&lt;&gt;"Serviço",AND(AUTOEVENTO="Manual",$M18=$A$15),$M18&gt;(ROW(PLE.lastrow)-ROW(PLE.firstrow))),0,
           IF(OFFSET(PLE!$G$15,$M18-$A$15,AX$13)="",10^12,OFFSET(PLE!$G$15,$M18-$A$15,AX$13)))</f>
        <v>1000000000000</v>
      </c>
      <c r="AY18" s="179">
        <f ca="1">IF(OR($D18&lt;&gt;"Serviço",AND(AUTOEVENTO="Manual",$M18=$A$15),$M18&gt;(ROW(PLE.lastrow)-ROW(PLE.firstrow))),0,
           IF(OFFSET(PLE!$G$15,$M18-$A$15,AY$13)="",10^12,OFFSET(PLE!$G$15,$M18-$A$15,AY$13)))</f>
        <v>1000000000000</v>
      </c>
      <c r="AZ18" s="179">
        <f ca="1">IF(OR($D18&lt;&gt;"Serviço",AND(AUTOEVENTO="Manual",$M18=$A$15),$M18&gt;(ROW(PLE.lastrow)-ROW(PLE.firstrow))),0,
           IF(OFFSET(PLE!$G$15,$M18-$A$15,AZ$13)="",10^12,OFFSET(PLE!$G$15,$M18-$A$15,AZ$13)))</f>
        <v>1000000000000</v>
      </c>
      <c r="BA18" s="179">
        <f ca="1">IF(OR($D18&lt;&gt;"Serviço",AND(AUTOEVENTO="Manual",$M18=$A$15),$M18&gt;(ROW(PLE.lastrow)-ROW(PLE.firstrow))),0,
           IF(OFFSET(PLE!$G$15,$M18-$A$15,BA$13)="",10^12,OFFSET(PLE!$G$15,$M18-$A$15,BA$13)))</f>
        <v>1000000000000</v>
      </c>
      <c r="BB18" s="179">
        <f ca="1">IF(OR($D18&lt;&gt;"Serviço",AND(AUTOEVENTO="Manual",$M18=$A$15),$M18&gt;(ROW(PLE.lastrow)-ROW(PLE.firstrow))),0,
           IF(OFFSET(PLE!$G$15,$M18-$A$15,BB$13)="",10^12,OFFSET(PLE!$G$15,$M18-$A$15,BB$13)))</f>
        <v>1000000000000</v>
      </c>
      <c r="BC18" s="179">
        <f ca="1">IF(OR($D18&lt;&gt;"Serviço",AND(AUTOEVENTO="Manual",$M18=$A$15),$M18&gt;(ROW(PLE.lastrow)-ROW(PLE.firstrow))),0,
           IF(OFFSET(PLE!$G$15,$M18-$A$15,BC$13)="",10^12,OFFSET(PLE!$G$15,$M18-$A$15,BC$13)))</f>
        <v>1000000000000</v>
      </c>
      <c r="BD18" s="179">
        <f ca="1">IF(OR($D18&lt;&gt;"Serviço",AND(AUTOEVENTO="Manual",$M18=$A$15),$M18&gt;(ROW(PLE.lastrow)-ROW(PLE.firstrow))),0,
           IF(OFFSET(PLE!$G$15,$M18-$A$15,BD$13)="",10^12,OFFSET(PLE!$G$15,$M18-$A$15,BD$13)))</f>
        <v>1000000000000</v>
      </c>
      <c r="BE18" s="179">
        <f ca="1">IF(OR($D18&lt;&gt;"Serviço",AND(AUTOEVENTO="Manual",$M18=$A$15),$M18&gt;(ROW(PLE.lastrow)-ROW(PLE.firstrow))),0,
           IF(OFFSET(PLE!$G$15,$M18-$A$15,BE$13)="",10^12,OFFSET(PLE!$G$15,$M18-$A$15,BE$13)))</f>
        <v>1000000000000</v>
      </c>
      <c r="BF18" s="179">
        <f ca="1">IF(OR($D18&lt;&gt;"Serviço",AND(AUTOEVENTO="Manual",$M18=$A$15),$M18&gt;(ROW(PLE.lastrow)-ROW(PLE.firstrow))),0,
           IF(OFFSET(PLE!$G$15,$M18-$A$15,BF$13)="",10^12,OFFSET(PLE!$G$15,$M18-$A$15,BF$13)))</f>
        <v>1000000000000</v>
      </c>
      <c r="BG18" s="179">
        <f ca="1">IF(OR($D18&lt;&gt;"Serviço",AND(AUTOEVENTO="Manual",$M18=$A$15),$M18&gt;(ROW(PLE.lastrow)-ROW(PLE.firstrow))),0,
           IF(OFFSET(PLE!$G$15,$M18-$A$15,BG$13)="",10^12,OFFSET(PLE!$G$15,$M18-$A$15,BG$13)))</f>
        <v>1000000000000</v>
      </c>
    </row>
    <row r="19" spans="1:59" ht="38.25" x14ac:dyDescent="0.2">
      <c r="A19" s="7" t="str">
        <f ca="1">IF(AUTOEVENTO="Manual",IF(K19&lt;&gt;"",MIN(VALUE(LEFT(K19,FIND(".",K19)-1)),COUNTA(EVENTOS.Lista)),0),IF(OR($B19&gt;AUTOEVENTO,$B19="S",$B19=0),SUBSTITUTE(OFFSET($A19,-1,0),IF($D19="Serviço",".",""),""),ROW(A19)-ROW($A$15)&amp;"."))</f>
        <v>2</v>
      </c>
      <c r="B19" s="7" t="str">
        <f ca="1">OFFSET(ORÇAMENTO!C$15,ROW(B19)-ROW(B$15),0)</f>
        <v>S</v>
      </c>
      <c r="C19" s="7" t="str">
        <f ca="1">OFFSET(ORÇAMENTO!L$15,ROW(C19)-ROW(C$15),0)</f>
        <v/>
      </c>
      <c r="D19" s="118" t="str">
        <f ca="1">OFFSET(ORÇAMENTO!N$15,ROW(D19)-ROW(D$15),0)</f>
        <v>Serviço</v>
      </c>
      <c r="E19" s="119" t="str">
        <f ca="1">OFFSET(ORÇAMENTO!O$15,ROW(E19)-ROW(E$15),0)</f>
        <v>-</v>
      </c>
      <c r="F19" s="170" t="str">
        <f ca="1">OFFSET(ORÇAMENTO!R$15,ROW(F19)-ROW(F$15),0)</f>
        <v>(abra o arquivo 'Referência 04-2026.xlsm)</v>
      </c>
      <c r="G19" s="171" t="str">
        <f ca="1">IF($D19&lt;&gt;"Serviço","",OFFSET(ORÇAMENTO!S$15,ROW(G19)-ROW(G$15),0))</f>
        <v>-</v>
      </c>
      <c r="H19" s="124" cm="1">
        <f t="array" aca="1" ref="H19" ca="1">IF($D19&lt;&gt;"Serviço",0,IF(_xlfn.SINGLE(ACOMPANHAMENTO)="BM",ROUND(OFFSET(ORÇAMENTO!AJ$15,ROW(H19)-ROW(H$15),0),15-13*ORÇAMENTO!$AF$7),SUMPRODUCT(($Q$1:$AA$1)*ROUND($Q19:$AA19,15-13*ORÇAMENTO!$AF$7))))</f>
        <v>30</v>
      </c>
      <c r="I19" s="500" t="s">
        <v>978</v>
      </c>
      <c r="J19" s="633" t="str" cm="1">
        <f t="array" aca="1" ref="J19" ca="1">IF(B19&lt;&gt;"S","",IF(AND(ACOMPANHAMENTO="PLE",AUTOEVENTO="Manual",OR(H19&gt;0,ORÇAMENTO!AC19="QUANT."),OR(K19="",M19=0,N19="")),"►",IF(AND(ACOMPANHAMENTO="PLE",ORÇAMENTO!AC19="QUANT."),"►►",IF(AND(COUNTIF($P$11:$AA$11,"▼")=0,H19&gt;0,I19=""),"◄",""))))</f>
        <v/>
      </c>
      <c r="K19" s="624"/>
      <c r="L19" s="172" t="s">
        <v>253</v>
      </c>
      <c r="M19" s="173">
        <f ca="1">IF($D19&lt;&gt;"Serviço","",
          IF(AUTOEVENTO="manual",$A19,
                IF(ISERROR(MATCH($A19,$A$15:OFFSET($A19,-1,0),0)),MAX($M$15:OFFSET(M19,-1,0))+1,
                      INDEX($M$15:OFFSET(M19,-1,0),MATCH($A19,$A$15:OFFSET($A19,-1,0),0)))))</f>
        <v>1</v>
      </c>
      <c r="N19" s="174" t="str">
        <f ca="1">IF($D19&lt;&gt;"Serviço","",
         IF(AUTOEVENTO="Manual",
                IF($A19=0,"&lt;-- defina o número do agrupador",
                       OFFSET(EVENTOS!$D$15,$A19-$A$15,0)),
                OFFSET($F$15,$A19,0)))</f>
        <v xml:space="preserve">SERVIÇOS PRELIMINARES </v>
      </c>
      <c r="O19" s="175"/>
      <c r="Q19" s="175">
        <v>30</v>
      </c>
      <c r="R19" s="176"/>
      <c r="S19" s="176"/>
      <c r="T19" s="176"/>
      <c r="U19" s="176"/>
      <c r="V19" s="176"/>
      <c r="W19" s="176"/>
      <c r="X19" s="176"/>
      <c r="Y19" s="176"/>
      <c r="Z19" s="177"/>
      <c r="AB19" s="485">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85">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85">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85">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85">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85">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85">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85">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85">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85">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8">
        <f ca="1">IF(OR($D19&lt;&gt;"Serviço",AND(AUTOEVENTO="Manual",$M19=$A$15)),0,
         IF(OFFSET(CRONOPLE!$F$15,$M19-$A$15,AM$13)="",10^12,OFFSET(CRONOPLE!$F$15,$M19-$A$15,AM$13)))</f>
        <v>1</v>
      </c>
      <c r="AN19" s="178">
        <f ca="1">IF(OR($D19&lt;&gt;"Serviço",AND(AUTOEVENTO="Manual",$M19=$A$15)),0,
         IF(OFFSET(CRONOPLE!$F$15,$M19-$A$15,AN$13)="",10^12,OFFSET(CRONOPLE!$F$15,$M19-$A$15,AN$13)))</f>
        <v>1000000000000</v>
      </c>
      <c r="AO19" s="178">
        <f ca="1">IF(OR($D19&lt;&gt;"Serviço",AND(AUTOEVENTO="Manual",$M19=$A$15)),0,
         IF(OFFSET(CRONOPLE!$F$15,$M19-$A$15,AO$13)="",10^12,OFFSET(CRONOPLE!$F$15,$M19-$A$15,AO$13)))</f>
        <v>1000000000000</v>
      </c>
      <c r="AP19" s="178">
        <f ca="1">IF(OR($D19&lt;&gt;"Serviço",AND(AUTOEVENTO="Manual",$M19=$A$15)),0,
         IF(OFFSET(CRONOPLE!$F$15,$M19-$A$15,AP$13)="",10^12,OFFSET(CRONOPLE!$F$15,$M19-$A$15,AP$13)))</f>
        <v>1000000000000</v>
      </c>
      <c r="AQ19" s="178">
        <f ca="1">IF(OR($D19&lt;&gt;"Serviço",AND(AUTOEVENTO="Manual",$M19=$A$15)),0,
         IF(OFFSET(CRONOPLE!$F$15,$M19-$A$15,AQ$13)="",10^12,OFFSET(CRONOPLE!$F$15,$M19-$A$15,AQ$13)))</f>
        <v>1000000000000</v>
      </c>
      <c r="AR19" s="178">
        <f ca="1">IF(OR($D19&lt;&gt;"Serviço",AND(AUTOEVENTO="Manual",$M19=$A$15)),0,
         IF(OFFSET(CRONOPLE!$F$15,$M19-$A$15,AR$13)="",10^12,OFFSET(CRONOPLE!$F$15,$M19-$A$15,AR$13)))</f>
        <v>1000000000000</v>
      </c>
      <c r="AS19" s="178">
        <f ca="1">IF(OR($D19&lt;&gt;"Serviço",AND(AUTOEVENTO="Manual",$M19=$A$15)),0,
         IF(OFFSET(CRONOPLE!$F$15,$M19-$A$15,AS$13)="",10^12,OFFSET(CRONOPLE!$F$15,$M19-$A$15,AS$13)))</f>
        <v>1000000000000</v>
      </c>
      <c r="AT19" s="178">
        <f ca="1">IF(OR($D19&lt;&gt;"Serviço",AND(AUTOEVENTO="Manual",$M19=$A$15)),0,
         IF(OFFSET(CRONOPLE!$F$15,$M19-$A$15,AT$13)="",10^12,OFFSET(CRONOPLE!$F$15,$M19-$A$15,AT$13)))</f>
        <v>1000000000000</v>
      </c>
      <c r="AU19" s="178">
        <f ca="1">IF(OR($D19&lt;&gt;"Serviço",AND(AUTOEVENTO="Manual",$M19=$A$15)),0,
         IF(OFFSET(CRONOPLE!$F$15,$M19-$A$15,AU$13)="",10^12,OFFSET(CRONOPLE!$F$15,$M19-$A$15,AU$13)))</f>
        <v>1000000000000</v>
      </c>
      <c r="AV19" s="178">
        <f ca="1">IF(OR($D19&lt;&gt;"Serviço",AND(AUTOEVENTO="Manual",$M19=$A$15)),0,
         IF(OFFSET(CRONOPLE!$F$15,$M19-$A$15,AV$13)="",10^12,OFFSET(CRONOPLE!$F$15,$M19-$A$15,AV$13)))</f>
        <v>1000000000000</v>
      </c>
      <c r="AX19" s="179">
        <f ca="1">IF(OR($D19&lt;&gt;"Serviço",AND(AUTOEVENTO="Manual",$M19=$A$15),$M19&gt;(ROW(PLE.lastrow)-ROW(PLE.firstrow))),0,
           IF(OFFSET(PLE!$G$15,$M19-$A$15,AX$13)="",10^12,OFFSET(PLE!$G$15,$M19-$A$15,AX$13)))</f>
        <v>1000000000000</v>
      </c>
      <c r="AY19" s="179">
        <f ca="1">IF(OR($D19&lt;&gt;"Serviço",AND(AUTOEVENTO="Manual",$M19=$A$15),$M19&gt;(ROW(PLE.lastrow)-ROW(PLE.firstrow))),0,
           IF(OFFSET(PLE!$G$15,$M19-$A$15,AY$13)="",10^12,OFFSET(PLE!$G$15,$M19-$A$15,AY$13)))</f>
        <v>1000000000000</v>
      </c>
      <c r="AZ19" s="179">
        <f ca="1">IF(OR($D19&lt;&gt;"Serviço",AND(AUTOEVENTO="Manual",$M19=$A$15),$M19&gt;(ROW(PLE.lastrow)-ROW(PLE.firstrow))),0,
           IF(OFFSET(PLE!$G$15,$M19-$A$15,AZ$13)="",10^12,OFFSET(PLE!$G$15,$M19-$A$15,AZ$13)))</f>
        <v>1000000000000</v>
      </c>
      <c r="BA19" s="179">
        <f ca="1">IF(OR($D19&lt;&gt;"Serviço",AND(AUTOEVENTO="Manual",$M19=$A$15),$M19&gt;(ROW(PLE.lastrow)-ROW(PLE.firstrow))),0,
           IF(OFFSET(PLE!$G$15,$M19-$A$15,BA$13)="",10^12,OFFSET(PLE!$G$15,$M19-$A$15,BA$13)))</f>
        <v>1000000000000</v>
      </c>
      <c r="BB19" s="179">
        <f ca="1">IF(OR($D19&lt;&gt;"Serviço",AND(AUTOEVENTO="Manual",$M19=$A$15),$M19&gt;(ROW(PLE.lastrow)-ROW(PLE.firstrow))),0,
           IF(OFFSET(PLE!$G$15,$M19-$A$15,BB$13)="",10^12,OFFSET(PLE!$G$15,$M19-$A$15,BB$13)))</f>
        <v>1000000000000</v>
      </c>
      <c r="BC19" s="179">
        <f ca="1">IF(OR($D19&lt;&gt;"Serviço",AND(AUTOEVENTO="Manual",$M19=$A$15),$M19&gt;(ROW(PLE.lastrow)-ROW(PLE.firstrow))),0,
           IF(OFFSET(PLE!$G$15,$M19-$A$15,BC$13)="",10^12,OFFSET(PLE!$G$15,$M19-$A$15,BC$13)))</f>
        <v>1000000000000</v>
      </c>
      <c r="BD19" s="179">
        <f ca="1">IF(OR($D19&lt;&gt;"Serviço",AND(AUTOEVENTO="Manual",$M19=$A$15),$M19&gt;(ROW(PLE.lastrow)-ROW(PLE.firstrow))),0,
           IF(OFFSET(PLE!$G$15,$M19-$A$15,BD$13)="",10^12,OFFSET(PLE!$G$15,$M19-$A$15,BD$13)))</f>
        <v>1000000000000</v>
      </c>
      <c r="BE19" s="179">
        <f ca="1">IF(OR($D19&lt;&gt;"Serviço",AND(AUTOEVENTO="Manual",$M19=$A$15),$M19&gt;(ROW(PLE.lastrow)-ROW(PLE.firstrow))),0,
           IF(OFFSET(PLE!$G$15,$M19-$A$15,BE$13)="",10^12,OFFSET(PLE!$G$15,$M19-$A$15,BE$13)))</f>
        <v>1000000000000</v>
      </c>
      <c r="BF19" s="179">
        <f ca="1">IF(OR($D19&lt;&gt;"Serviço",AND(AUTOEVENTO="Manual",$M19=$A$15),$M19&gt;(ROW(PLE.lastrow)-ROW(PLE.firstrow))),0,
           IF(OFFSET(PLE!$G$15,$M19-$A$15,BF$13)="",10^12,OFFSET(PLE!$G$15,$M19-$A$15,BF$13)))</f>
        <v>1000000000000</v>
      </c>
      <c r="BG19" s="179">
        <f ca="1">IF(OR($D19&lt;&gt;"Serviço",AND(AUTOEVENTO="Manual",$M19=$A$15),$M19&gt;(ROW(PLE.lastrow)-ROW(PLE.firstrow))),0,
           IF(OFFSET(PLE!$G$15,$M19-$A$15,BG$13)="",10^12,OFFSET(PLE!$G$15,$M19-$A$15,BG$13)))</f>
        <v>1000000000000</v>
      </c>
    </row>
    <row r="20" spans="1:59" ht="12.75" x14ac:dyDescent="0.2">
      <c r="A20" s="7" t="str">
        <f ca="1">IF(AUTOEVENTO="Manual",IF(K20&lt;&gt;"",MIN(VALUE(LEFT(K20,FIND(".",K20)-1)),COUNTA(EVENTOS.Lista)),0),IF(OR($B20&gt;AUTOEVENTO,$B20="S",$B20=0),SUBSTITUTE(OFFSET($A20,-1,0),IF($D20="Serviço",".",""),""),ROW(A20)-ROW($A$15)&amp;"."))</f>
        <v>5.</v>
      </c>
      <c r="B20" s="7">
        <f ca="1">OFFSET(ORÇAMENTO!C$15,ROW(B20)-ROW(B$15),0)</f>
        <v>2</v>
      </c>
      <c r="C20" s="7" t="str">
        <f ca="1">OFFSET(ORÇAMENTO!L$15,ROW(C20)-ROW(C$15),0)</f>
        <v>F</v>
      </c>
      <c r="D20" s="118" t="str">
        <f ca="1">OFFSET(ORÇAMENTO!N$15,ROW(D20)-ROW(D$15),0)</f>
        <v>Nível 2</v>
      </c>
      <c r="E20" s="119" t="str">
        <f ca="1">OFFSET(ORÇAMENTO!O$15,ROW(E20)-ROW(E$15),0)</f>
        <v>1.2.</v>
      </c>
      <c r="F20" s="170" t="str">
        <f ca="1">OFFSET(ORÇAMENTO!R$15,ROW(F20)-ROW(F$15),0)</f>
        <v>ESTRUTURA METÁLICA - PILARES</v>
      </c>
      <c r="G20" s="171" t="str">
        <f ca="1">IF($D20&lt;&gt;"Serviço","",OFFSET(ORÇAMENTO!S$15,ROW(G20)-ROW(G$15),0))</f>
        <v/>
      </c>
      <c r="H20" s="124" cm="1">
        <f t="array" aca="1" ref="H20" ca="1">IF($D20&lt;&gt;"Serviço",0,IF(_xlfn.SINGLE(ACOMPANHAMENTO)="BM",ROUND(OFFSET(ORÇAMENTO!AJ$15,ROW(H20)-ROW(H$15),0),15-13*ORÇAMENTO!$AF$7),SUMPRODUCT(($Q$1:$AA$1)*ROUND($Q20:$AA20,15-13*ORÇAMENTO!$AF$7))))</f>
        <v>0</v>
      </c>
      <c r="I20" s="500"/>
      <c r="J20" s="633" t="str" cm="1">
        <f t="array" aca="1" ref="J20" ca="1">IF(B20&lt;&gt;"S","",IF(AND(ACOMPANHAMENTO="PLE",AUTOEVENTO="Manual",OR(H20&gt;0,ORÇAMENTO!AC20="QUANT."),OR(K20="",M20=0,N20="")),"►",IF(AND(ACOMPANHAMENTO="PLE",ORÇAMENTO!AC20="QUANT."),"►►",IF(AND(COUNTIF($P$11:$AA$11,"▼")=0,H20&gt;0,I20=""),"◄",""))))</f>
        <v/>
      </c>
      <c r="K20" s="624"/>
      <c r="L20" s="172" t="s">
        <v>253</v>
      </c>
      <c r="M20" s="173" t="str">
        <f ca="1">IF($D20&lt;&gt;"Serviço","",
          IF(AUTOEVENTO="manual",$A20,
                IF(ISERROR(MATCH($A20,$A$15:OFFSET($A20,-1,0),0)),MAX($M$15:OFFSET(M20,-1,0))+1,
                      INDEX($M$15:OFFSET(M20,-1,0),MATCH($A20,$A$15:OFFSET($A20,-1,0),0)))))</f>
        <v/>
      </c>
      <c r="N20" s="174" t="str">
        <f ca="1">IF($D20&lt;&gt;"Serviço","",
         IF(AUTOEVENTO="Manual",
                IF($A20=0,"&lt;-- defina o número do agrupador",
                       OFFSET(EVENTOS!$D$15,$A20-$A$15,0)),
                OFFSET($F$15,$A20,0)))</f>
        <v/>
      </c>
      <c r="O20" s="175"/>
      <c r="Q20" s="175"/>
      <c r="R20" s="176"/>
      <c r="S20" s="176"/>
      <c r="T20" s="176"/>
      <c r="U20" s="176"/>
      <c r="V20" s="176"/>
      <c r="W20" s="176"/>
      <c r="X20" s="176"/>
      <c r="Y20" s="176"/>
      <c r="Z20" s="177"/>
      <c r="AB20" s="485">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85">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85">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85">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85">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85">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85">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85">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85">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85">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8">
        <f ca="1">IF(OR($D20&lt;&gt;"Serviço",AND(AUTOEVENTO="Manual",$M20=$A$15)),0,
         IF(OFFSET(CRONOPLE!$F$15,$M20-$A$15,AM$13)="",10^12,OFFSET(CRONOPLE!$F$15,$M20-$A$15,AM$13)))</f>
        <v>0</v>
      </c>
      <c r="AN20" s="178">
        <f ca="1">IF(OR($D20&lt;&gt;"Serviço",AND(AUTOEVENTO="Manual",$M20=$A$15)),0,
         IF(OFFSET(CRONOPLE!$F$15,$M20-$A$15,AN$13)="",10^12,OFFSET(CRONOPLE!$F$15,$M20-$A$15,AN$13)))</f>
        <v>0</v>
      </c>
      <c r="AO20" s="178">
        <f ca="1">IF(OR($D20&lt;&gt;"Serviço",AND(AUTOEVENTO="Manual",$M20=$A$15)),0,
         IF(OFFSET(CRONOPLE!$F$15,$M20-$A$15,AO$13)="",10^12,OFFSET(CRONOPLE!$F$15,$M20-$A$15,AO$13)))</f>
        <v>0</v>
      </c>
      <c r="AP20" s="178">
        <f ca="1">IF(OR($D20&lt;&gt;"Serviço",AND(AUTOEVENTO="Manual",$M20=$A$15)),0,
         IF(OFFSET(CRONOPLE!$F$15,$M20-$A$15,AP$13)="",10^12,OFFSET(CRONOPLE!$F$15,$M20-$A$15,AP$13)))</f>
        <v>0</v>
      </c>
      <c r="AQ20" s="178">
        <f ca="1">IF(OR($D20&lt;&gt;"Serviço",AND(AUTOEVENTO="Manual",$M20=$A$15)),0,
         IF(OFFSET(CRONOPLE!$F$15,$M20-$A$15,AQ$13)="",10^12,OFFSET(CRONOPLE!$F$15,$M20-$A$15,AQ$13)))</f>
        <v>0</v>
      </c>
      <c r="AR20" s="178">
        <f ca="1">IF(OR($D20&lt;&gt;"Serviço",AND(AUTOEVENTO="Manual",$M20=$A$15)),0,
         IF(OFFSET(CRONOPLE!$F$15,$M20-$A$15,AR$13)="",10^12,OFFSET(CRONOPLE!$F$15,$M20-$A$15,AR$13)))</f>
        <v>0</v>
      </c>
      <c r="AS20" s="178">
        <f ca="1">IF(OR($D20&lt;&gt;"Serviço",AND(AUTOEVENTO="Manual",$M20=$A$15)),0,
         IF(OFFSET(CRONOPLE!$F$15,$M20-$A$15,AS$13)="",10^12,OFFSET(CRONOPLE!$F$15,$M20-$A$15,AS$13)))</f>
        <v>0</v>
      </c>
      <c r="AT20" s="178">
        <f ca="1">IF(OR($D20&lt;&gt;"Serviço",AND(AUTOEVENTO="Manual",$M20=$A$15)),0,
         IF(OFFSET(CRONOPLE!$F$15,$M20-$A$15,AT$13)="",10^12,OFFSET(CRONOPLE!$F$15,$M20-$A$15,AT$13)))</f>
        <v>0</v>
      </c>
      <c r="AU20" s="178">
        <f ca="1">IF(OR($D20&lt;&gt;"Serviço",AND(AUTOEVENTO="Manual",$M20=$A$15)),0,
         IF(OFFSET(CRONOPLE!$F$15,$M20-$A$15,AU$13)="",10^12,OFFSET(CRONOPLE!$F$15,$M20-$A$15,AU$13)))</f>
        <v>0</v>
      </c>
      <c r="AV20" s="178">
        <f ca="1">IF(OR($D20&lt;&gt;"Serviço",AND(AUTOEVENTO="Manual",$M20=$A$15)),0,
         IF(OFFSET(CRONOPLE!$F$15,$M20-$A$15,AV$13)="",10^12,OFFSET(CRONOPLE!$F$15,$M20-$A$15,AV$13)))</f>
        <v>0</v>
      </c>
      <c r="AX20" s="179">
        <f ca="1">IF(OR($D20&lt;&gt;"Serviço",AND(AUTOEVENTO="Manual",$M20=$A$15),$M20&gt;(ROW(PLE.lastrow)-ROW(PLE.firstrow))),0,
           IF(OFFSET(PLE!$G$15,$M20-$A$15,AX$13)="",10^12,OFFSET(PLE!$G$15,$M20-$A$15,AX$13)))</f>
        <v>0</v>
      </c>
      <c r="AY20" s="179">
        <f ca="1">IF(OR($D20&lt;&gt;"Serviço",AND(AUTOEVENTO="Manual",$M20=$A$15),$M20&gt;(ROW(PLE.lastrow)-ROW(PLE.firstrow))),0,
           IF(OFFSET(PLE!$G$15,$M20-$A$15,AY$13)="",10^12,OFFSET(PLE!$G$15,$M20-$A$15,AY$13)))</f>
        <v>0</v>
      </c>
      <c r="AZ20" s="179">
        <f ca="1">IF(OR($D20&lt;&gt;"Serviço",AND(AUTOEVENTO="Manual",$M20=$A$15),$M20&gt;(ROW(PLE.lastrow)-ROW(PLE.firstrow))),0,
           IF(OFFSET(PLE!$G$15,$M20-$A$15,AZ$13)="",10^12,OFFSET(PLE!$G$15,$M20-$A$15,AZ$13)))</f>
        <v>0</v>
      </c>
      <c r="BA20" s="179">
        <f ca="1">IF(OR($D20&lt;&gt;"Serviço",AND(AUTOEVENTO="Manual",$M20=$A$15),$M20&gt;(ROW(PLE.lastrow)-ROW(PLE.firstrow))),0,
           IF(OFFSET(PLE!$G$15,$M20-$A$15,BA$13)="",10^12,OFFSET(PLE!$G$15,$M20-$A$15,BA$13)))</f>
        <v>0</v>
      </c>
      <c r="BB20" s="179">
        <f ca="1">IF(OR($D20&lt;&gt;"Serviço",AND(AUTOEVENTO="Manual",$M20=$A$15),$M20&gt;(ROW(PLE.lastrow)-ROW(PLE.firstrow))),0,
           IF(OFFSET(PLE!$G$15,$M20-$A$15,BB$13)="",10^12,OFFSET(PLE!$G$15,$M20-$A$15,BB$13)))</f>
        <v>0</v>
      </c>
      <c r="BC20" s="179">
        <f ca="1">IF(OR($D20&lt;&gt;"Serviço",AND(AUTOEVENTO="Manual",$M20=$A$15),$M20&gt;(ROW(PLE.lastrow)-ROW(PLE.firstrow))),0,
           IF(OFFSET(PLE!$G$15,$M20-$A$15,BC$13)="",10^12,OFFSET(PLE!$G$15,$M20-$A$15,BC$13)))</f>
        <v>0</v>
      </c>
      <c r="BD20" s="179">
        <f ca="1">IF(OR($D20&lt;&gt;"Serviço",AND(AUTOEVENTO="Manual",$M20=$A$15),$M20&gt;(ROW(PLE.lastrow)-ROW(PLE.firstrow))),0,
           IF(OFFSET(PLE!$G$15,$M20-$A$15,BD$13)="",10^12,OFFSET(PLE!$G$15,$M20-$A$15,BD$13)))</f>
        <v>0</v>
      </c>
      <c r="BE20" s="179">
        <f ca="1">IF(OR($D20&lt;&gt;"Serviço",AND(AUTOEVENTO="Manual",$M20=$A$15),$M20&gt;(ROW(PLE.lastrow)-ROW(PLE.firstrow))),0,
           IF(OFFSET(PLE!$G$15,$M20-$A$15,BE$13)="",10^12,OFFSET(PLE!$G$15,$M20-$A$15,BE$13)))</f>
        <v>0</v>
      </c>
      <c r="BF20" s="179">
        <f ca="1">IF(OR($D20&lt;&gt;"Serviço",AND(AUTOEVENTO="Manual",$M20=$A$15),$M20&gt;(ROW(PLE.lastrow)-ROW(PLE.firstrow))),0,
           IF(OFFSET(PLE!$G$15,$M20-$A$15,BF$13)="",10^12,OFFSET(PLE!$G$15,$M20-$A$15,BF$13)))</f>
        <v>0</v>
      </c>
      <c r="BG20" s="179">
        <f ca="1">IF(OR($D20&lt;&gt;"Serviço",AND(AUTOEVENTO="Manual",$M20=$A$15),$M20&gt;(ROW(PLE.lastrow)-ROW(PLE.firstrow))),0,
           IF(OFFSET(PLE!$G$15,$M20-$A$15,BG$13)="",10^12,OFFSET(PLE!$G$15,$M20-$A$15,BG$13)))</f>
        <v>0</v>
      </c>
    </row>
    <row r="21" spans="1:59" ht="38.25" x14ac:dyDescent="0.2">
      <c r="A21" s="7" t="str">
        <f ca="1">IF(AUTOEVENTO="Manual",IF(K21&lt;&gt;"",MIN(VALUE(LEFT(K21,FIND(".",K21)-1)),COUNTA(EVENTOS.Lista)),0),IF(OR($B21&gt;AUTOEVENTO,$B21="S",$B21=0),SUBSTITUTE(OFFSET($A21,-1,0),IF($D21="Serviço",".",""),""),ROW(A21)-ROW($A$15)&amp;"."))</f>
        <v>5</v>
      </c>
      <c r="B21" s="7" t="str">
        <f ca="1">OFFSET(ORÇAMENTO!C$15,ROW(B21)-ROW(B$15),0)</f>
        <v>S</v>
      </c>
      <c r="C21" s="7" t="str">
        <f ca="1">OFFSET(ORÇAMENTO!L$15,ROW(C21)-ROW(C$15),0)</f>
        <v/>
      </c>
      <c r="D21" s="118" t="str">
        <f ca="1">OFFSET(ORÇAMENTO!N$15,ROW(D21)-ROW(D$15),0)</f>
        <v>Serviço</v>
      </c>
      <c r="E21" s="119" t="str">
        <f ca="1">OFFSET(ORÇAMENTO!O$15,ROW(E21)-ROW(E$15),0)</f>
        <v>-</v>
      </c>
      <c r="F21" s="170" t="str">
        <f ca="1">OFFSET(ORÇAMENTO!R$15,ROW(F21)-ROW(F$15),0)</f>
        <v>(abra o arquivo 'Referência 04-2026.xlsm)</v>
      </c>
      <c r="G21" s="171" t="str">
        <f ca="1">IF($D21&lt;&gt;"Serviço","",OFFSET(ORÇAMENTO!S$15,ROW(G21)-ROW(G$15),0))</f>
        <v>-</v>
      </c>
      <c r="H21" s="124" cm="1">
        <f t="array" aca="1" ref="H21" ca="1">IF($D21&lt;&gt;"Serviço",0,IF(_xlfn.SINGLE(ACOMPANHAMENTO)="BM",ROUND(OFFSET(ORÇAMENTO!AJ$15,ROW(H21)-ROW(H$15),0),15-13*ORÇAMENTO!$AF$7),SUMPRODUCT(($Q$1:$AA$1)*ROUND($Q21:$AA21,15-13*ORÇAMENTO!$AF$7))))</f>
        <v>11</v>
      </c>
      <c r="I21" s="500" t="s">
        <v>1050</v>
      </c>
      <c r="J21" s="633" t="str" cm="1">
        <f t="array" aca="1" ref="J21" ca="1">IF(B21&lt;&gt;"S","",IF(AND(ACOMPANHAMENTO="PLE",AUTOEVENTO="Manual",OR(H21&gt;0,ORÇAMENTO!AC21="QUANT."),OR(K21="",M21=0,N21="")),"►",IF(AND(ACOMPANHAMENTO="PLE",ORÇAMENTO!AC21="QUANT."),"►►",IF(AND(COUNTIF($P$11:$AA$11,"▼")=0,H21&gt;0,I21=""),"◄",""))))</f>
        <v/>
      </c>
      <c r="K21" s="624"/>
      <c r="L21" s="172" t="s">
        <v>253</v>
      </c>
      <c r="M21" s="173">
        <f ca="1">IF($D21&lt;&gt;"Serviço","",
          IF(AUTOEVENTO="manual",$A21,
                IF(ISERROR(MATCH($A21,$A$15:OFFSET($A21,-1,0),0)),MAX($M$15:OFFSET(M21,-1,0))+1,
                      INDEX($M$15:OFFSET(M21,-1,0),MATCH($A21,$A$15:OFFSET($A21,-1,0),0)))))</f>
        <v>2</v>
      </c>
      <c r="N21" s="174" t="str">
        <f ca="1">IF($D21&lt;&gt;"Serviço","",
         IF(AUTOEVENTO="Manual",
                IF($A21=0,"&lt;-- defina o número do agrupador",
                       OFFSET(EVENTOS!$D$15,$A21-$A$15,0)),
                OFFSET($F$15,$A21,0)))</f>
        <v>ESTRUTURA METÁLICA - PILARES</v>
      </c>
      <c r="O21" s="175"/>
      <c r="Q21" s="175">
        <v>11</v>
      </c>
      <c r="R21" s="176"/>
      <c r="S21" s="176"/>
      <c r="T21" s="176"/>
      <c r="U21" s="176"/>
      <c r="V21" s="176"/>
      <c r="W21" s="176"/>
      <c r="X21" s="176"/>
      <c r="Y21" s="176"/>
      <c r="Z21" s="177"/>
      <c r="AB21" s="485">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85">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85">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85">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85">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85">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85">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85">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85">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85">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8">
        <f ca="1">IF(OR($D21&lt;&gt;"Serviço",AND(AUTOEVENTO="Manual",$M21=$A$15)),0,
         IF(OFFSET(CRONOPLE!$F$15,$M21-$A$15,AM$13)="",10^12,OFFSET(CRONOPLE!$F$15,$M21-$A$15,AM$13)))</f>
        <v>1</v>
      </c>
      <c r="AN21" s="178">
        <f ca="1">IF(OR($D21&lt;&gt;"Serviço",AND(AUTOEVENTO="Manual",$M21=$A$15)),0,
         IF(OFFSET(CRONOPLE!$F$15,$M21-$A$15,AN$13)="",10^12,OFFSET(CRONOPLE!$F$15,$M21-$A$15,AN$13)))</f>
        <v>1000000000000</v>
      </c>
      <c r="AO21" s="178">
        <f ca="1">IF(OR($D21&lt;&gt;"Serviço",AND(AUTOEVENTO="Manual",$M21=$A$15)),0,
         IF(OFFSET(CRONOPLE!$F$15,$M21-$A$15,AO$13)="",10^12,OFFSET(CRONOPLE!$F$15,$M21-$A$15,AO$13)))</f>
        <v>1000000000000</v>
      </c>
      <c r="AP21" s="178">
        <f ca="1">IF(OR($D21&lt;&gt;"Serviço",AND(AUTOEVENTO="Manual",$M21=$A$15)),0,
         IF(OFFSET(CRONOPLE!$F$15,$M21-$A$15,AP$13)="",10^12,OFFSET(CRONOPLE!$F$15,$M21-$A$15,AP$13)))</f>
        <v>1000000000000</v>
      </c>
      <c r="AQ21" s="178">
        <f ca="1">IF(OR($D21&lt;&gt;"Serviço",AND(AUTOEVENTO="Manual",$M21=$A$15)),0,
         IF(OFFSET(CRONOPLE!$F$15,$M21-$A$15,AQ$13)="",10^12,OFFSET(CRONOPLE!$F$15,$M21-$A$15,AQ$13)))</f>
        <v>1000000000000</v>
      </c>
      <c r="AR21" s="178">
        <f ca="1">IF(OR($D21&lt;&gt;"Serviço",AND(AUTOEVENTO="Manual",$M21=$A$15)),0,
         IF(OFFSET(CRONOPLE!$F$15,$M21-$A$15,AR$13)="",10^12,OFFSET(CRONOPLE!$F$15,$M21-$A$15,AR$13)))</f>
        <v>1000000000000</v>
      </c>
      <c r="AS21" s="178">
        <f ca="1">IF(OR($D21&lt;&gt;"Serviço",AND(AUTOEVENTO="Manual",$M21=$A$15)),0,
         IF(OFFSET(CRONOPLE!$F$15,$M21-$A$15,AS$13)="",10^12,OFFSET(CRONOPLE!$F$15,$M21-$A$15,AS$13)))</f>
        <v>1000000000000</v>
      </c>
      <c r="AT21" s="178">
        <f ca="1">IF(OR($D21&lt;&gt;"Serviço",AND(AUTOEVENTO="Manual",$M21=$A$15)),0,
         IF(OFFSET(CRONOPLE!$F$15,$M21-$A$15,AT$13)="",10^12,OFFSET(CRONOPLE!$F$15,$M21-$A$15,AT$13)))</f>
        <v>1000000000000</v>
      </c>
      <c r="AU21" s="178">
        <f ca="1">IF(OR($D21&lt;&gt;"Serviço",AND(AUTOEVENTO="Manual",$M21=$A$15)),0,
         IF(OFFSET(CRONOPLE!$F$15,$M21-$A$15,AU$13)="",10^12,OFFSET(CRONOPLE!$F$15,$M21-$A$15,AU$13)))</f>
        <v>1000000000000</v>
      </c>
      <c r="AV21" s="178">
        <f ca="1">IF(OR($D21&lt;&gt;"Serviço",AND(AUTOEVENTO="Manual",$M21=$A$15)),0,
         IF(OFFSET(CRONOPLE!$F$15,$M21-$A$15,AV$13)="",10^12,OFFSET(CRONOPLE!$F$15,$M21-$A$15,AV$13)))</f>
        <v>1000000000000</v>
      </c>
      <c r="AX21" s="179">
        <f ca="1">IF(OR($D21&lt;&gt;"Serviço",AND(AUTOEVENTO="Manual",$M21=$A$15),$M21&gt;(ROW(PLE.lastrow)-ROW(PLE.firstrow))),0,
           IF(OFFSET(PLE!$G$15,$M21-$A$15,AX$13)="",10^12,OFFSET(PLE!$G$15,$M21-$A$15,AX$13)))</f>
        <v>1000000000000</v>
      </c>
      <c r="AY21" s="179">
        <f ca="1">IF(OR($D21&lt;&gt;"Serviço",AND(AUTOEVENTO="Manual",$M21=$A$15),$M21&gt;(ROW(PLE.lastrow)-ROW(PLE.firstrow))),0,
           IF(OFFSET(PLE!$G$15,$M21-$A$15,AY$13)="",10^12,OFFSET(PLE!$G$15,$M21-$A$15,AY$13)))</f>
        <v>1000000000000</v>
      </c>
      <c r="AZ21" s="179">
        <f ca="1">IF(OR($D21&lt;&gt;"Serviço",AND(AUTOEVENTO="Manual",$M21=$A$15),$M21&gt;(ROW(PLE.lastrow)-ROW(PLE.firstrow))),0,
           IF(OFFSET(PLE!$G$15,$M21-$A$15,AZ$13)="",10^12,OFFSET(PLE!$G$15,$M21-$A$15,AZ$13)))</f>
        <v>1000000000000</v>
      </c>
      <c r="BA21" s="179">
        <f ca="1">IF(OR($D21&lt;&gt;"Serviço",AND(AUTOEVENTO="Manual",$M21=$A$15),$M21&gt;(ROW(PLE.lastrow)-ROW(PLE.firstrow))),0,
           IF(OFFSET(PLE!$G$15,$M21-$A$15,BA$13)="",10^12,OFFSET(PLE!$G$15,$M21-$A$15,BA$13)))</f>
        <v>1000000000000</v>
      </c>
      <c r="BB21" s="179">
        <f ca="1">IF(OR($D21&lt;&gt;"Serviço",AND(AUTOEVENTO="Manual",$M21=$A$15),$M21&gt;(ROW(PLE.lastrow)-ROW(PLE.firstrow))),0,
           IF(OFFSET(PLE!$G$15,$M21-$A$15,BB$13)="",10^12,OFFSET(PLE!$G$15,$M21-$A$15,BB$13)))</f>
        <v>1000000000000</v>
      </c>
      <c r="BC21" s="179">
        <f ca="1">IF(OR($D21&lt;&gt;"Serviço",AND(AUTOEVENTO="Manual",$M21=$A$15),$M21&gt;(ROW(PLE.lastrow)-ROW(PLE.firstrow))),0,
           IF(OFFSET(PLE!$G$15,$M21-$A$15,BC$13)="",10^12,OFFSET(PLE!$G$15,$M21-$A$15,BC$13)))</f>
        <v>1000000000000</v>
      </c>
      <c r="BD21" s="179">
        <f ca="1">IF(OR($D21&lt;&gt;"Serviço",AND(AUTOEVENTO="Manual",$M21=$A$15),$M21&gt;(ROW(PLE.lastrow)-ROW(PLE.firstrow))),0,
           IF(OFFSET(PLE!$G$15,$M21-$A$15,BD$13)="",10^12,OFFSET(PLE!$G$15,$M21-$A$15,BD$13)))</f>
        <v>1000000000000</v>
      </c>
      <c r="BE21" s="179">
        <f ca="1">IF(OR($D21&lt;&gt;"Serviço",AND(AUTOEVENTO="Manual",$M21=$A$15),$M21&gt;(ROW(PLE.lastrow)-ROW(PLE.firstrow))),0,
           IF(OFFSET(PLE!$G$15,$M21-$A$15,BE$13)="",10^12,OFFSET(PLE!$G$15,$M21-$A$15,BE$13)))</f>
        <v>1000000000000</v>
      </c>
      <c r="BF21" s="179">
        <f ca="1">IF(OR($D21&lt;&gt;"Serviço",AND(AUTOEVENTO="Manual",$M21=$A$15),$M21&gt;(ROW(PLE.lastrow)-ROW(PLE.firstrow))),0,
           IF(OFFSET(PLE!$G$15,$M21-$A$15,BF$13)="",10^12,OFFSET(PLE!$G$15,$M21-$A$15,BF$13)))</f>
        <v>1000000000000</v>
      </c>
      <c r="BG21" s="179">
        <f ca="1">IF(OR($D21&lt;&gt;"Serviço",AND(AUTOEVENTO="Manual",$M21=$A$15),$M21&gt;(ROW(PLE.lastrow)-ROW(PLE.firstrow))),0,
           IF(OFFSET(PLE!$G$15,$M21-$A$15,BG$13)="",10^12,OFFSET(PLE!$G$15,$M21-$A$15,BG$13)))</f>
        <v>1000000000000</v>
      </c>
    </row>
    <row r="22" spans="1:59" ht="25.5" x14ac:dyDescent="0.2">
      <c r="A22" s="7" t="str">
        <f ca="1">IF(AUTOEVENTO="Manual",IF(K22&lt;&gt;"",MIN(VALUE(LEFT(K22,FIND(".",K22)-1)),COUNTA(EVENTOS.Lista)),0),IF(OR($B22&gt;AUTOEVENTO,$B22="S",$B22=0),SUBSTITUTE(OFFSET($A22,-1,0),IF($D22="Serviço",".",""),""),ROW(A22)-ROW($A$15)&amp;"."))</f>
        <v>5</v>
      </c>
      <c r="B22" s="7" t="str">
        <f ca="1">OFFSET(ORÇAMENTO!C$15,ROW(B22)-ROW(B$15),0)</f>
        <v>S</v>
      </c>
      <c r="C22" s="7" t="str">
        <f ca="1">OFFSET(ORÇAMENTO!L$15,ROW(C22)-ROW(C$15),0)</f>
        <v/>
      </c>
      <c r="D22" s="118" t="str">
        <f ca="1">OFFSET(ORÇAMENTO!N$15,ROW(D22)-ROW(D$15),0)</f>
        <v>Serviço</v>
      </c>
      <c r="E22" s="119" t="str">
        <f ca="1">OFFSET(ORÇAMENTO!O$15,ROW(E22)-ROW(E$15),0)</f>
        <v>-</v>
      </c>
      <c r="F22" s="170" t="str">
        <f ca="1">OFFSET(ORÇAMENTO!R$15,ROW(F22)-ROW(F$15),0)</f>
        <v>(abra o arquivo 'Referência 04-2026.xlsm)</v>
      </c>
      <c r="G22" s="171" t="str">
        <f ca="1">IF($D22&lt;&gt;"Serviço","",OFFSET(ORÇAMENTO!S$15,ROW(G22)-ROW(G$15),0))</f>
        <v>-</v>
      </c>
      <c r="H22" s="124" cm="1">
        <f t="array" aca="1" ref="H22" ca="1">IF($D22&lt;&gt;"Serviço",0,IF(_xlfn.SINGLE(ACOMPANHAMENTO)="BM",ROUND(OFFSET(ORÇAMENTO!AJ$15,ROW(H22)-ROW(H$15),0),15-13*ORÇAMENTO!$AF$7),SUMPRODUCT(($Q$1:$AA$1)*ROUND($Q22:$AA22,15-13*ORÇAMENTO!$AF$7))))</f>
        <v>46.31</v>
      </c>
      <c r="I22" s="500" t="s">
        <v>1023</v>
      </c>
      <c r="J22" s="633" t="str" cm="1">
        <f t="array" aca="1" ref="J22" ca="1">IF(B22&lt;&gt;"S","",IF(AND(ACOMPANHAMENTO="PLE",AUTOEVENTO="Manual",OR(H22&gt;0,ORÇAMENTO!AC22="QUANT."),OR(K22="",M22=0,N22="")),"►",IF(AND(ACOMPANHAMENTO="PLE",ORÇAMENTO!AC22="QUANT."),"►►",IF(AND(COUNTIF($P$11:$AA$11,"▼")=0,H22&gt;0,I22=""),"◄",""))))</f>
        <v/>
      </c>
      <c r="K22" s="624"/>
      <c r="L22" s="172" t="s">
        <v>253</v>
      </c>
      <c r="M22" s="173">
        <f ca="1">IF($D22&lt;&gt;"Serviço","",
          IF(AUTOEVENTO="manual",$A22,
                IF(ISERROR(MATCH($A22,$A$15:OFFSET($A22,-1,0),0)),MAX($M$15:OFFSET(M22,-1,0))+1,
                      INDEX($M$15:OFFSET(M22,-1,0),MATCH($A22,$A$15:OFFSET($A22,-1,0),0)))))</f>
        <v>2</v>
      </c>
      <c r="N22" s="174" t="str">
        <f ca="1">IF($D22&lt;&gt;"Serviço","",
         IF(AUTOEVENTO="Manual",
                IF($A22=0,"&lt;-- defina o número do agrupador",
                       OFFSET(EVENTOS!$D$15,$A22-$A$15,0)),
                OFFSET($F$15,$A22,0)))</f>
        <v>ESTRUTURA METÁLICA - PILARES</v>
      </c>
      <c r="O22" s="175"/>
      <c r="Q22" s="175">
        <f>0.15*1.5*1*7+3*4.97*3</f>
        <v>46.305000000000007</v>
      </c>
      <c r="R22" s="176"/>
      <c r="S22" s="176"/>
      <c r="T22" s="176"/>
      <c r="U22" s="176"/>
      <c r="V22" s="176"/>
      <c r="W22" s="176"/>
      <c r="X22" s="176"/>
      <c r="Y22" s="176"/>
      <c r="Z22" s="177"/>
      <c r="AB22" s="485">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85">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85">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85">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85">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85">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85">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85">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85">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85">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8">
        <f ca="1">IF(OR($D22&lt;&gt;"Serviço",AND(AUTOEVENTO="Manual",$M22=$A$15)),0,
         IF(OFFSET(CRONOPLE!$F$15,$M22-$A$15,AM$13)="",10^12,OFFSET(CRONOPLE!$F$15,$M22-$A$15,AM$13)))</f>
        <v>1</v>
      </c>
      <c r="AN22" s="178">
        <f ca="1">IF(OR($D22&lt;&gt;"Serviço",AND(AUTOEVENTO="Manual",$M22=$A$15)),0,
         IF(OFFSET(CRONOPLE!$F$15,$M22-$A$15,AN$13)="",10^12,OFFSET(CRONOPLE!$F$15,$M22-$A$15,AN$13)))</f>
        <v>1000000000000</v>
      </c>
      <c r="AO22" s="178">
        <f ca="1">IF(OR($D22&lt;&gt;"Serviço",AND(AUTOEVENTO="Manual",$M22=$A$15)),0,
         IF(OFFSET(CRONOPLE!$F$15,$M22-$A$15,AO$13)="",10^12,OFFSET(CRONOPLE!$F$15,$M22-$A$15,AO$13)))</f>
        <v>1000000000000</v>
      </c>
      <c r="AP22" s="178">
        <f ca="1">IF(OR($D22&lt;&gt;"Serviço",AND(AUTOEVENTO="Manual",$M22=$A$15)),0,
         IF(OFFSET(CRONOPLE!$F$15,$M22-$A$15,AP$13)="",10^12,OFFSET(CRONOPLE!$F$15,$M22-$A$15,AP$13)))</f>
        <v>1000000000000</v>
      </c>
      <c r="AQ22" s="178">
        <f ca="1">IF(OR($D22&lt;&gt;"Serviço",AND(AUTOEVENTO="Manual",$M22=$A$15)),0,
         IF(OFFSET(CRONOPLE!$F$15,$M22-$A$15,AQ$13)="",10^12,OFFSET(CRONOPLE!$F$15,$M22-$A$15,AQ$13)))</f>
        <v>1000000000000</v>
      </c>
      <c r="AR22" s="178">
        <f ca="1">IF(OR($D22&lt;&gt;"Serviço",AND(AUTOEVENTO="Manual",$M22=$A$15)),0,
         IF(OFFSET(CRONOPLE!$F$15,$M22-$A$15,AR$13)="",10^12,OFFSET(CRONOPLE!$F$15,$M22-$A$15,AR$13)))</f>
        <v>1000000000000</v>
      </c>
      <c r="AS22" s="178">
        <f ca="1">IF(OR($D22&lt;&gt;"Serviço",AND(AUTOEVENTO="Manual",$M22=$A$15)),0,
         IF(OFFSET(CRONOPLE!$F$15,$M22-$A$15,AS$13)="",10^12,OFFSET(CRONOPLE!$F$15,$M22-$A$15,AS$13)))</f>
        <v>1000000000000</v>
      </c>
      <c r="AT22" s="178">
        <f ca="1">IF(OR($D22&lt;&gt;"Serviço",AND(AUTOEVENTO="Manual",$M22=$A$15)),0,
         IF(OFFSET(CRONOPLE!$F$15,$M22-$A$15,AT$13)="",10^12,OFFSET(CRONOPLE!$F$15,$M22-$A$15,AT$13)))</f>
        <v>1000000000000</v>
      </c>
      <c r="AU22" s="178">
        <f ca="1">IF(OR($D22&lt;&gt;"Serviço",AND(AUTOEVENTO="Manual",$M22=$A$15)),0,
         IF(OFFSET(CRONOPLE!$F$15,$M22-$A$15,AU$13)="",10^12,OFFSET(CRONOPLE!$F$15,$M22-$A$15,AU$13)))</f>
        <v>1000000000000</v>
      </c>
      <c r="AV22" s="178">
        <f ca="1">IF(OR($D22&lt;&gt;"Serviço",AND(AUTOEVENTO="Manual",$M22=$A$15)),0,
         IF(OFFSET(CRONOPLE!$F$15,$M22-$A$15,AV$13)="",10^12,OFFSET(CRONOPLE!$F$15,$M22-$A$15,AV$13)))</f>
        <v>1000000000000</v>
      </c>
      <c r="AX22" s="179">
        <f ca="1">IF(OR($D22&lt;&gt;"Serviço",AND(AUTOEVENTO="Manual",$M22=$A$15),$M22&gt;(ROW(PLE.lastrow)-ROW(PLE.firstrow))),0,
           IF(OFFSET(PLE!$G$15,$M22-$A$15,AX$13)="",10^12,OFFSET(PLE!$G$15,$M22-$A$15,AX$13)))</f>
        <v>1000000000000</v>
      </c>
      <c r="AY22" s="179">
        <f ca="1">IF(OR($D22&lt;&gt;"Serviço",AND(AUTOEVENTO="Manual",$M22=$A$15),$M22&gt;(ROW(PLE.lastrow)-ROW(PLE.firstrow))),0,
           IF(OFFSET(PLE!$G$15,$M22-$A$15,AY$13)="",10^12,OFFSET(PLE!$G$15,$M22-$A$15,AY$13)))</f>
        <v>1000000000000</v>
      </c>
      <c r="AZ22" s="179">
        <f ca="1">IF(OR($D22&lt;&gt;"Serviço",AND(AUTOEVENTO="Manual",$M22=$A$15),$M22&gt;(ROW(PLE.lastrow)-ROW(PLE.firstrow))),0,
           IF(OFFSET(PLE!$G$15,$M22-$A$15,AZ$13)="",10^12,OFFSET(PLE!$G$15,$M22-$A$15,AZ$13)))</f>
        <v>1000000000000</v>
      </c>
      <c r="BA22" s="179">
        <f ca="1">IF(OR($D22&lt;&gt;"Serviço",AND(AUTOEVENTO="Manual",$M22=$A$15),$M22&gt;(ROW(PLE.lastrow)-ROW(PLE.firstrow))),0,
           IF(OFFSET(PLE!$G$15,$M22-$A$15,BA$13)="",10^12,OFFSET(PLE!$G$15,$M22-$A$15,BA$13)))</f>
        <v>1000000000000</v>
      </c>
      <c r="BB22" s="179">
        <f ca="1">IF(OR($D22&lt;&gt;"Serviço",AND(AUTOEVENTO="Manual",$M22=$A$15),$M22&gt;(ROW(PLE.lastrow)-ROW(PLE.firstrow))),0,
           IF(OFFSET(PLE!$G$15,$M22-$A$15,BB$13)="",10^12,OFFSET(PLE!$G$15,$M22-$A$15,BB$13)))</f>
        <v>1000000000000</v>
      </c>
      <c r="BC22" s="179">
        <f ca="1">IF(OR($D22&lt;&gt;"Serviço",AND(AUTOEVENTO="Manual",$M22=$A$15),$M22&gt;(ROW(PLE.lastrow)-ROW(PLE.firstrow))),0,
           IF(OFFSET(PLE!$G$15,$M22-$A$15,BC$13)="",10^12,OFFSET(PLE!$G$15,$M22-$A$15,BC$13)))</f>
        <v>1000000000000</v>
      </c>
      <c r="BD22" s="179">
        <f ca="1">IF(OR($D22&lt;&gt;"Serviço",AND(AUTOEVENTO="Manual",$M22=$A$15),$M22&gt;(ROW(PLE.lastrow)-ROW(PLE.firstrow))),0,
           IF(OFFSET(PLE!$G$15,$M22-$A$15,BD$13)="",10^12,OFFSET(PLE!$G$15,$M22-$A$15,BD$13)))</f>
        <v>1000000000000</v>
      </c>
      <c r="BE22" s="179">
        <f ca="1">IF(OR($D22&lt;&gt;"Serviço",AND(AUTOEVENTO="Manual",$M22=$A$15),$M22&gt;(ROW(PLE.lastrow)-ROW(PLE.firstrow))),0,
           IF(OFFSET(PLE!$G$15,$M22-$A$15,BE$13)="",10^12,OFFSET(PLE!$G$15,$M22-$A$15,BE$13)))</f>
        <v>1000000000000</v>
      </c>
      <c r="BF22" s="179">
        <f ca="1">IF(OR($D22&lt;&gt;"Serviço",AND(AUTOEVENTO="Manual",$M22=$A$15),$M22&gt;(ROW(PLE.lastrow)-ROW(PLE.firstrow))),0,
           IF(OFFSET(PLE!$G$15,$M22-$A$15,BF$13)="",10^12,OFFSET(PLE!$G$15,$M22-$A$15,BF$13)))</f>
        <v>1000000000000</v>
      </c>
      <c r="BG22" s="179">
        <f ca="1">IF(OR($D22&lt;&gt;"Serviço",AND(AUTOEVENTO="Manual",$M22=$A$15),$M22&gt;(ROW(PLE.lastrow)-ROW(PLE.firstrow))),0,
           IF(OFFSET(PLE!$G$15,$M22-$A$15,BG$13)="",10^12,OFFSET(PLE!$G$15,$M22-$A$15,BG$13)))</f>
        <v>1000000000000</v>
      </c>
    </row>
    <row r="23" spans="1:59" ht="25.5" x14ac:dyDescent="0.2">
      <c r="A23" s="7" t="str">
        <f ca="1">IF(AUTOEVENTO="Manual",IF(K23&lt;&gt;"",MIN(VALUE(LEFT(K23,FIND(".",K23)-1)),COUNTA(EVENTOS.Lista)),0),IF(OR($B23&gt;AUTOEVENTO,$B23="S",$B23=0),SUBSTITUTE(OFFSET($A23,-1,0),IF($D23="Serviço",".",""),""),ROW(A23)-ROW($A$15)&amp;"."))</f>
        <v>5</v>
      </c>
      <c r="B23" s="7" t="str">
        <f ca="1">OFFSET(ORÇAMENTO!C$15,ROW(B23)-ROW(B$15),0)</f>
        <v>S</v>
      </c>
      <c r="C23" s="7" t="str">
        <f ca="1">OFFSET(ORÇAMENTO!L$15,ROW(C23)-ROW(C$15),0)</f>
        <v/>
      </c>
      <c r="D23" s="118" t="str">
        <f ca="1">OFFSET(ORÇAMENTO!N$15,ROW(D23)-ROW(D$15),0)</f>
        <v>Serviço</v>
      </c>
      <c r="E23" s="119" t="str">
        <f ca="1">OFFSET(ORÇAMENTO!O$15,ROW(E23)-ROW(E$15),0)</f>
        <v>-</v>
      </c>
      <c r="F23" s="170" t="str">
        <f ca="1">OFFSET(ORÇAMENTO!R$15,ROW(F23)-ROW(F$15),0)</f>
        <v>(abra o arquivo 'Referência 04-2026.xlsm)</v>
      </c>
      <c r="G23" s="171" t="str">
        <f ca="1">IF($D23&lt;&gt;"Serviço","",OFFSET(ORÇAMENTO!S$15,ROW(G23)-ROW(G$15),0))</f>
        <v>-</v>
      </c>
      <c r="H23" s="124" cm="1">
        <f t="array" aca="1" ref="H23" ca="1">IF($D23&lt;&gt;"Serviço",0,IF(_xlfn.SINGLE(ACOMPANHAMENTO)="BM",ROUND(OFFSET(ORÇAMENTO!AJ$15,ROW(H23)-ROW(H$15),0),15-13*ORÇAMENTO!$AF$7),SUMPRODUCT(($Q$1:$AA$1)*ROUND($Q23:$AA23,15-13*ORÇAMENTO!$AF$7))))</f>
        <v>11</v>
      </c>
      <c r="I23" s="500" t="s">
        <v>1050</v>
      </c>
      <c r="J23" s="633" t="str" cm="1">
        <f t="array" aca="1" ref="J23" ca="1">IF(B23&lt;&gt;"S","",IF(AND(ACOMPANHAMENTO="PLE",AUTOEVENTO="Manual",OR(H23&gt;0,ORÇAMENTO!AC23="QUANT."),OR(K23="",M23=0,N23="")),"►",IF(AND(ACOMPANHAMENTO="PLE",ORÇAMENTO!AC23="QUANT."),"►►",IF(AND(COUNTIF($P$11:$AA$11,"▼")=0,H23&gt;0,I23=""),"◄",""))))</f>
        <v/>
      </c>
      <c r="K23" s="624"/>
      <c r="L23" s="172" t="s">
        <v>253</v>
      </c>
      <c r="M23" s="173">
        <f ca="1">IF($D23&lt;&gt;"Serviço","",
          IF(AUTOEVENTO="manual",$A23,
                IF(ISERROR(MATCH($A23,$A$15:OFFSET($A23,-1,0),0)),MAX($M$15:OFFSET(M23,-1,0))+1,
                      INDEX($M$15:OFFSET(M23,-1,0),MATCH($A23,$A$15:OFFSET($A23,-1,0),0)))))</f>
        <v>2</v>
      </c>
      <c r="N23" s="174" t="str">
        <f ca="1">IF($D23&lt;&gt;"Serviço","",
         IF(AUTOEVENTO="Manual",
                IF($A23=0,"&lt;-- defina o número do agrupador",
                       OFFSET(EVENTOS!$D$15,$A23-$A$15,0)),
                OFFSET($F$15,$A23,0)))</f>
        <v>ESTRUTURA METÁLICA - PILARES</v>
      </c>
      <c r="O23" s="175"/>
      <c r="Q23" s="175">
        <v>11</v>
      </c>
      <c r="R23" s="176"/>
      <c r="S23" s="176"/>
      <c r="T23" s="176"/>
      <c r="U23" s="176"/>
      <c r="V23" s="176"/>
      <c r="W23" s="176"/>
      <c r="X23" s="176"/>
      <c r="Y23" s="176"/>
      <c r="Z23" s="177"/>
      <c r="AB23" s="485">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85">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85">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85">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85">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85">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85">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85">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85">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85">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8">
        <f ca="1">IF(OR($D23&lt;&gt;"Serviço",AND(AUTOEVENTO="Manual",$M23=$A$15)),0,
         IF(OFFSET(CRONOPLE!$F$15,$M23-$A$15,AM$13)="",10^12,OFFSET(CRONOPLE!$F$15,$M23-$A$15,AM$13)))</f>
        <v>1</v>
      </c>
      <c r="AN23" s="178">
        <f ca="1">IF(OR($D23&lt;&gt;"Serviço",AND(AUTOEVENTO="Manual",$M23=$A$15)),0,
         IF(OFFSET(CRONOPLE!$F$15,$M23-$A$15,AN$13)="",10^12,OFFSET(CRONOPLE!$F$15,$M23-$A$15,AN$13)))</f>
        <v>1000000000000</v>
      </c>
      <c r="AO23" s="178">
        <f ca="1">IF(OR($D23&lt;&gt;"Serviço",AND(AUTOEVENTO="Manual",$M23=$A$15)),0,
         IF(OFFSET(CRONOPLE!$F$15,$M23-$A$15,AO$13)="",10^12,OFFSET(CRONOPLE!$F$15,$M23-$A$15,AO$13)))</f>
        <v>1000000000000</v>
      </c>
      <c r="AP23" s="178">
        <f ca="1">IF(OR($D23&lt;&gt;"Serviço",AND(AUTOEVENTO="Manual",$M23=$A$15)),0,
         IF(OFFSET(CRONOPLE!$F$15,$M23-$A$15,AP$13)="",10^12,OFFSET(CRONOPLE!$F$15,$M23-$A$15,AP$13)))</f>
        <v>1000000000000</v>
      </c>
      <c r="AQ23" s="178">
        <f ca="1">IF(OR($D23&lt;&gt;"Serviço",AND(AUTOEVENTO="Manual",$M23=$A$15)),0,
         IF(OFFSET(CRONOPLE!$F$15,$M23-$A$15,AQ$13)="",10^12,OFFSET(CRONOPLE!$F$15,$M23-$A$15,AQ$13)))</f>
        <v>1000000000000</v>
      </c>
      <c r="AR23" s="178">
        <f ca="1">IF(OR($D23&lt;&gt;"Serviço",AND(AUTOEVENTO="Manual",$M23=$A$15)),0,
         IF(OFFSET(CRONOPLE!$F$15,$M23-$A$15,AR$13)="",10^12,OFFSET(CRONOPLE!$F$15,$M23-$A$15,AR$13)))</f>
        <v>1000000000000</v>
      </c>
      <c r="AS23" s="178">
        <f ca="1">IF(OR($D23&lt;&gt;"Serviço",AND(AUTOEVENTO="Manual",$M23=$A$15)),0,
         IF(OFFSET(CRONOPLE!$F$15,$M23-$A$15,AS$13)="",10^12,OFFSET(CRONOPLE!$F$15,$M23-$A$15,AS$13)))</f>
        <v>1000000000000</v>
      </c>
      <c r="AT23" s="178">
        <f ca="1">IF(OR($D23&lt;&gt;"Serviço",AND(AUTOEVENTO="Manual",$M23=$A$15)),0,
         IF(OFFSET(CRONOPLE!$F$15,$M23-$A$15,AT$13)="",10^12,OFFSET(CRONOPLE!$F$15,$M23-$A$15,AT$13)))</f>
        <v>1000000000000</v>
      </c>
      <c r="AU23" s="178">
        <f ca="1">IF(OR($D23&lt;&gt;"Serviço",AND(AUTOEVENTO="Manual",$M23=$A$15)),0,
         IF(OFFSET(CRONOPLE!$F$15,$M23-$A$15,AU$13)="",10^12,OFFSET(CRONOPLE!$F$15,$M23-$A$15,AU$13)))</f>
        <v>1000000000000</v>
      </c>
      <c r="AV23" s="178">
        <f ca="1">IF(OR($D23&lt;&gt;"Serviço",AND(AUTOEVENTO="Manual",$M23=$A$15)),0,
         IF(OFFSET(CRONOPLE!$F$15,$M23-$A$15,AV$13)="",10^12,OFFSET(CRONOPLE!$F$15,$M23-$A$15,AV$13)))</f>
        <v>1000000000000</v>
      </c>
      <c r="AX23" s="179">
        <f ca="1">IF(OR($D23&lt;&gt;"Serviço",AND(AUTOEVENTO="Manual",$M23=$A$15),$M23&gt;(ROW(PLE.lastrow)-ROW(PLE.firstrow))),0,
           IF(OFFSET(PLE!$G$15,$M23-$A$15,AX$13)="",10^12,OFFSET(PLE!$G$15,$M23-$A$15,AX$13)))</f>
        <v>1000000000000</v>
      </c>
      <c r="AY23" s="179">
        <f ca="1">IF(OR($D23&lt;&gt;"Serviço",AND(AUTOEVENTO="Manual",$M23=$A$15),$M23&gt;(ROW(PLE.lastrow)-ROW(PLE.firstrow))),0,
           IF(OFFSET(PLE!$G$15,$M23-$A$15,AY$13)="",10^12,OFFSET(PLE!$G$15,$M23-$A$15,AY$13)))</f>
        <v>1000000000000</v>
      </c>
      <c r="AZ23" s="179">
        <f ca="1">IF(OR($D23&lt;&gt;"Serviço",AND(AUTOEVENTO="Manual",$M23=$A$15),$M23&gt;(ROW(PLE.lastrow)-ROW(PLE.firstrow))),0,
           IF(OFFSET(PLE!$G$15,$M23-$A$15,AZ$13)="",10^12,OFFSET(PLE!$G$15,$M23-$A$15,AZ$13)))</f>
        <v>1000000000000</v>
      </c>
      <c r="BA23" s="179">
        <f ca="1">IF(OR($D23&lt;&gt;"Serviço",AND(AUTOEVENTO="Manual",$M23=$A$15),$M23&gt;(ROW(PLE.lastrow)-ROW(PLE.firstrow))),0,
           IF(OFFSET(PLE!$G$15,$M23-$A$15,BA$13)="",10^12,OFFSET(PLE!$G$15,$M23-$A$15,BA$13)))</f>
        <v>1000000000000</v>
      </c>
      <c r="BB23" s="179">
        <f ca="1">IF(OR($D23&lt;&gt;"Serviço",AND(AUTOEVENTO="Manual",$M23=$A$15),$M23&gt;(ROW(PLE.lastrow)-ROW(PLE.firstrow))),0,
           IF(OFFSET(PLE!$G$15,$M23-$A$15,BB$13)="",10^12,OFFSET(PLE!$G$15,$M23-$A$15,BB$13)))</f>
        <v>1000000000000</v>
      </c>
      <c r="BC23" s="179">
        <f ca="1">IF(OR($D23&lt;&gt;"Serviço",AND(AUTOEVENTO="Manual",$M23=$A$15),$M23&gt;(ROW(PLE.lastrow)-ROW(PLE.firstrow))),0,
           IF(OFFSET(PLE!$G$15,$M23-$A$15,BC$13)="",10^12,OFFSET(PLE!$G$15,$M23-$A$15,BC$13)))</f>
        <v>1000000000000</v>
      </c>
      <c r="BD23" s="179">
        <f ca="1">IF(OR($D23&lt;&gt;"Serviço",AND(AUTOEVENTO="Manual",$M23=$A$15),$M23&gt;(ROW(PLE.lastrow)-ROW(PLE.firstrow))),0,
           IF(OFFSET(PLE!$G$15,$M23-$A$15,BD$13)="",10^12,OFFSET(PLE!$G$15,$M23-$A$15,BD$13)))</f>
        <v>1000000000000</v>
      </c>
      <c r="BE23" s="179">
        <f ca="1">IF(OR($D23&lt;&gt;"Serviço",AND(AUTOEVENTO="Manual",$M23=$A$15),$M23&gt;(ROW(PLE.lastrow)-ROW(PLE.firstrow))),0,
           IF(OFFSET(PLE!$G$15,$M23-$A$15,BE$13)="",10^12,OFFSET(PLE!$G$15,$M23-$A$15,BE$13)))</f>
        <v>1000000000000</v>
      </c>
      <c r="BF23" s="179">
        <f ca="1">IF(OR($D23&lt;&gt;"Serviço",AND(AUTOEVENTO="Manual",$M23=$A$15),$M23&gt;(ROW(PLE.lastrow)-ROW(PLE.firstrow))),0,
           IF(OFFSET(PLE!$G$15,$M23-$A$15,BF$13)="",10^12,OFFSET(PLE!$G$15,$M23-$A$15,BF$13)))</f>
        <v>1000000000000</v>
      </c>
      <c r="BG23" s="179">
        <f ca="1">IF(OR($D23&lt;&gt;"Serviço",AND(AUTOEVENTO="Manual",$M23=$A$15),$M23&gt;(ROW(PLE.lastrow)-ROW(PLE.firstrow))),0,
           IF(OFFSET(PLE!$G$15,$M23-$A$15,BG$13)="",10^12,OFFSET(PLE!$G$15,$M23-$A$15,BG$13)))</f>
        <v>1000000000000</v>
      </c>
    </row>
    <row r="24" spans="1:59" ht="38.25" x14ac:dyDescent="0.2">
      <c r="A24" s="7" t="str">
        <f ca="1">IF(AUTOEVENTO="Manual",IF(K24&lt;&gt;"",MIN(VALUE(LEFT(K24,FIND(".",K24)-1)),COUNTA(EVENTOS.Lista)),0),IF(OR($B24&gt;AUTOEVENTO,$B24="S",$B24=0),SUBSTITUTE(OFFSET($A24,-1,0),IF($D24="Serviço",".",""),""),ROW(A24)-ROW($A$15)&amp;"."))</f>
        <v>5</v>
      </c>
      <c r="B24" s="7" t="str">
        <f ca="1">OFFSET(ORÇAMENTO!C$15,ROW(B24)-ROW(B$15),0)</f>
        <v>S</v>
      </c>
      <c r="C24" s="7" t="str">
        <f ca="1">OFFSET(ORÇAMENTO!L$15,ROW(C24)-ROW(C$15),0)</f>
        <v/>
      </c>
      <c r="D24" s="118" t="str">
        <f ca="1">OFFSET(ORÇAMENTO!N$15,ROW(D24)-ROW(D$15),0)</f>
        <v>Serviço</v>
      </c>
      <c r="E24" s="119" t="str">
        <f ca="1">OFFSET(ORÇAMENTO!O$15,ROW(E24)-ROW(E$15),0)</f>
        <v>-</v>
      </c>
      <c r="F24" s="170" t="str">
        <f ca="1">OFFSET(ORÇAMENTO!R$15,ROW(F24)-ROW(F$15),0)</f>
        <v>(abra o arquivo 'Referência 04-2026.xlsm)</v>
      </c>
      <c r="G24" s="171" t="str">
        <f ca="1">IF($D24&lt;&gt;"Serviço","",OFFSET(ORÇAMENTO!S$15,ROW(G24)-ROW(G$15),0))</f>
        <v>-</v>
      </c>
      <c r="H24" s="124" cm="1">
        <f t="array" aca="1" ref="H24" ca="1">IF($D24&lt;&gt;"Serviço",0,IF(_xlfn.SINGLE(ACOMPANHAMENTO)="BM",ROUND(OFFSET(ORÇAMENTO!AJ$15,ROW(H24)-ROW(H$15),0),15-13*ORÇAMENTO!$AF$7),SUMPRODUCT(($Q$1:$AA$1)*ROUND($Q24:$AA24,15-13*ORÇAMENTO!$AF$7))))</f>
        <v>11</v>
      </c>
      <c r="I24" s="500" t="s">
        <v>1050</v>
      </c>
      <c r="J24" s="633" t="str" cm="1">
        <f t="array" aca="1" ref="J24" ca="1">IF(B24&lt;&gt;"S","",IF(AND(ACOMPANHAMENTO="PLE",AUTOEVENTO="Manual",OR(H24&gt;0,ORÇAMENTO!AC24="QUANT."),OR(K24="",M24=0,N24="")),"►",IF(AND(ACOMPANHAMENTO="PLE",ORÇAMENTO!AC24="QUANT."),"►►",IF(AND(COUNTIF($P$11:$AA$11,"▼")=0,H24&gt;0,I24=""),"◄",""))))</f>
        <v/>
      </c>
      <c r="K24" s="624"/>
      <c r="L24" s="172" t="s">
        <v>253</v>
      </c>
      <c r="M24" s="173">
        <f ca="1">IF($D24&lt;&gt;"Serviço","",
          IF(AUTOEVENTO="manual",$A24,
                IF(ISERROR(MATCH($A24,$A$15:OFFSET($A24,-1,0),0)),MAX($M$15:OFFSET(M24,-1,0))+1,
                      INDEX($M$15:OFFSET(M24,-1,0),MATCH($A24,$A$15:OFFSET($A24,-1,0),0)))))</f>
        <v>2</v>
      </c>
      <c r="N24" s="174" t="str">
        <f ca="1">IF($D24&lt;&gt;"Serviço","",
         IF(AUTOEVENTO="Manual",
                IF($A24=0,"&lt;-- defina o número do agrupador",
                       OFFSET(EVENTOS!$D$15,$A24-$A$15,0)),
                OFFSET($F$15,$A24,0)))</f>
        <v>ESTRUTURA METÁLICA - PILARES</v>
      </c>
      <c r="O24" s="175"/>
      <c r="Q24" s="175">
        <v>11</v>
      </c>
      <c r="R24" s="176"/>
      <c r="S24" s="176"/>
      <c r="T24" s="176"/>
      <c r="U24" s="176"/>
      <c r="V24" s="176"/>
      <c r="W24" s="176"/>
      <c r="X24" s="176"/>
      <c r="Y24" s="176"/>
      <c r="Z24" s="177"/>
      <c r="AB24" s="485">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85">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85">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85">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85">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85">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85">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85">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85">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85">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8">
        <f ca="1">IF(OR($D24&lt;&gt;"Serviço",AND(AUTOEVENTO="Manual",$M24=$A$15)),0,
         IF(OFFSET(CRONOPLE!$F$15,$M24-$A$15,AM$13)="",10^12,OFFSET(CRONOPLE!$F$15,$M24-$A$15,AM$13)))</f>
        <v>1</v>
      </c>
      <c r="AN24" s="178">
        <f ca="1">IF(OR($D24&lt;&gt;"Serviço",AND(AUTOEVENTO="Manual",$M24=$A$15)),0,
         IF(OFFSET(CRONOPLE!$F$15,$M24-$A$15,AN$13)="",10^12,OFFSET(CRONOPLE!$F$15,$M24-$A$15,AN$13)))</f>
        <v>1000000000000</v>
      </c>
      <c r="AO24" s="178">
        <f ca="1">IF(OR($D24&lt;&gt;"Serviço",AND(AUTOEVENTO="Manual",$M24=$A$15)),0,
         IF(OFFSET(CRONOPLE!$F$15,$M24-$A$15,AO$13)="",10^12,OFFSET(CRONOPLE!$F$15,$M24-$A$15,AO$13)))</f>
        <v>1000000000000</v>
      </c>
      <c r="AP24" s="178">
        <f ca="1">IF(OR($D24&lt;&gt;"Serviço",AND(AUTOEVENTO="Manual",$M24=$A$15)),0,
         IF(OFFSET(CRONOPLE!$F$15,$M24-$A$15,AP$13)="",10^12,OFFSET(CRONOPLE!$F$15,$M24-$A$15,AP$13)))</f>
        <v>1000000000000</v>
      </c>
      <c r="AQ24" s="178">
        <f ca="1">IF(OR($D24&lt;&gt;"Serviço",AND(AUTOEVENTO="Manual",$M24=$A$15)),0,
         IF(OFFSET(CRONOPLE!$F$15,$M24-$A$15,AQ$13)="",10^12,OFFSET(CRONOPLE!$F$15,$M24-$A$15,AQ$13)))</f>
        <v>1000000000000</v>
      </c>
      <c r="AR24" s="178">
        <f ca="1">IF(OR($D24&lt;&gt;"Serviço",AND(AUTOEVENTO="Manual",$M24=$A$15)),0,
         IF(OFFSET(CRONOPLE!$F$15,$M24-$A$15,AR$13)="",10^12,OFFSET(CRONOPLE!$F$15,$M24-$A$15,AR$13)))</f>
        <v>1000000000000</v>
      </c>
      <c r="AS24" s="178">
        <f ca="1">IF(OR($D24&lt;&gt;"Serviço",AND(AUTOEVENTO="Manual",$M24=$A$15)),0,
         IF(OFFSET(CRONOPLE!$F$15,$M24-$A$15,AS$13)="",10^12,OFFSET(CRONOPLE!$F$15,$M24-$A$15,AS$13)))</f>
        <v>1000000000000</v>
      </c>
      <c r="AT24" s="178">
        <f ca="1">IF(OR($D24&lt;&gt;"Serviço",AND(AUTOEVENTO="Manual",$M24=$A$15)),0,
         IF(OFFSET(CRONOPLE!$F$15,$M24-$A$15,AT$13)="",10^12,OFFSET(CRONOPLE!$F$15,$M24-$A$15,AT$13)))</f>
        <v>1000000000000</v>
      </c>
      <c r="AU24" s="178">
        <f ca="1">IF(OR($D24&lt;&gt;"Serviço",AND(AUTOEVENTO="Manual",$M24=$A$15)),0,
         IF(OFFSET(CRONOPLE!$F$15,$M24-$A$15,AU$13)="",10^12,OFFSET(CRONOPLE!$F$15,$M24-$A$15,AU$13)))</f>
        <v>1000000000000</v>
      </c>
      <c r="AV24" s="178">
        <f ca="1">IF(OR($D24&lt;&gt;"Serviço",AND(AUTOEVENTO="Manual",$M24=$A$15)),0,
         IF(OFFSET(CRONOPLE!$F$15,$M24-$A$15,AV$13)="",10^12,OFFSET(CRONOPLE!$F$15,$M24-$A$15,AV$13)))</f>
        <v>1000000000000</v>
      </c>
      <c r="AX24" s="179">
        <f ca="1">IF(OR($D24&lt;&gt;"Serviço",AND(AUTOEVENTO="Manual",$M24=$A$15),$M24&gt;(ROW(PLE.lastrow)-ROW(PLE.firstrow))),0,
           IF(OFFSET(PLE!$G$15,$M24-$A$15,AX$13)="",10^12,OFFSET(PLE!$G$15,$M24-$A$15,AX$13)))</f>
        <v>1000000000000</v>
      </c>
      <c r="AY24" s="179">
        <f ca="1">IF(OR($D24&lt;&gt;"Serviço",AND(AUTOEVENTO="Manual",$M24=$A$15),$M24&gt;(ROW(PLE.lastrow)-ROW(PLE.firstrow))),0,
           IF(OFFSET(PLE!$G$15,$M24-$A$15,AY$13)="",10^12,OFFSET(PLE!$G$15,$M24-$A$15,AY$13)))</f>
        <v>1000000000000</v>
      </c>
      <c r="AZ24" s="179">
        <f ca="1">IF(OR($D24&lt;&gt;"Serviço",AND(AUTOEVENTO="Manual",$M24=$A$15),$M24&gt;(ROW(PLE.lastrow)-ROW(PLE.firstrow))),0,
           IF(OFFSET(PLE!$G$15,$M24-$A$15,AZ$13)="",10^12,OFFSET(PLE!$G$15,$M24-$A$15,AZ$13)))</f>
        <v>1000000000000</v>
      </c>
      <c r="BA24" s="179">
        <f ca="1">IF(OR($D24&lt;&gt;"Serviço",AND(AUTOEVENTO="Manual",$M24=$A$15),$M24&gt;(ROW(PLE.lastrow)-ROW(PLE.firstrow))),0,
           IF(OFFSET(PLE!$G$15,$M24-$A$15,BA$13)="",10^12,OFFSET(PLE!$G$15,$M24-$A$15,BA$13)))</f>
        <v>1000000000000</v>
      </c>
      <c r="BB24" s="179">
        <f ca="1">IF(OR($D24&lt;&gt;"Serviço",AND(AUTOEVENTO="Manual",$M24=$A$15),$M24&gt;(ROW(PLE.lastrow)-ROW(PLE.firstrow))),0,
           IF(OFFSET(PLE!$G$15,$M24-$A$15,BB$13)="",10^12,OFFSET(PLE!$G$15,$M24-$A$15,BB$13)))</f>
        <v>1000000000000</v>
      </c>
      <c r="BC24" s="179">
        <f ca="1">IF(OR($D24&lt;&gt;"Serviço",AND(AUTOEVENTO="Manual",$M24=$A$15),$M24&gt;(ROW(PLE.lastrow)-ROW(PLE.firstrow))),0,
           IF(OFFSET(PLE!$G$15,$M24-$A$15,BC$13)="",10^12,OFFSET(PLE!$G$15,$M24-$A$15,BC$13)))</f>
        <v>1000000000000</v>
      </c>
      <c r="BD24" s="179">
        <f ca="1">IF(OR($D24&lt;&gt;"Serviço",AND(AUTOEVENTO="Manual",$M24=$A$15),$M24&gt;(ROW(PLE.lastrow)-ROW(PLE.firstrow))),0,
           IF(OFFSET(PLE!$G$15,$M24-$A$15,BD$13)="",10^12,OFFSET(PLE!$G$15,$M24-$A$15,BD$13)))</f>
        <v>1000000000000</v>
      </c>
      <c r="BE24" s="179">
        <f ca="1">IF(OR($D24&lt;&gt;"Serviço",AND(AUTOEVENTO="Manual",$M24=$A$15),$M24&gt;(ROW(PLE.lastrow)-ROW(PLE.firstrow))),0,
           IF(OFFSET(PLE!$G$15,$M24-$A$15,BE$13)="",10^12,OFFSET(PLE!$G$15,$M24-$A$15,BE$13)))</f>
        <v>1000000000000</v>
      </c>
      <c r="BF24" s="179">
        <f ca="1">IF(OR($D24&lt;&gt;"Serviço",AND(AUTOEVENTO="Manual",$M24=$A$15),$M24&gt;(ROW(PLE.lastrow)-ROW(PLE.firstrow))),0,
           IF(OFFSET(PLE!$G$15,$M24-$A$15,BF$13)="",10^12,OFFSET(PLE!$G$15,$M24-$A$15,BF$13)))</f>
        <v>1000000000000</v>
      </c>
      <c r="BG24" s="179">
        <f ca="1">IF(OR($D24&lt;&gt;"Serviço",AND(AUTOEVENTO="Manual",$M24=$A$15),$M24&gt;(ROW(PLE.lastrow)-ROW(PLE.firstrow))),0,
           IF(OFFSET(PLE!$G$15,$M24-$A$15,BG$13)="",10^12,OFFSET(PLE!$G$15,$M24-$A$15,BG$13)))</f>
        <v>1000000000000</v>
      </c>
    </row>
    <row r="25" spans="1:59" ht="38.25" x14ac:dyDescent="0.2">
      <c r="A25" s="7" t="str">
        <f ca="1">IF(AUTOEVENTO="Manual",IF(K25&lt;&gt;"",MIN(VALUE(LEFT(K25,FIND(".",K25)-1)),COUNTA(EVENTOS.Lista)),0),IF(OR($B25&gt;AUTOEVENTO,$B25="S",$B25=0),SUBSTITUTE(OFFSET($A25,-1,0),IF($D25="Serviço",".",""),""),ROW(A25)-ROW($A$15)&amp;"."))</f>
        <v>5</v>
      </c>
      <c r="B25" s="7" t="str">
        <f ca="1">OFFSET(ORÇAMENTO!C$15,ROW(B25)-ROW(B$15),0)</f>
        <v>S</v>
      </c>
      <c r="C25" s="7" t="str">
        <f ca="1">OFFSET(ORÇAMENTO!L$15,ROW(C25)-ROW(C$15),0)</f>
        <v/>
      </c>
      <c r="D25" s="118" t="str">
        <f ca="1">OFFSET(ORÇAMENTO!N$15,ROW(D25)-ROW(D$15),0)</f>
        <v>Serviço</v>
      </c>
      <c r="E25" s="119" t="str">
        <f ca="1">OFFSET(ORÇAMENTO!O$15,ROW(E25)-ROW(E$15),0)</f>
        <v>-</v>
      </c>
      <c r="F25" s="170" t="str">
        <f ca="1">OFFSET(ORÇAMENTO!R$15,ROW(F25)-ROW(F$15),0)</f>
        <v>(abra o arquivo 'Referência 04-2026.xlsm)</v>
      </c>
      <c r="G25" s="171" t="str">
        <f ca="1">IF($D25&lt;&gt;"Serviço","",OFFSET(ORÇAMENTO!S$15,ROW(G25)-ROW(G$15),0))</f>
        <v>-</v>
      </c>
      <c r="H25" s="124" cm="1">
        <f t="array" aca="1" ref="H25" ca="1">IF($D25&lt;&gt;"Serviço",0,IF(_xlfn.SINGLE(ACOMPANHAMENTO)="BM",ROUND(OFFSET(ORÇAMENTO!AJ$15,ROW(H25)-ROW(H$15),0),15-13*ORÇAMENTO!$AF$7),SUMPRODUCT(($Q$1:$AA$1)*ROUND($Q25:$AA25,15-13*ORÇAMENTO!$AF$7))))</f>
        <v>26.4</v>
      </c>
      <c r="I25" s="500" t="s">
        <v>1051</v>
      </c>
      <c r="J25" s="633" t="str" cm="1">
        <f t="array" aca="1" ref="J25" ca="1">IF(B25&lt;&gt;"S","",IF(AND(ACOMPANHAMENTO="PLE",AUTOEVENTO="Manual",OR(H25&gt;0,ORÇAMENTO!AC25="QUANT."),OR(K25="",M25=0,N25="")),"►",IF(AND(ACOMPANHAMENTO="PLE",ORÇAMENTO!AC25="QUANT."),"►►",IF(AND(COUNTIF($P$11:$AA$11,"▼")=0,H25&gt;0,I25=""),"◄",""))))</f>
        <v/>
      </c>
      <c r="K25" s="624"/>
      <c r="L25" s="172" t="s">
        <v>253</v>
      </c>
      <c r="M25" s="173">
        <f ca="1">IF($D25&lt;&gt;"Serviço","",
          IF(AUTOEVENTO="manual",$A25,
                IF(ISERROR(MATCH($A25,$A$15:OFFSET($A25,-1,0),0)),MAX($M$15:OFFSET(M25,-1,0))+1,
                      INDEX($M$15:OFFSET(M25,-1,0),MATCH($A25,$A$15:OFFSET($A25,-1,0),0)))))</f>
        <v>2</v>
      </c>
      <c r="N25" s="174" t="str">
        <f ca="1">IF($D25&lt;&gt;"Serviço","",
         IF(AUTOEVENTO="Manual",
                IF($A25=0,"&lt;-- defina o número do agrupador",
                       OFFSET(EVENTOS!$D$15,$A25-$A$15,0)),
                OFFSET($F$15,$A25,0)))</f>
        <v>ESTRUTURA METÁLICA - PILARES</v>
      </c>
      <c r="O25" s="175"/>
      <c r="Q25" s="175">
        <f>11*(0.3+0.3+0.9+0.9)</f>
        <v>26.4</v>
      </c>
      <c r="R25" s="176"/>
      <c r="S25" s="176"/>
      <c r="T25" s="176"/>
      <c r="U25" s="176"/>
      <c r="V25" s="176"/>
      <c r="W25" s="176"/>
      <c r="X25" s="176"/>
      <c r="Y25" s="176"/>
      <c r="Z25" s="177"/>
      <c r="AB25" s="485">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85">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85">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85">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85">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85">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85">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85">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85">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85">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8">
        <f ca="1">IF(OR($D25&lt;&gt;"Serviço",AND(AUTOEVENTO="Manual",$M25=$A$15)),0,
         IF(OFFSET(CRONOPLE!$F$15,$M25-$A$15,AM$13)="",10^12,OFFSET(CRONOPLE!$F$15,$M25-$A$15,AM$13)))</f>
        <v>1</v>
      </c>
      <c r="AN25" s="178">
        <f ca="1">IF(OR($D25&lt;&gt;"Serviço",AND(AUTOEVENTO="Manual",$M25=$A$15)),0,
         IF(OFFSET(CRONOPLE!$F$15,$M25-$A$15,AN$13)="",10^12,OFFSET(CRONOPLE!$F$15,$M25-$A$15,AN$13)))</f>
        <v>1000000000000</v>
      </c>
      <c r="AO25" s="178">
        <f ca="1">IF(OR($D25&lt;&gt;"Serviço",AND(AUTOEVENTO="Manual",$M25=$A$15)),0,
         IF(OFFSET(CRONOPLE!$F$15,$M25-$A$15,AO$13)="",10^12,OFFSET(CRONOPLE!$F$15,$M25-$A$15,AO$13)))</f>
        <v>1000000000000</v>
      </c>
      <c r="AP25" s="178">
        <f ca="1">IF(OR($D25&lt;&gt;"Serviço",AND(AUTOEVENTO="Manual",$M25=$A$15)),0,
         IF(OFFSET(CRONOPLE!$F$15,$M25-$A$15,AP$13)="",10^12,OFFSET(CRONOPLE!$F$15,$M25-$A$15,AP$13)))</f>
        <v>1000000000000</v>
      </c>
      <c r="AQ25" s="178">
        <f ca="1">IF(OR($D25&lt;&gt;"Serviço",AND(AUTOEVENTO="Manual",$M25=$A$15)),0,
         IF(OFFSET(CRONOPLE!$F$15,$M25-$A$15,AQ$13)="",10^12,OFFSET(CRONOPLE!$F$15,$M25-$A$15,AQ$13)))</f>
        <v>1000000000000</v>
      </c>
      <c r="AR25" s="178">
        <f ca="1">IF(OR($D25&lt;&gt;"Serviço",AND(AUTOEVENTO="Manual",$M25=$A$15)),0,
         IF(OFFSET(CRONOPLE!$F$15,$M25-$A$15,AR$13)="",10^12,OFFSET(CRONOPLE!$F$15,$M25-$A$15,AR$13)))</f>
        <v>1000000000000</v>
      </c>
      <c r="AS25" s="178">
        <f ca="1">IF(OR($D25&lt;&gt;"Serviço",AND(AUTOEVENTO="Manual",$M25=$A$15)),0,
         IF(OFFSET(CRONOPLE!$F$15,$M25-$A$15,AS$13)="",10^12,OFFSET(CRONOPLE!$F$15,$M25-$A$15,AS$13)))</f>
        <v>1000000000000</v>
      </c>
      <c r="AT25" s="178">
        <f ca="1">IF(OR($D25&lt;&gt;"Serviço",AND(AUTOEVENTO="Manual",$M25=$A$15)),0,
         IF(OFFSET(CRONOPLE!$F$15,$M25-$A$15,AT$13)="",10^12,OFFSET(CRONOPLE!$F$15,$M25-$A$15,AT$13)))</f>
        <v>1000000000000</v>
      </c>
      <c r="AU25" s="178">
        <f ca="1">IF(OR($D25&lt;&gt;"Serviço",AND(AUTOEVENTO="Manual",$M25=$A$15)),0,
         IF(OFFSET(CRONOPLE!$F$15,$M25-$A$15,AU$13)="",10^12,OFFSET(CRONOPLE!$F$15,$M25-$A$15,AU$13)))</f>
        <v>1000000000000</v>
      </c>
      <c r="AV25" s="178">
        <f ca="1">IF(OR($D25&lt;&gt;"Serviço",AND(AUTOEVENTO="Manual",$M25=$A$15)),0,
         IF(OFFSET(CRONOPLE!$F$15,$M25-$A$15,AV$13)="",10^12,OFFSET(CRONOPLE!$F$15,$M25-$A$15,AV$13)))</f>
        <v>1000000000000</v>
      </c>
      <c r="AX25" s="179">
        <f ca="1">IF(OR($D25&lt;&gt;"Serviço",AND(AUTOEVENTO="Manual",$M25=$A$15),$M25&gt;(ROW(PLE.lastrow)-ROW(PLE.firstrow))),0,
           IF(OFFSET(PLE!$G$15,$M25-$A$15,AX$13)="",10^12,OFFSET(PLE!$G$15,$M25-$A$15,AX$13)))</f>
        <v>1000000000000</v>
      </c>
      <c r="AY25" s="179">
        <f ca="1">IF(OR($D25&lt;&gt;"Serviço",AND(AUTOEVENTO="Manual",$M25=$A$15),$M25&gt;(ROW(PLE.lastrow)-ROW(PLE.firstrow))),0,
           IF(OFFSET(PLE!$G$15,$M25-$A$15,AY$13)="",10^12,OFFSET(PLE!$G$15,$M25-$A$15,AY$13)))</f>
        <v>1000000000000</v>
      </c>
      <c r="AZ25" s="179">
        <f ca="1">IF(OR($D25&lt;&gt;"Serviço",AND(AUTOEVENTO="Manual",$M25=$A$15),$M25&gt;(ROW(PLE.lastrow)-ROW(PLE.firstrow))),0,
           IF(OFFSET(PLE!$G$15,$M25-$A$15,AZ$13)="",10^12,OFFSET(PLE!$G$15,$M25-$A$15,AZ$13)))</f>
        <v>1000000000000</v>
      </c>
      <c r="BA25" s="179">
        <f ca="1">IF(OR($D25&lt;&gt;"Serviço",AND(AUTOEVENTO="Manual",$M25=$A$15),$M25&gt;(ROW(PLE.lastrow)-ROW(PLE.firstrow))),0,
           IF(OFFSET(PLE!$G$15,$M25-$A$15,BA$13)="",10^12,OFFSET(PLE!$G$15,$M25-$A$15,BA$13)))</f>
        <v>1000000000000</v>
      </c>
      <c r="BB25" s="179">
        <f ca="1">IF(OR($D25&lt;&gt;"Serviço",AND(AUTOEVENTO="Manual",$M25=$A$15),$M25&gt;(ROW(PLE.lastrow)-ROW(PLE.firstrow))),0,
           IF(OFFSET(PLE!$G$15,$M25-$A$15,BB$13)="",10^12,OFFSET(PLE!$G$15,$M25-$A$15,BB$13)))</f>
        <v>1000000000000</v>
      </c>
      <c r="BC25" s="179">
        <f ca="1">IF(OR($D25&lt;&gt;"Serviço",AND(AUTOEVENTO="Manual",$M25=$A$15),$M25&gt;(ROW(PLE.lastrow)-ROW(PLE.firstrow))),0,
           IF(OFFSET(PLE!$G$15,$M25-$A$15,BC$13)="",10^12,OFFSET(PLE!$G$15,$M25-$A$15,BC$13)))</f>
        <v>1000000000000</v>
      </c>
      <c r="BD25" s="179">
        <f ca="1">IF(OR($D25&lt;&gt;"Serviço",AND(AUTOEVENTO="Manual",$M25=$A$15),$M25&gt;(ROW(PLE.lastrow)-ROW(PLE.firstrow))),0,
           IF(OFFSET(PLE!$G$15,$M25-$A$15,BD$13)="",10^12,OFFSET(PLE!$G$15,$M25-$A$15,BD$13)))</f>
        <v>1000000000000</v>
      </c>
      <c r="BE25" s="179">
        <f ca="1">IF(OR($D25&lt;&gt;"Serviço",AND(AUTOEVENTO="Manual",$M25=$A$15),$M25&gt;(ROW(PLE.lastrow)-ROW(PLE.firstrow))),0,
           IF(OFFSET(PLE!$G$15,$M25-$A$15,BE$13)="",10^12,OFFSET(PLE!$G$15,$M25-$A$15,BE$13)))</f>
        <v>1000000000000</v>
      </c>
      <c r="BF25" s="179">
        <f ca="1">IF(OR($D25&lt;&gt;"Serviço",AND(AUTOEVENTO="Manual",$M25=$A$15),$M25&gt;(ROW(PLE.lastrow)-ROW(PLE.firstrow))),0,
           IF(OFFSET(PLE!$G$15,$M25-$A$15,BF$13)="",10^12,OFFSET(PLE!$G$15,$M25-$A$15,BF$13)))</f>
        <v>1000000000000</v>
      </c>
      <c r="BG25" s="179">
        <f ca="1">IF(OR($D25&lt;&gt;"Serviço",AND(AUTOEVENTO="Manual",$M25=$A$15),$M25&gt;(ROW(PLE.lastrow)-ROW(PLE.firstrow))),0,
           IF(OFFSET(PLE!$G$15,$M25-$A$15,BG$13)="",10^12,OFFSET(PLE!$G$15,$M25-$A$15,BG$13)))</f>
        <v>1000000000000</v>
      </c>
    </row>
    <row r="26" spans="1:59" ht="25.5" x14ac:dyDescent="0.2">
      <c r="A26" s="7" t="str">
        <f ca="1">IF(AUTOEVENTO="Manual",IF(K26&lt;&gt;"",MIN(VALUE(LEFT(K26,FIND(".",K26)-1)),COUNTA(EVENTOS.Lista)),0),IF(OR($B26&gt;AUTOEVENTO,$B26="S",$B26=0),SUBSTITUTE(OFFSET($A26,-1,0),IF($D26="Serviço",".",""),""),ROW(A26)-ROW($A$15)&amp;"."))</f>
        <v>5</v>
      </c>
      <c r="B26" s="7" t="str">
        <f ca="1">OFFSET(ORÇAMENTO!C$15,ROW(B26)-ROW(B$15),0)</f>
        <v>S</v>
      </c>
      <c r="C26" s="7" t="str">
        <f ca="1">OFFSET(ORÇAMENTO!L$15,ROW(C26)-ROW(C$15),0)</f>
        <v/>
      </c>
      <c r="D26" s="118" t="str">
        <f ca="1">OFFSET(ORÇAMENTO!N$15,ROW(D26)-ROW(D$15),0)</f>
        <v>Serviço</v>
      </c>
      <c r="E26" s="119" t="str">
        <f ca="1">OFFSET(ORÇAMENTO!O$15,ROW(E26)-ROW(E$15),0)</f>
        <v>-</v>
      </c>
      <c r="F26" s="170" t="str">
        <f ca="1">OFFSET(ORÇAMENTO!R$15,ROW(F26)-ROW(F$15),0)</f>
        <v>(abra o arquivo 'Referência 04-2026.xlsm)</v>
      </c>
      <c r="G26" s="171" t="str">
        <f ca="1">IF($D26&lt;&gt;"Serviço","",OFFSET(ORÇAMENTO!S$15,ROW(G26)-ROW(G$15),0))</f>
        <v>-</v>
      </c>
      <c r="H26" s="124" cm="1">
        <f t="array" aca="1" ref="H26" ca="1">IF($D26&lt;&gt;"Serviço",0,IF(_xlfn.SINGLE(ACOMPANHAMENTO)="BM",ROUND(OFFSET(ORÇAMENTO!AJ$15,ROW(H26)-ROW(H$15),0),15-13*ORÇAMENTO!$AF$7),SUMPRODUCT(($Q$1:$AA$1)*ROUND($Q26:$AA26,15-13*ORÇAMENTO!$AF$7))))</f>
        <v>1.76</v>
      </c>
      <c r="I26" s="500" t="s">
        <v>1052</v>
      </c>
      <c r="J26" s="633" t="str" cm="1">
        <f t="array" aca="1" ref="J26" ca="1">IF(B26&lt;&gt;"S","",IF(AND(ACOMPANHAMENTO="PLE",AUTOEVENTO="Manual",OR(H26&gt;0,ORÇAMENTO!AC26="QUANT."),OR(K26="",M26=0,N26="")),"►",IF(AND(ACOMPANHAMENTO="PLE",ORÇAMENTO!AC26="QUANT."),"►►",IF(AND(COUNTIF($P$11:$AA$11,"▼")=0,H26&gt;0,I26=""),"◄",""))))</f>
        <v/>
      </c>
      <c r="K26" s="624"/>
      <c r="L26" s="172" t="s">
        <v>253</v>
      </c>
      <c r="M26" s="173">
        <f ca="1">IF($D26&lt;&gt;"Serviço","",
          IF(AUTOEVENTO="manual",$A26,
                IF(ISERROR(MATCH($A26,$A$15:OFFSET($A26,-1,0),0)),MAX($M$15:OFFSET(M26,-1,0))+1,
                      INDEX($M$15:OFFSET(M26,-1,0),MATCH($A26,$A$15:OFFSET($A26,-1,0),0)))))</f>
        <v>2</v>
      </c>
      <c r="N26" s="174" t="str">
        <f ca="1">IF($D26&lt;&gt;"Serviço","",
         IF(AUTOEVENTO="Manual",
                IF($A26=0,"&lt;-- defina o número do agrupador",
                       OFFSET(EVENTOS!$D$15,$A26-$A$15,0)),
                OFFSET($F$15,$A26,0)))</f>
        <v>ESTRUTURA METÁLICA - PILARES</v>
      </c>
      <c r="O26" s="175"/>
      <c r="Q26" s="175">
        <f>0.2*0.8*1*11</f>
        <v>1.7600000000000002</v>
      </c>
      <c r="R26" s="176"/>
      <c r="S26" s="176"/>
      <c r="T26" s="176"/>
      <c r="U26" s="176"/>
      <c r="V26" s="176"/>
      <c r="W26" s="176"/>
      <c r="X26" s="176"/>
      <c r="Y26" s="176"/>
      <c r="Z26" s="177"/>
      <c r="AB26" s="485">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85">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85">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85">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85">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85">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85">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85">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85">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85">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8">
        <f ca="1">IF(OR($D26&lt;&gt;"Serviço",AND(AUTOEVENTO="Manual",$M26=$A$15)),0,
         IF(OFFSET(CRONOPLE!$F$15,$M26-$A$15,AM$13)="",10^12,OFFSET(CRONOPLE!$F$15,$M26-$A$15,AM$13)))</f>
        <v>1</v>
      </c>
      <c r="AN26" s="178">
        <f ca="1">IF(OR($D26&lt;&gt;"Serviço",AND(AUTOEVENTO="Manual",$M26=$A$15)),0,
         IF(OFFSET(CRONOPLE!$F$15,$M26-$A$15,AN$13)="",10^12,OFFSET(CRONOPLE!$F$15,$M26-$A$15,AN$13)))</f>
        <v>1000000000000</v>
      </c>
      <c r="AO26" s="178">
        <f ca="1">IF(OR($D26&lt;&gt;"Serviço",AND(AUTOEVENTO="Manual",$M26=$A$15)),0,
         IF(OFFSET(CRONOPLE!$F$15,$M26-$A$15,AO$13)="",10^12,OFFSET(CRONOPLE!$F$15,$M26-$A$15,AO$13)))</f>
        <v>1000000000000</v>
      </c>
      <c r="AP26" s="178">
        <f ca="1">IF(OR($D26&lt;&gt;"Serviço",AND(AUTOEVENTO="Manual",$M26=$A$15)),0,
         IF(OFFSET(CRONOPLE!$F$15,$M26-$A$15,AP$13)="",10^12,OFFSET(CRONOPLE!$F$15,$M26-$A$15,AP$13)))</f>
        <v>1000000000000</v>
      </c>
      <c r="AQ26" s="178">
        <f ca="1">IF(OR($D26&lt;&gt;"Serviço",AND(AUTOEVENTO="Manual",$M26=$A$15)),0,
         IF(OFFSET(CRONOPLE!$F$15,$M26-$A$15,AQ$13)="",10^12,OFFSET(CRONOPLE!$F$15,$M26-$A$15,AQ$13)))</f>
        <v>1000000000000</v>
      </c>
      <c r="AR26" s="178">
        <f ca="1">IF(OR($D26&lt;&gt;"Serviço",AND(AUTOEVENTO="Manual",$M26=$A$15)),0,
         IF(OFFSET(CRONOPLE!$F$15,$M26-$A$15,AR$13)="",10^12,OFFSET(CRONOPLE!$F$15,$M26-$A$15,AR$13)))</f>
        <v>1000000000000</v>
      </c>
      <c r="AS26" s="178">
        <f ca="1">IF(OR($D26&lt;&gt;"Serviço",AND(AUTOEVENTO="Manual",$M26=$A$15)),0,
         IF(OFFSET(CRONOPLE!$F$15,$M26-$A$15,AS$13)="",10^12,OFFSET(CRONOPLE!$F$15,$M26-$A$15,AS$13)))</f>
        <v>1000000000000</v>
      </c>
      <c r="AT26" s="178">
        <f ca="1">IF(OR($D26&lt;&gt;"Serviço",AND(AUTOEVENTO="Manual",$M26=$A$15)),0,
         IF(OFFSET(CRONOPLE!$F$15,$M26-$A$15,AT$13)="",10^12,OFFSET(CRONOPLE!$F$15,$M26-$A$15,AT$13)))</f>
        <v>1000000000000</v>
      </c>
      <c r="AU26" s="178">
        <f ca="1">IF(OR($D26&lt;&gt;"Serviço",AND(AUTOEVENTO="Manual",$M26=$A$15)),0,
         IF(OFFSET(CRONOPLE!$F$15,$M26-$A$15,AU$13)="",10^12,OFFSET(CRONOPLE!$F$15,$M26-$A$15,AU$13)))</f>
        <v>1000000000000</v>
      </c>
      <c r="AV26" s="178">
        <f ca="1">IF(OR($D26&lt;&gt;"Serviço",AND(AUTOEVENTO="Manual",$M26=$A$15)),0,
         IF(OFFSET(CRONOPLE!$F$15,$M26-$A$15,AV$13)="",10^12,OFFSET(CRONOPLE!$F$15,$M26-$A$15,AV$13)))</f>
        <v>1000000000000</v>
      </c>
      <c r="AX26" s="179">
        <f ca="1">IF(OR($D26&lt;&gt;"Serviço",AND(AUTOEVENTO="Manual",$M26=$A$15),$M26&gt;(ROW(PLE.lastrow)-ROW(PLE.firstrow))),0,
           IF(OFFSET(PLE!$G$15,$M26-$A$15,AX$13)="",10^12,OFFSET(PLE!$G$15,$M26-$A$15,AX$13)))</f>
        <v>1000000000000</v>
      </c>
      <c r="AY26" s="179">
        <f ca="1">IF(OR($D26&lt;&gt;"Serviço",AND(AUTOEVENTO="Manual",$M26=$A$15),$M26&gt;(ROW(PLE.lastrow)-ROW(PLE.firstrow))),0,
           IF(OFFSET(PLE!$G$15,$M26-$A$15,AY$13)="",10^12,OFFSET(PLE!$G$15,$M26-$A$15,AY$13)))</f>
        <v>1000000000000</v>
      </c>
      <c r="AZ26" s="179">
        <f ca="1">IF(OR($D26&lt;&gt;"Serviço",AND(AUTOEVENTO="Manual",$M26=$A$15),$M26&gt;(ROW(PLE.lastrow)-ROW(PLE.firstrow))),0,
           IF(OFFSET(PLE!$G$15,$M26-$A$15,AZ$13)="",10^12,OFFSET(PLE!$G$15,$M26-$A$15,AZ$13)))</f>
        <v>1000000000000</v>
      </c>
      <c r="BA26" s="179">
        <f ca="1">IF(OR($D26&lt;&gt;"Serviço",AND(AUTOEVENTO="Manual",$M26=$A$15),$M26&gt;(ROW(PLE.lastrow)-ROW(PLE.firstrow))),0,
           IF(OFFSET(PLE!$G$15,$M26-$A$15,BA$13)="",10^12,OFFSET(PLE!$G$15,$M26-$A$15,BA$13)))</f>
        <v>1000000000000</v>
      </c>
      <c r="BB26" s="179">
        <f ca="1">IF(OR($D26&lt;&gt;"Serviço",AND(AUTOEVENTO="Manual",$M26=$A$15),$M26&gt;(ROW(PLE.lastrow)-ROW(PLE.firstrow))),0,
           IF(OFFSET(PLE!$G$15,$M26-$A$15,BB$13)="",10^12,OFFSET(PLE!$G$15,$M26-$A$15,BB$13)))</f>
        <v>1000000000000</v>
      </c>
      <c r="BC26" s="179">
        <f ca="1">IF(OR($D26&lt;&gt;"Serviço",AND(AUTOEVENTO="Manual",$M26=$A$15),$M26&gt;(ROW(PLE.lastrow)-ROW(PLE.firstrow))),0,
           IF(OFFSET(PLE!$G$15,$M26-$A$15,BC$13)="",10^12,OFFSET(PLE!$G$15,$M26-$A$15,BC$13)))</f>
        <v>1000000000000</v>
      </c>
      <c r="BD26" s="179">
        <f ca="1">IF(OR($D26&lt;&gt;"Serviço",AND(AUTOEVENTO="Manual",$M26=$A$15),$M26&gt;(ROW(PLE.lastrow)-ROW(PLE.firstrow))),0,
           IF(OFFSET(PLE!$G$15,$M26-$A$15,BD$13)="",10^12,OFFSET(PLE!$G$15,$M26-$A$15,BD$13)))</f>
        <v>1000000000000</v>
      </c>
      <c r="BE26" s="179">
        <f ca="1">IF(OR($D26&lt;&gt;"Serviço",AND(AUTOEVENTO="Manual",$M26=$A$15),$M26&gt;(ROW(PLE.lastrow)-ROW(PLE.firstrow))),0,
           IF(OFFSET(PLE!$G$15,$M26-$A$15,BE$13)="",10^12,OFFSET(PLE!$G$15,$M26-$A$15,BE$13)))</f>
        <v>1000000000000</v>
      </c>
      <c r="BF26" s="179">
        <f ca="1">IF(OR($D26&lt;&gt;"Serviço",AND(AUTOEVENTO="Manual",$M26=$A$15),$M26&gt;(ROW(PLE.lastrow)-ROW(PLE.firstrow))),0,
           IF(OFFSET(PLE!$G$15,$M26-$A$15,BF$13)="",10^12,OFFSET(PLE!$G$15,$M26-$A$15,BF$13)))</f>
        <v>1000000000000</v>
      </c>
      <c r="BG26" s="179">
        <f ca="1">IF(OR($D26&lt;&gt;"Serviço",AND(AUTOEVENTO="Manual",$M26=$A$15),$M26&gt;(ROW(PLE.lastrow)-ROW(PLE.firstrow))),0,
           IF(OFFSET(PLE!$G$15,$M26-$A$15,BG$13)="",10^12,OFFSET(PLE!$G$15,$M26-$A$15,BG$13)))</f>
        <v>1000000000000</v>
      </c>
    </row>
    <row r="27" spans="1:59" ht="13.35" customHeight="1" x14ac:dyDescent="0.2">
      <c r="A27" s="7" t="str">
        <f ca="1">IF(AUTOEVENTO="Manual",IF(K27&lt;&gt;"",MIN(VALUE(LEFT(K27,FIND(".",K27)-1)),COUNTA(EVENTOS.Lista)),0),IF(OR($B27&gt;AUTOEVENTO,$B27="S",$B27=0),SUBSTITUTE(OFFSET($A27,-1,0),IF($D27="Serviço",".",""),""),ROW(A27)-ROW($A$15)&amp;"."))</f>
        <v>5</v>
      </c>
      <c r="B27" s="7" t="str">
        <f ca="1">OFFSET(ORÇAMENTO!C$15,ROW(B27)-ROW(B$15),0)</f>
        <v>S</v>
      </c>
      <c r="C27" s="7" t="str">
        <f ca="1">OFFSET(ORÇAMENTO!L$15,ROW(C27)-ROW(C$15),0)</f>
        <v/>
      </c>
      <c r="D27" s="118" t="str">
        <f ca="1">OFFSET(ORÇAMENTO!N$15,ROW(D27)-ROW(D$15),0)</f>
        <v>Serviço</v>
      </c>
      <c r="E27" s="119" t="str">
        <f ca="1">OFFSET(ORÇAMENTO!O$15,ROW(E27)-ROW(E$15),0)</f>
        <v>-</v>
      </c>
      <c r="F27" s="170" t="str">
        <f ca="1">OFFSET(ORÇAMENTO!R$15,ROW(F27)-ROW(F$15),0)</f>
        <v>(abra o arquivo 'Referência 04-2026.xlsm)</v>
      </c>
      <c r="G27" s="171" t="str">
        <f ca="1">IF($D27&lt;&gt;"Serviço","",OFFSET(ORÇAMENTO!S$15,ROW(G27)-ROW(G$15),0))</f>
        <v>-</v>
      </c>
      <c r="H27" s="124" cm="1">
        <f t="array" aca="1" ref="H27" ca="1">IF($D27&lt;&gt;"Serviço",0,IF(_xlfn.SINGLE(ACOMPANHAMENTO)="BM",ROUND(OFFSET(ORÇAMENTO!AJ$15,ROW(H27)-ROW(H$15),0),15-13*ORÇAMENTO!$AF$7),SUMPRODUCT(($Q$1:$AA$1)*ROUND($Q27:$AA27,15-13*ORÇAMENTO!$AF$7))))</f>
        <v>16.5</v>
      </c>
      <c r="I27" s="500" t="s">
        <v>1053</v>
      </c>
      <c r="J27" s="633" t="str" cm="1">
        <f t="array" aca="1" ref="J27" ca="1">IF(B27&lt;&gt;"S","",IF(AND(ACOMPANHAMENTO="PLE",AUTOEVENTO="Manual",OR(H27&gt;0,ORÇAMENTO!AC27="QUANT."),OR(K27="",M27=0,N27="")),"►",IF(AND(ACOMPANHAMENTO="PLE",ORÇAMENTO!AC27="QUANT."),"►►",IF(AND(COUNTIF($P$11:$AA$11,"▼")=0,H27&gt;0,I27=""),"◄",""))))</f>
        <v/>
      </c>
      <c r="K27" s="624"/>
      <c r="L27" s="172" t="s">
        <v>253</v>
      </c>
      <c r="M27" s="173">
        <f ca="1">IF($D27&lt;&gt;"Serviço","",
          IF(AUTOEVENTO="manual",$A27,
                IF(ISERROR(MATCH($A27,$A$15:OFFSET($A27,-1,0),0)),MAX($M$15:OFFSET(M27,-1,0))+1,
                      INDEX($M$15:OFFSET(M27,-1,0),MATCH($A27,$A$15:OFFSET($A27,-1,0),0)))))</f>
        <v>2</v>
      </c>
      <c r="N27" s="174" t="str">
        <f ca="1">IF($D27&lt;&gt;"Serviço","",
         IF(AUTOEVENTO="Manual",
                IF($A27=0,"&lt;-- defina o número do agrupador",
                       OFFSET(EVENTOS!$D$15,$A27-$A$15,0)),
                OFFSET($F$15,$A27,0)))</f>
        <v>ESTRUTURA METÁLICA - PILARES</v>
      </c>
      <c r="O27" s="175"/>
      <c r="Q27" s="175">
        <f>1.5*1*11</f>
        <v>16.5</v>
      </c>
      <c r="R27" s="176"/>
      <c r="S27" s="176"/>
      <c r="T27" s="176"/>
      <c r="U27" s="176"/>
      <c r="V27" s="176"/>
      <c r="W27" s="176"/>
      <c r="X27" s="176"/>
      <c r="Y27" s="176"/>
      <c r="Z27" s="177"/>
      <c r="AB27" s="485">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85">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85">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85">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85">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85">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85">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85">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85">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85">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8">
        <f ca="1">IF(OR($D27&lt;&gt;"Serviço",AND(AUTOEVENTO="Manual",$M27=$A$15)),0,
         IF(OFFSET(CRONOPLE!$F$15,$M27-$A$15,AM$13)="",10^12,OFFSET(CRONOPLE!$F$15,$M27-$A$15,AM$13)))</f>
        <v>1</v>
      </c>
      <c r="AN27" s="178">
        <f ca="1">IF(OR($D27&lt;&gt;"Serviço",AND(AUTOEVENTO="Manual",$M27=$A$15)),0,
         IF(OFFSET(CRONOPLE!$F$15,$M27-$A$15,AN$13)="",10^12,OFFSET(CRONOPLE!$F$15,$M27-$A$15,AN$13)))</f>
        <v>1000000000000</v>
      </c>
      <c r="AO27" s="178">
        <f ca="1">IF(OR($D27&lt;&gt;"Serviço",AND(AUTOEVENTO="Manual",$M27=$A$15)),0,
         IF(OFFSET(CRONOPLE!$F$15,$M27-$A$15,AO$13)="",10^12,OFFSET(CRONOPLE!$F$15,$M27-$A$15,AO$13)))</f>
        <v>1000000000000</v>
      </c>
      <c r="AP27" s="178">
        <f ca="1">IF(OR($D27&lt;&gt;"Serviço",AND(AUTOEVENTO="Manual",$M27=$A$15)),0,
         IF(OFFSET(CRONOPLE!$F$15,$M27-$A$15,AP$13)="",10^12,OFFSET(CRONOPLE!$F$15,$M27-$A$15,AP$13)))</f>
        <v>1000000000000</v>
      </c>
      <c r="AQ27" s="178">
        <f ca="1">IF(OR($D27&lt;&gt;"Serviço",AND(AUTOEVENTO="Manual",$M27=$A$15)),0,
         IF(OFFSET(CRONOPLE!$F$15,$M27-$A$15,AQ$13)="",10^12,OFFSET(CRONOPLE!$F$15,$M27-$A$15,AQ$13)))</f>
        <v>1000000000000</v>
      </c>
      <c r="AR27" s="178">
        <f ca="1">IF(OR($D27&lt;&gt;"Serviço",AND(AUTOEVENTO="Manual",$M27=$A$15)),0,
         IF(OFFSET(CRONOPLE!$F$15,$M27-$A$15,AR$13)="",10^12,OFFSET(CRONOPLE!$F$15,$M27-$A$15,AR$13)))</f>
        <v>1000000000000</v>
      </c>
      <c r="AS27" s="178">
        <f ca="1">IF(OR($D27&lt;&gt;"Serviço",AND(AUTOEVENTO="Manual",$M27=$A$15)),0,
         IF(OFFSET(CRONOPLE!$F$15,$M27-$A$15,AS$13)="",10^12,OFFSET(CRONOPLE!$F$15,$M27-$A$15,AS$13)))</f>
        <v>1000000000000</v>
      </c>
      <c r="AT27" s="178">
        <f ca="1">IF(OR($D27&lt;&gt;"Serviço",AND(AUTOEVENTO="Manual",$M27=$A$15)),0,
         IF(OFFSET(CRONOPLE!$F$15,$M27-$A$15,AT$13)="",10^12,OFFSET(CRONOPLE!$F$15,$M27-$A$15,AT$13)))</f>
        <v>1000000000000</v>
      </c>
      <c r="AU27" s="178">
        <f ca="1">IF(OR($D27&lt;&gt;"Serviço",AND(AUTOEVENTO="Manual",$M27=$A$15)),0,
         IF(OFFSET(CRONOPLE!$F$15,$M27-$A$15,AU$13)="",10^12,OFFSET(CRONOPLE!$F$15,$M27-$A$15,AU$13)))</f>
        <v>1000000000000</v>
      </c>
      <c r="AV27" s="178">
        <f ca="1">IF(OR($D27&lt;&gt;"Serviço",AND(AUTOEVENTO="Manual",$M27=$A$15)),0,
         IF(OFFSET(CRONOPLE!$F$15,$M27-$A$15,AV$13)="",10^12,OFFSET(CRONOPLE!$F$15,$M27-$A$15,AV$13)))</f>
        <v>1000000000000</v>
      </c>
      <c r="AX27" s="179">
        <f ca="1">IF(OR($D27&lt;&gt;"Serviço",AND(AUTOEVENTO="Manual",$M27=$A$15),$M27&gt;(ROW(PLE.lastrow)-ROW(PLE.firstrow))),0,
           IF(OFFSET(PLE!$G$15,$M27-$A$15,AX$13)="",10^12,OFFSET(PLE!$G$15,$M27-$A$15,AX$13)))</f>
        <v>1000000000000</v>
      </c>
      <c r="AY27" s="179">
        <f ca="1">IF(OR($D27&lt;&gt;"Serviço",AND(AUTOEVENTO="Manual",$M27=$A$15),$M27&gt;(ROW(PLE.lastrow)-ROW(PLE.firstrow))),0,
           IF(OFFSET(PLE!$G$15,$M27-$A$15,AY$13)="",10^12,OFFSET(PLE!$G$15,$M27-$A$15,AY$13)))</f>
        <v>1000000000000</v>
      </c>
      <c r="AZ27" s="179">
        <f ca="1">IF(OR($D27&lt;&gt;"Serviço",AND(AUTOEVENTO="Manual",$M27=$A$15),$M27&gt;(ROW(PLE.lastrow)-ROW(PLE.firstrow))),0,
           IF(OFFSET(PLE!$G$15,$M27-$A$15,AZ$13)="",10^12,OFFSET(PLE!$G$15,$M27-$A$15,AZ$13)))</f>
        <v>1000000000000</v>
      </c>
      <c r="BA27" s="179">
        <f ca="1">IF(OR($D27&lt;&gt;"Serviço",AND(AUTOEVENTO="Manual",$M27=$A$15),$M27&gt;(ROW(PLE.lastrow)-ROW(PLE.firstrow))),0,
           IF(OFFSET(PLE!$G$15,$M27-$A$15,BA$13)="",10^12,OFFSET(PLE!$G$15,$M27-$A$15,BA$13)))</f>
        <v>1000000000000</v>
      </c>
      <c r="BB27" s="179">
        <f ca="1">IF(OR($D27&lt;&gt;"Serviço",AND(AUTOEVENTO="Manual",$M27=$A$15),$M27&gt;(ROW(PLE.lastrow)-ROW(PLE.firstrow))),0,
           IF(OFFSET(PLE!$G$15,$M27-$A$15,BB$13)="",10^12,OFFSET(PLE!$G$15,$M27-$A$15,BB$13)))</f>
        <v>1000000000000</v>
      </c>
      <c r="BC27" s="179">
        <f ca="1">IF(OR($D27&lt;&gt;"Serviço",AND(AUTOEVENTO="Manual",$M27=$A$15),$M27&gt;(ROW(PLE.lastrow)-ROW(PLE.firstrow))),0,
           IF(OFFSET(PLE!$G$15,$M27-$A$15,BC$13)="",10^12,OFFSET(PLE!$G$15,$M27-$A$15,BC$13)))</f>
        <v>1000000000000</v>
      </c>
      <c r="BD27" s="179">
        <f ca="1">IF(OR($D27&lt;&gt;"Serviço",AND(AUTOEVENTO="Manual",$M27=$A$15),$M27&gt;(ROW(PLE.lastrow)-ROW(PLE.firstrow))),0,
           IF(OFFSET(PLE!$G$15,$M27-$A$15,BD$13)="",10^12,OFFSET(PLE!$G$15,$M27-$A$15,BD$13)))</f>
        <v>1000000000000</v>
      </c>
      <c r="BE27" s="179">
        <f ca="1">IF(OR($D27&lt;&gt;"Serviço",AND(AUTOEVENTO="Manual",$M27=$A$15),$M27&gt;(ROW(PLE.lastrow)-ROW(PLE.firstrow))),0,
           IF(OFFSET(PLE!$G$15,$M27-$A$15,BE$13)="",10^12,OFFSET(PLE!$G$15,$M27-$A$15,BE$13)))</f>
        <v>1000000000000</v>
      </c>
      <c r="BF27" s="179">
        <f ca="1">IF(OR($D27&lt;&gt;"Serviço",AND(AUTOEVENTO="Manual",$M27=$A$15),$M27&gt;(ROW(PLE.lastrow)-ROW(PLE.firstrow))),0,
           IF(OFFSET(PLE!$G$15,$M27-$A$15,BF$13)="",10^12,OFFSET(PLE!$G$15,$M27-$A$15,BF$13)))</f>
        <v>1000000000000</v>
      </c>
      <c r="BG27" s="179">
        <f ca="1">IF(OR($D27&lt;&gt;"Serviço",AND(AUTOEVENTO="Manual",$M27=$A$15),$M27&gt;(ROW(PLE.lastrow)-ROW(PLE.firstrow))),0,
           IF(OFFSET(PLE!$G$15,$M27-$A$15,BG$13)="",10^12,OFFSET(PLE!$G$15,$M27-$A$15,BG$13)))</f>
        <v>1000000000000</v>
      </c>
    </row>
    <row r="28" spans="1:59" ht="25.5" x14ac:dyDescent="0.2">
      <c r="A28" s="7" t="str">
        <f ca="1">IF(AUTOEVENTO="Manual",IF(K28&lt;&gt;"",MIN(VALUE(LEFT(K28,FIND(".",K28)-1)),COUNTA(EVENTOS.Lista)),0),IF(OR($B28&gt;AUTOEVENTO,$B28="S",$B28=0),SUBSTITUTE(OFFSET($A28,-1,0),IF($D28="Serviço",".",""),""),ROW(A28)-ROW($A$15)&amp;"."))</f>
        <v>5</v>
      </c>
      <c r="B28" s="7" t="str">
        <f ca="1">OFFSET(ORÇAMENTO!C$15,ROW(B28)-ROW(B$15),0)</f>
        <v>S</v>
      </c>
      <c r="C28" s="7" t="str">
        <f ca="1">OFFSET(ORÇAMENTO!L$15,ROW(C28)-ROW(C$15),0)</f>
        <v/>
      </c>
      <c r="D28" s="118" t="str">
        <f ca="1">OFFSET(ORÇAMENTO!N$15,ROW(D28)-ROW(D$15),0)</f>
        <v>Serviço</v>
      </c>
      <c r="E28" s="119" t="str">
        <f ca="1">OFFSET(ORÇAMENTO!O$15,ROW(E28)-ROW(E$15),0)</f>
        <v>-</v>
      </c>
      <c r="F28" s="170" t="str">
        <f ca="1">OFFSET(ORÇAMENTO!R$15,ROW(F28)-ROW(F$15),0)</f>
        <v>(abra o arquivo 'Referência 04-2026.xlsm)</v>
      </c>
      <c r="G28" s="171" t="str">
        <f ca="1">IF($D28&lt;&gt;"Serviço","",OFFSET(ORÇAMENTO!S$15,ROW(G28)-ROW(G$15),0))</f>
        <v>-</v>
      </c>
      <c r="H28" s="124" cm="1">
        <f t="array" aca="1" ref="H28" ca="1">IF($D28&lt;&gt;"Serviço",0,IF(_xlfn.SINGLE(ACOMPANHAMENTO)="BM",ROUND(OFFSET(ORÇAMENTO!AJ$15,ROW(H28)-ROW(H$15),0),15-13*ORÇAMENTO!$AF$7),SUMPRODUCT(($Q$1:$AA$1)*ROUND($Q28:$AA28,15-13*ORÇAMENTO!$AF$7))))</f>
        <v>4</v>
      </c>
      <c r="I28" s="500" t="s">
        <v>1054</v>
      </c>
      <c r="J28" s="633" t="str" cm="1">
        <f t="array" aca="1" ref="J28" ca="1">IF(B28&lt;&gt;"S","",IF(AND(ACOMPANHAMENTO="PLE",AUTOEVENTO="Manual",OR(H28&gt;0,ORÇAMENTO!AC28="QUANT."),OR(K28="",M28=0,N28="")),"►",IF(AND(ACOMPANHAMENTO="PLE",ORÇAMENTO!AC28="QUANT."),"►►",IF(AND(COUNTIF($P$11:$AA$11,"▼")=0,H28&gt;0,I28=""),"◄",""))))</f>
        <v/>
      </c>
      <c r="K28" s="624"/>
      <c r="L28" s="172" t="s">
        <v>253</v>
      </c>
      <c r="M28" s="173">
        <f ca="1">IF($D28&lt;&gt;"Serviço","",
          IF(AUTOEVENTO="manual",$A28,
                IF(ISERROR(MATCH($A28,$A$15:OFFSET($A28,-1,0),0)),MAX($M$15:OFFSET(M28,-1,0))+1,
                      INDEX($M$15:OFFSET(M28,-1,0),MATCH($A28,$A$15:OFFSET($A28,-1,0),0)))))</f>
        <v>2</v>
      </c>
      <c r="N28" s="174" t="str">
        <f ca="1">IF($D28&lt;&gt;"Serviço","",
         IF(AUTOEVENTO="Manual",
                IF($A28=0,"&lt;-- defina o número do agrupador",
                       OFFSET(EVENTOS!$D$15,$A28-$A$15,0)),
                OFFSET($F$15,$A28,0)))</f>
        <v>ESTRUTURA METÁLICA - PILARES</v>
      </c>
      <c r="O28" s="175"/>
      <c r="Q28" s="175">
        <f>2*1*(0.8*2+0.2*2)</f>
        <v>4</v>
      </c>
      <c r="R28" s="176"/>
      <c r="S28" s="176"/>
      <c r="T28" s="176"/>
      <c r="U28" s="176"/>
      <c r="V28" s="176"/>
      <c r="W28" s="176"/>
      <c r="X28" s="176"/>
      <c r="Y28" s="176"/>
      <c r="Z28" s="177"/>
      <c r="AB28" s="485">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85">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85">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85">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85">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85">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85">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85">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85">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85">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8">
        <f ca="1">IF(OR($D28&lt;&gt;"Serviço",AND(AUTOEVENTO="Manual",$M28=$A$15)),0,
         IF(OFFSET(CRONOPLE!$F$15,$M28-$A$15,AM$13)="",10^12,OFFSET(CRONOPLE!$F$15,$M28-$A$15,AM$13)))</f>
        <v>1</v>
      </c>
      <c r="AN28" s="178">
        <f ca="1">IF(OR($D28&lt;&gt;"Serviço",AND(AUTOEVENTO="Manual",$M28=$A$15)),0,
         IF(OFFSET(CRONOPLE!$F$15,$M28-$A$15,AN$13)="",10^12,OFFSET(CRONOPLE!$F$15,$M28-$A$15,AN$13)))</f>
        <v>1000000000000</v>
      </c>
      <c r="AO28" s="178">
        <f ca="1">IF(OR($D28&lt;&gt;"Serviço",AND(AUTOEVENTO="Manual",$M28=$A$15)),0,
         IF(OFFSET(CRONOPLE!$F$15,$M28-$A$15,AO$13)="",10^12,OFFSET(CRONOPLE!$F$15,$M28-$A$15,AO$13)))</f>
        <v>1000000000000</v>
      </c>
      <c r="AP28" s="178">
        <f ca="1">IF(OR($D28&lt;&gt;"Serviço",AND(AUTOEVENTO="Manual",$M28=$A$15)),0,
         IF(OFFSET(CRONOPLE!$F$15,$M28-$A$15,AP$13)="",10^12,OFFSET(CRONOPLE!$F$15,$M28-$A$15,AP$13)))</f>
        <v>1000000000000</v>
      </c>
      <c r="AQ28" s="178">
        <f ca="1">IF(OR($D28&lt;&gt;"Serviço",AND(AUTOEVENTO="Manual",$M28=$A$15)),0,
         IF(OFFSET(CRONOPLE!$F$15,$M28-$A$15,AQ$13)="",10^12,OFFSET(CRONOPLE!$F$15,$M28-$A$15,AQ$13)))</f>
        <v>1000000000000</v>
      </c>
      <c r="AR28" s="178">
        <f ca="1">IF(OR($D28&lt;&gt;"Serviço",AND(AUTOEVENTO="Manual",$M28=$A$15)),0,
         IF(OFFSET(CRONOPLE!$F$15,$M28-$A$15,AR$13)="",10^12,OFFSET(CRONOPLE!$F$15,$M28-$A$15,AR$13)))</f>
        <v>1000000000000</v>
      </c>
      <c r="AS28" s="178">
        <f ca="1">IF(OR($D28&lt;&gt;"Serviço",AND(AUTOEVENTO="Manual",$M28=$A$15)),0,
         IF(OFFSET(CRONOPLE!$F$15,$M28-$A$15,AS$13)="",10^12,OFFSET(CRONOPLE!$F$15,$M28-$A$15,AS$13)))</f>
        <v>1000000000000</v>
      </c>
      <c r="AT28" s="178">
        <f ca="1">IF(OR($D28&lt;&gt;"Serviço",AND(AUTOEVENTO="Manual",$M28=$A$15)),0,
         IF(OFFSET(CRONOPLE!$F$15,$M28-$A$15,AT$13)="",10^12,OFFSET(CRONOPLE!$F$15,$M28-$A$15,AT$13)))</f>
        <v>1000000000000</v>
      </c>
      <c r="AU28" s="178">
        <f ca="1">IF(OR($D28&lt;&gt;"Serviço",AND(AUTOEVENTO="Manual",$M28=$A$15)),0,
         IF(OFFSET(CRONOPLE!$F$15,$M28-$A$15,AU$13)="",10^12,OFFSET(CRONOPLE!$F$15,$M28-$A$15,AU$13)))</f>
        <v>1000000000000</v>
      </c>
      <c r="AV28" s="178">
        <f ca="1">IF(OR($D28&lt;&gt;"Serviço",AND(AUTOEVENTO="Manual",$M28=$A$15)),0,
         IF(OFFSET(CRONOPLE!$F$15,$M28-$A$15,AV$13)="",10^12,OFFSET(CRONOPLE!$F$15,$M28-$A$15,AV$13)))</f>
        <v>1000000000000</v>
      </c>
      <c r="AX28" s="179">
        <f ca="1">IF(OR($D28&lt;&gt;"Serviço",AND(AUTOEVENTO="Manual",$M28=$A$15),$M28&gt;(ROW(PLE.lastrow)-ROW(PLE.firstrow))),0,
           IF(OFFSET(PLE!$G$15,$M28-$A$15,AX$13)="",10^12,OFFSET(PLE!$G$15,$M28-$A$15,AX$13)))</f>
        <v>1000000000000</v>
      </c>
      <c r="AY28" s="179">
        <f ca="1">IF(OR($D28&lt;&gt;"Serviço",AND(AUTOEVENTO="Manual",$M28=$A$15),$M28&gt;(ROW(PLE.lastrow)-ROW(PLE.firstrow))),0,
           IF(OFFSET(PLE!$G$15,$M28-$A$15,AY$13)="",10^12,OFFSET(PLE!$G$15,$M28-$A$15,AY$13)))</f>
        <v>1000000000000</v>
      </c>
      <c r="AZ28" s="179">
        <f ca="1">IF(OR($D28&lt;&gt;"Serviço",AND(AUTOEVENTO="Manual",$M28=$A$15),$M28&gt;(ROW(PLE.lastrow)-ROW(PLE.firstrow))),0,
           IF(OFFSET(PLE!$G$15,$M28-$A$15,AZ$13)="",10^12,OFFSET(PLE!$G$15,$M28-$A$15,AZ$13)))</f>
        <v>1000000000000</v>
      </c>
      <c r="BA28" s="179">
        <f ca="1">IF(OR($D28&lt;&gt;"Serviço",AND(AUTOEVENTO="Manual",$M28=$A$15),$M28&gt;(ROW(PLE.lastrow)-ROW(PLE.firstrow))),0,
           IF(OFFSET(PLE!$G$15,$M28-$A$15,BA$13)="",10^12,OFFSET(PLE!$G$15,$M28-$A$15,BA$13)))</f>
        <v>1000000000000</v>
      </c>
      <c r="BB28" s="179">
        <f ca="1">IF(OR($D28&lt;&gt;"Serviço",AND(AUTOEVENTO="Manual",$M28=$A$15),$M28&gt;(ROW(PLE.lastrow)-ROW(PLE.firstrow))),0,
           IF(OFFSET(PLE!$G$15,$M28-$A$15,BB$13)="",10^12,OFFSET(PLE!$G$15,$M28-$A$15,BB$13)))</f>
        <v>1000000000000</v>
      </c>
      <c r="BC28" s="179">
        <f ca="1">IF(OR($D28&lt;&gt;"Serviço",AND(AUTOEVENTO="Manual",$M28=$A$15),$M28&gt;(ROW(PLE.lastrow)-ROW(PLE.firstrow))),0,
           IF(OFFSET(PLE!$G$15,$M28-$A$15,BC$13)="",10^12,OFFSET(PLE!$G$15,$M28-$A$15,BC$13)))</f>
        <v>1000000000000</v>
      </c>
      <c r="BD28" s="179">
        <f ca="1">IF(OR($D28&lt;&gt;"Serviço",AND(AUTOEVENTO="Manual",$M28=$A$15),$M28&gt;(ROW(PLE.lastrow)-ROW(PLE.firstrow))),0,
           IF(OFFSET(PLE!$G$15,$M28-$A$15,BD$13)="",10^12,OFFSET(PLE!$G$15,$M28-$A$15,BD$13)))</f>
        <v>1000000000000</v>
      </c>
      <c r="BE28" s="179">
        <f ca="1">IF(OR($D28&lt;&gt;"Serviço",AND(AUTOEVENTO="Manual",$M28=$A$15),$M28&gt;(ROW(PLE.lastrow)-ROW(PLE.firstrow))),0,
           IF(OFFSET(PLE!$G$15,$M28-$A$15,BE$13)="",10^12,OFFSET(PLE!$G$15,$M28-$A$15,BE$13)))</f>
        <v>1000000000000</v>
      </c>
      <c r="BF28" s="179">
        <f ca="1">IF(OR($D28&lt;&gt;"Serviço",AND(AUTOEVENTO="Manual",$M28=$A$15),$M28&gt;(ROW(PLE.lastrow)-ROW(PLE.firstrow))),0,
           IF(OFFSET(PLE!$G$15,$M28-$A$15,BF$13)="",10^12,OFFSET(PLE!$G$15,$M28-$A$15,BF$13)))</f>
        <v>1000000000000</v>
      </c>
      <c r="BG28" s="179">
        <f ca="1">IF(OR($D28&lt;&gt;"Serviço",AND(AUTOEVENTO="Manual",$M28=$A$15),$M28&gt;(ROW(PLE.lastrow)-ROW(PLE.firstrow))),0,
           IF(OFFSET(PLE!$G$15,$M28-$A$15,BG$13)="",10^12,OFFSET(PLE!$G$15,$M28-$A$15,BG$13)))</f>
        <v>1000000000000</v>
      </c>
    </row>
    <row r="29" spans="1:59" ht="12.75" x14ac:dyDescent="0.2">
      <c r="A29" s="7" t="str">
        <f ca="1">IF(AUTOEVENTO="Manual",IF(K29&lt;&gt;"",MIN(VALUE(LEFT(K29,FIND(".",K29)-1)),COUNTA(EVENTOS.Lista)),0),IF(OR($B29&gt;AUTOEVENTO,$B29="S",$B29=0),SUBSTITUTE(OFFSET($A29,-1,0),IF($D29="Serviço",".",""),""),ROW(A29)-ROW($A$15)&amp;"."))</f>
        <v>14.</v>
      </c>
      <c r="B29" s="7">
        <f ca="1">OFFSET(ORÇAMENTO!C$15,ROW(B29)-ROW(B$15),0)</f>
        <v>1</v>
      </c>
      <c r="C29" s="7" t="str">
        <f ca="1">OFFSET(ORÇAMENTO!L$15,ROW(C29)-ROW(C$15),0)</f>
        <v>F</v>
      </c>
      <c r="D29" s="118" t="str">
        <f ca="1">OFFSET(ORÇAMENTO!N$15,ROW(D29)-ROW(D$15),0)</f>
        <v>Meta</v>
      </c>
      <c r="E29" s="119" t="str">
        <f ca="1">OFFSET(ORÇAMENTO!O$15,ROW(E29)-ROW(E$15),0)</f>
        <v>2.</v>
      </c>
      <c r="F29" s="170" t="str">
        <f ca="1">OFFSET(ORÇAMENTO!R$15,ROW(F29)-ROW(F$15),0)</f>
        <v>CONSTRUÇÃO DA CHURRASQUEIRA</v>
      </c>
      <c r="G29" s="171" t="str">
        <f ca="1">IF($D29&lt;&gt;"Serviço","",OFFSET(ORÇAMENTO!S$15,ROW(G29)-ROW(G$15),0))</f>
        <v/>
      </c>
      <c r="H29" s="124" cm="1">
        <f t="array" aca="1" ref="H29" ca="1">IF($D29&lt;&gt;"Serviço",0,IF(_xlfn.SINGLE(ACOMPANHAMENTO)="BM",ROUND(OFFSET(ORÇAMENTO!AJ$15,ROW(H29)-ROW(H$15),0),15-13*ORÇAMENTO!$AF$7),SUMPRODUCT(($Q$1:$AA$1)*ROUND($Q29:$AA29,15-13*ORÇAMENTO!$AF$7))))</f>
        <v>0</v>
      </c>
      <c r="I29" s="500"/>
      <c r="J29" s="633" t="str" cm="1">
        <f t="array" aca="1" ref="J29" ca="1">IF(B29&lt;&gt;"S","",IF(AND(ACOMPANHAMENTO="PLE",AUTOEVENTO="Manual",OR(H29&gt;0,ORÇAMENTO!AC29="QUANT."),OR(K29="",M29=0,N29="")),"►",IF(AND(ACOMPANHAMENTO="PLE",ORÇAMENTO!AC29="QUANT."),"►►",IF(AND(COUNTIF($P$11:$AA$11,"▼")=0,H29&gt;0,I29=""),"◄",""))))</f>
        <v/>
      </c>
      <c r="K29" s="624"/>
      <c r="L29" s="172" t="s">
        <v>253</v>
      </c>
      <c r="M29" s="173" t="str">
        <f ca="1">IF($D29&lt;&gt;"Serviço","",
          IF(AUTOEVENTO="manual",$A29,
                IF(ISERROR(MATCH($A29,$A$15:OFFSET($A29,-1,0),0)),MAX($M$15:OFFSET(M29,-1,0))+1,
                      INDEX($M$15:OFFSET(M29,-1,0),MATCH($A29,$A$15:OFFSET($A29,-1,0),0)))))</f>
        <v/>
      </c>
      <c r="N29" s="174" t="str">
        <f ca="1">IF($D29&lt;&gt;"Serviço","",
         IF(AUTOEVENTO="Manual",
                IF($A29=0,"&lt;-- defina o número do agrupador",
                       OFFSET(EVENTOS!$D$15,$A29-$A$15,0)),
                OFFSET($F$15,$A29,0)))</f>
        <v/>
      </c>
      <c r="O29" s="175"/>
      <c r="Q29" s="175"/>
      <c r="R29" s="176"/>
      <c r="S29" s="176"/>
      <c r="T29" s="176"/>
      <c r="U29" s="176"/>
      <c r="V29" s="176"/>
      <c r="W29" s="176"/>
      <c r="X29" s="176"/>
      <c r="Y29" s="176"/>
      <c r="Z29" s="177"/>
      <c r="AB29" s="485">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85">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85">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85">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85">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85">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85">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85">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85">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85">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8">
        <f ca="1">IF(OR($D29&lt;&gt;"Serviço",AND(AUTOEVENTO="Manual",$M29=$A$15)),0,
         IF(OFFSET(CRONOPLE!$F$15,$M29-$A$15,AM$13)="",10^12,OFFSET(CRONOPLE!$F$15,$M29-$A$15,AM$13)))</f>
        <v>0</v>
      </c>
      <c r="AN29" s="178">
        <f ca="1">IF(OR($D29&lt;&gt;"Serviço",AND(AUTOEVENTO="Manual",$M29=$A$15)),0,
         IF(OFFSET(CRONOPLE!$F$15,$M29-$A$15,AN$13)="",10^12,OFFSET(CRONOPLE!$F$15,$M29-$A$15,AN$13)))</f>
        <v>0</v>
      </c>
      <c r="AO29" s="178">
        <f ca="1">IF(OR($D29&lt;&gt;"Serviço",AND(AUTOEVENTO="Manual",$M29=$A$15)),0,
         IF(OFFSET(CRONOPLE!$F$15,$M29-$A$15,AO$13)="",10^12,OFFSET(CRONOPLE!$F$15,$M29-$A$15,AO$13)))</f>
        <v>0</v>
      </c>
      <c r="AP29" s="178">
        <f ca="1">IF(OR($D29&lt;&gt;"Serviço",AND(AUTOEVENTO="Manual",$M29=$A$15)),0,
         IF(OFFSET(CRONOPLE!$F$15,$M29-$A$15,AP$13)="",10^12,OFFSET(CRONOPLE!$F$15,$M29-$A$15,AP$13)))</f>
        <v>0</v>
      </c>
      <c r="AQ29" s="178">
        <f ca="1">IF(OR($D29&lt;&gt;"Serviço",AND(AUTOEVENTO="Manual",$M29=$A$15)),0,
         IF(OFFSET(CRONOPLE!$F$15,$M29-$A$15,AQ$13)="",10^12,OFFSET(CRONOPLE!$F$15,$M29-$A$15,AQ$13)))</f>
        <v>0</v>
      </c>
      <c r="AR29" s="178">
        <f ca="1">IF(OR($D29&lt;&gt;"Serviço",AND(AUTOEVENTO="Manual",$M29=$A$15)),0,
         IF(OFFSET(CRONOPLE!$F$15,$M29-$A$15,AR$13)="",10^12,OFFSET(CRONOPLE!$F$15,$M29-$A$15,AR$13)))</f>
        <v>0</v>
      </c>
      <c r="AS29" s="178">
        <f ca="1">IF(OR($D29&lt;&gt;"Serviço",AND(AUTOEVENTO="Manual",$M29=$A$15)),0,
         IF(OFFSET(CRONOPLE!$F$15,$M29-$A$15,AS$13)="",10^12,OFFSET(CRONOPLE!$F$15,$M29-$A$15,AS$13)))</f>
        <v>0</v>
      </c>
      <c r="AT29" s="178">
        <f ca="1">IF(OR($D29&lt;&gt;"Serviço",AND(AUTOEVENTO="Manual",$M29=$A$15)),0,
         IF(OFFSET(CRONOPLE!$F$15,$M29-$A$15,AT$13)="",10^12,OFFSET(CRONOPLE!$F$15,$M29-$A$15,AT$13)))</f>
        <v>0</v>
      </c>
      <c r="AU29" s="178">
        <f ca="1">IF(OR($D29&lt;&gt;"Serviço",AND(AUTOEVENTO="Manual",$M29=$A$15)),0,
         IF(OFFSET(CRONOPLE!$F$15,$M29-$A$15,AU$13)="",10^12,OFFSET(CRONOPLE!$F$15,$M29-$A$15,AU$13)))</f>
        <v>0</v>
      </c>
      <c r="AV29" s="178">
        <f ca="1">IF(OR($D29&lt;&gt;"Serviço",AND(AUTOEVENTO="Manual",$M29=$A$15)),0,
         IF(OFFSET(CRONOPLE!$F$15,$M29-$A$15,AV$13)="",10^12,OFFSET(CRONOPLE!$F$15,$M29-$A$15,AV$13)))</f>
        <v>0</v>
      </c>
      <c r="AX29" s="179">
        <f ca="1">IF(OR($D29&lt;&gt;"Serviço",AND(AUTOEVENTO="Manual",$M29=$A$15),$M29&gt;(ROW(PLE.lastrow)-ROW(PLE.firstrow))),0,
           IF(OFFSET(PLE!$G$15,$M29-$A$15,AX$13)="",10^12,OFFSET(PLE!$G$15,$M29-$A$15,AX$13)))</f>
        <v>0</v>
      </c>
      <c r="AY29" s="179">
        <f ca="1">IF(OR($D29&lt;&gt;"Serviço",AND(AUTOEVENTO="Manual",$M29=$A$15),$M29&gt;(ROW(PLE.lastrow)-ROW(PLE.firstrow))),0,
           IF(OFFSET(PLE!$G$15,$M29-$A$15,AY$13)="",10^12,OFFSET(PLE!$G$15,$M29-$A$15,AY$13)))</f>
        <v>0</v>
      </c>
      <c r="AZ29" s="179">
        <f ca="1">IF(OR($D29&lt;&gt;"Serviço",AND(AUTOEVENTO="Manual",$M29=$A$15),$M29&gt;(ROW(PLE.lastrow)-ROW(PLE.firstrow))),0,
           IF(OFFSET(PLE!$G$15,$M29-$A$15,AZ$13)="",10^12,OFFSET(PLE!$G$15,$M29-$A$15,AZ$13)))</f>
        <v>0</v>
      </c>
      <c r="BA29" s="179">
        <f ca="1">IF(OR($D29&lt;&gt;"Serviço",AND(AUTOEVENTO="Manual",$M29=$A$15),$M29&gt;(ROW(PLE.lastrow)-ROW(PLE.firstrow))),0,
           IF(OFFSET(PLE!$G$15,$M29-$A$15,BA$13)="",10^12,OFFSET(PLE!$G$15,$M29-$A$15,BA$13)))</f>
        <v>0</v>
      </c>
      <c r="BB29" s="179">
        <f ca="1">IF(OR($D29&lt;&gt;"Serviço",AND(AUTOEVENTO="Manual",$M29=$A$15),$M29&gt;(ROW(PLE.lastrow)-ROW(PLE.firstrow))),0,
           IF(OFFSET(PLE!$G$15,$M29-$A$15,BB$13)="",10^12,OFFSET(PLE!$G$15,$M29-$A$15,BB$13)))</f>
        <v>0</v>
      </c>
      <c r="BC29" s="179">
        <f ca="1">IF(OR($D29&lt;&gt;"Serviço",AND(AUTOEVENTO="Manual",$M29=$A$15),$M29&gt;(ROW(PLE.lastrow)-ROW(PLE.firstrow))),0,
           IF(OFFSET(PLE!$G$15,$M29-$A$15,BC$13)="",10^12,OFFSET(PLE!$G$15,$M29-$A$15,BC$13)))</f>
        <v>0</v>
      </c>
      <c r="BD29" s="179">
        <f ca="1">IF(OR($D29&lt;&gt;"Serviço",AND(AUTOEVENTO="Manual",$M29=$A$15),$M29&gt;(ROW(PLE.lastrow)-ROW(PLE.firstrow))),0,
           IF(OFFSET(PLE!$G$15,$M29-$A$15,BD$13)="",10^12,OFFSET(PLE!$G$15,$M29-$A$15,BD$13)))</f>
        <v>0</v>
      </c>
      <c r="BE29" s="179">
        <f ca="1">IF(OR($D29&lt;&gt;"Serviço",AND(AUTOEVENTO="Manual",$M29=$A$15),$M29&gt;(ROW(PLE.lastrow)-ROW(PLE.firstrow))),0,
           IF(OFFSET(PLE!$G$15,$M29-$A$15,BE$13)="",10^12,OFFSET(PLE!$G$15,$M29-$A$15,BE$13)))</f>
        <v>0</v>
      </c>
      <c r="BF29" s="179">
        <f ca="1">IF(OR($D29&lt;&gt;"Serviço",AND(AUTOEVENTO="Manual",$M29=$A$15),$M29&gt;(ROW(PLE.lastrow)-ROW(PLE.firstrow))),0,
           IF(OFFSET(PLE!$G$15,$M29-$A$15,BF$13)="",10^12,OFFSET(PLE!$G$15,$M29-$A$15,BF$13)))</f>
        <v>0</v>
      </c>
      <c r="BG29" s="179">
        <f ca="1">IF(OR($D29&lt;&gt;"Serviço",AND(AUTOEVENTO="Manual",$M29=$A$15),$M29&gt;(ROW(PLE.lastrow)-ROW(PLE.firstrow))),0,
           IF(OFFSET(PLE!$G$15,$M29-$A$15,BG$13)="",10^12,OFFSET(PLE!$G$15,$M29-$A$15,BG$13)))</f>
        <v>0</v>
      </c>
    </row>
    <row r="30" spans="1:59" ht="12.75" x14ac:dyDescent="0.2">
      <c r="A30" s="7" t="str">
        <f ca="1">IF(AUTOEVENTO="Manual",IF(K30&lt;&gt;"",MIN(VALUE(LEFT(K30,FIND(".",K30)-1)),COUNTA(EVENTOS.Lista)),0),IF(OR($B30&gt;AUTOEVENTO,$B30="S",$B30=0),SUBSTITUTE(OFFSET($A30,-1,0),IF($D30="Serviço",".",""),""),ROW(A30)-ROW($A$15)&amp;"."))</f>
        <v>15.</v>
      </c>
      <c r="B30" s="7">
        <f ca="1">OFFSET(ORÇAMENTO!C$15,ROW(B30)-ROW(B$15),0)</f>
        <v>2</v>
      </c>
      <c r="C30" s="7" t="str">
        <f ca="1">OFFSET(ORÇAMENTO!L$15,ROW(C30)-ROW(C$15),0)</f>
        <v>F</v>
      </c>
      <c r="D30" s="118" t="str">
        <f ca="1">OFFSET(ORÇAMENTO!N$15,ROW(D30)-ROW(D$15),0)</f>
        <v>Nível 2</v>
      </c>
      <c r="E30" s="119" t="str">
        <f ca="1">OFFSET(ORÇAMENTO!O$15,ROW(E30)-ROW(E$15),0)</f>
        <v>2.1.</v>
      </c>
      <c r="F30" s="170" t="str">
        <f ca="1">OFFSET(ORÇAMENTO!R$15,ROW(F30)-ROW(F$15),0)</f>
        <v>FUNDAÇÕES</v>
      </c>
      <c r="G30" s="171" t="str">
        <f ca="1">IF($D30&lt;&gt;"Serviço","",OFFSET(ORÇAMENTO!S$15,ROW(G30)-ROW(G$15),0))</f>
        <v/>
      </c>
      <c r="H30" s="124" cm="1">
        <f t="array" aca="1" ref="H30" ca="1">IF($D30&lt;&gt;"Serviço",0,IF(_xlfn.SINGLE(ACOMPANHAMENTO)="BM",ROUND(OFFSET(ORÇAMENTO!AJ$15,ROW(H30)-ROW(H$15),0),15-13*ORÇAMENTO!$AF$7),SUMPRODUCT(($Q$1:$AA$1)*ROUND($Q30:$AA30,15-13*ORÇAMENTO!$AF$7))))</f>
        <v>0</v>
      </c>
      <c r="I30" s="500"/>
      <c r="J30" s="633" t="str" cm="1">
        <f t="array" aca="1" ref="J30" ca="1">IF(B30&lt;&gt;"S","",IF(AND(ACOMPANHAMENTO="PLE",AUTOEVENTO="Manual",OR(H30&gt;0,ORÇAMENTO!AC30="QUANT."),OR(K30="",M30=0,N30="")),"►",IF(AND(ACOMPANHAMENTO="PLE",ORÇAMENTO!AC30="QUANT."),"►►",IF(AND(COUNTIF($P$11:$AA$11,"▼")=0,H30&gt;0,I30=""),"◄",""))))</f>
        <v/>
      </c>
      <c r="K30" s="624"/>
      <c r="L30" s="172" t="s">
        <v>253</v>
      </c>
      <c r="M30" s="173" t="str">
        <f ca="1">IF($D30&lt;&gt;"Serviço","",
          IF(AUTOEVENTO="manual",$A30,
                IF(ISERROR(MATCH($A30,$A$15:OFFSET($A30,-1,0),0)),MAX($M$15:OFFSET(M30,-1,0))+1,
                      INDEX($M$15:OFFSET(M30,-1,0),MATCH($A30,$A$15:OFFSET($A30,-1,0),0)))))</f>
        <v/>
      </c>
      <c r="N30" s="174" t="str">
        <f ca="1">IF($D30&lt;&gt;"Serviço","",
         IF(AUTOEVENTO="Manual",
                IF($A30=0,"&lt;-- defina o número do agrupador",
                       OFFSET(EVENTOS!$D$15,$A30-$A$15,0)),
                OFFSET($F$15,$A30,0)))</f>
        <v/>
      </c>
      <c r="O30" s="175"/>
      <c r="Q30" s="175"/>
      <c r="R30" s="176"/>
      <c r="S30" s="176"/>
      <c r="T30" s="176"/>
      <c r="U30" s="176"/>
      <c r="V30" s="176"/>
      <c r="W30" s="176"/>
      <c r="X30" s="176"/>
      <c r="Y30" s="176"/>
      <c r="Z30" s="177"/>
      <c r="AB30" s="485">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85">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85">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85">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85">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85">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85">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85">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85">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85">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8">
        <f ca="1">IF(OR($D30&lt;&gt;"Serviço",AND(AUTOEVENTO="Manual",$M30=$A$15)),0,
         IF(OFFSET(CRONOPLE!$F$15,$M30-$A$15,AM$13)="",10^12,OFFSET(CRONOPLE!$F$15,$M30-$A$15,AM$13)))</f>
        <v>0</v>
      </c>
      <c r="AN30" s="178">
        <f ca="1">IF(OR($D30&lt;&gt;"Serviço",AND(AUTOEVENTO="Manual",$M30=$A$15)),0,
         IF(OFFSET(CRONOPLE!$F$15,$M30-$A$15,AN$13)="",10^12,OFFSET(CRONOPLE!$F$15,$M30-$A$15,AN$13)))</f>
        <v>0</v>
      </c>
      <c r="AO30" s="178">
        <f ca="1">IF(OR($D30&lt;&gt;"Serviço",AND(AUTOEVENTO="Manual",$M30=$A$15)),0,
         IF(OFFSET(CRONOPLE!$F$15,$M30-$A$15,AO$13)="",10^12,OFFSET(CRONOPLE!$F$15,$M30-$A$15,AO$13)))</f>
        <v>0</v>
      </c>
      <c r="AP30" s="178">
        <f ca="1">IF(OR($D30&lt;&gt;"Serviço",AND(AUTOEVENTO="Manual",$M30=$A$15)),0,
         IF(OFFSET(CRONOPLE!$F$15,$M30-$A$15,AP$13)="",10^12,OFFSET(CRONOPLE!$F$15,$M30-$A$15,AP$13)))</f>
        <v>0</v>
      </c>
      <c r="AQ30" s="178">
        <f ca="1">IF(OR($D30&lt;&gt;"Serviço",AND(AUTOEVENTO="Manual",$M30=$A$15)),0,
         IF(OFFSET(CRONOPLE!$F$15,$M30-$A$15,AQ$13)="",10^12,OFFSET(CRONOPLE!$F$15,$M30-$A$15,AQ$13)))</f>
        <v>0</v>
      </c>
      <c r="AR30" s="178">
        <f ca="1">IF(OR($D30&lt;&gt;"Serviço",AND(AUTOEVENTO="Manual",$M30=$A$15)),0,
         IF(OFFSET(CRONOPLE!$F$15,$M30-$A$15,AR$13)="",10^12,OFFSET(CRONOPLE!$F$15,$M30-$A$15,AR$13)))</f>
        <v>0</v>
      </c>
      <c r="AS30" s="178">
        <f ca="1">IF(OR($D30&lt;&gt;"Serviço",AND(AUTOEVENTO="Manual",$M30=$A$15)),0,
         IF(OFFSET(CRONOPLE!$F$15,$M30-$A$15,AS$13)="",10^12,OFFSET(CRONOPLE!$F$15,$M30-$A$15,AS$13)))</f>
        <v>0</v>
      </c>
      <c r="AT30" s="178">
        <f ca="1">IF(OR($D30&lt;&gt;"Serviço",AND(AUTOEVENTO="Manual",$M30=$A$15)),0,
         IF(OFFSET(CRONOPLE!$F$15,$M30-$A$15,AT$13)="",10^12,OFFSET(CRONOPLE!$F$15,$M30-$A$15,AT$13)))</f>
        <v>0</v>
      </c>
      <c r="AU30" s="178">
        <f ca="1">IF(OR($D30&lt;&gt;"Serviço",AND(AUTOEVENTO="Manual",$M30=$A$15)),0,
         IF(OFFSET(CRONOPLE!$F$15,$M30-$A$15,AU$13)="",10^12,OFFSET(CRONOPLE!$F$15,$M30-$A$15,AU$13)))</f>
        <v>0</v>
      </c>
      <c r="AV30" s="178">
        <f ca="1">IF(OR($D30&lt;&gt;"Serviço",AND(AUTOEVENTO="Manual",$M30=$A$15)),0,
         IF(OFFSET(CRONOPLE!$F$15,$M30-$A$15,AV$13)="",10^12,OFFSET(CRONOPLE!$F$15,$M30-$A$15,AV$13)))</f>
        <v>0</v>
      </c>
      <c r="AX30" s="179">
        <f ca="1">IF(OR($D30&lt;&gt;"Serviço",AND(AUTOEVENTO="Manual",$M30=$A$15),$M30&gt;(ROW(PLE.lastrow)-ROW(PLE.firstrow))),0,
           IF(OFFSET(PLE!$G$15,$M30-$A$15,AX$13)="",10^12,OFFSET(PLE!$G$15,$M30-$A$15,AX$13)))</f>
        <v>0</v>
      </c>
      <c r="AY30" s="179">
        <f ca="1">IF(OR($D30&lt;&gt;"Serviço",AND(AUTOEVENTO="Manual",$M30=$A$15),$M30&gt;(ROW(PLE.lastrow)-ROW(PLE.firstrow))),0,
           IF(OFFSET(PLE!$G$15,$M30-$A$15,AY$13)="",10^12,OFFSET(PLE!$G$15,$M30-$A$15,AY$13)))</f>
        <v>0</v>
      </c>
      <c r="AZ30" s="179">
        <f ca="1">IF(OR($D30&lt;&gt;"Serviço",AND(AUTOEVENTO="Manual",$M30=$A$15),$M30&gt;(ROW(PLE.lastrow)-ROW(PLE.firstrow))),0,
           IF(OFFSET(PLE!$G$15,$M30-$A$15,AZ$13)="",10^12,OFFSET(PLE!$G$15,$M30-$A$15,AZ$13)))</f>
        <v>0</v>
      </c>
      <c r="BA30" s="179">
        <f ca="1">IF(OR($D30&lt;&gt;"Serviço",AND(AUTOEVENTO="Manual",$M30=$A$15),$M30&gt;(ROW(PLE.lastrow)-ROW(PLE.firstrow))),0,
           IF(OFFSET(PLE!$G$15,$M30-$A$15,BA$13)="",10^12,OFFSET(PLE!$G$15,$M30-$A$15,BA$13)))</f>
        <v>0</v>
      </c>
      <c r="BB30" s="179">
        <f ca="1">IF(OR($D30&lt;&gt;"Serviço",AND(AUTOEVENTO="Manual",$M30=$A$15),$M30&gt;(ROW(PLE.lastrow)-ROW(PLE.firstrow))),0,
           IF(OFFSET(PLE!$G$15,$M30-$A$15,BB$13)="",10^12,OFFSET(PLE!$G$15,$M30-$A$15,BB$13)))</f>
        <v>0</v>
      </c>
      <c r="BC30" s="179">
        <f ca="1">IF(OR($D30&lt;&gt;"Serviço",AND(AUTOEVENTO="Manual",$M30=$A$15),$M30&gt;(ROW(PLE.lastrow)-ROW(PLE.firstrow))),0,
           IF(OFFSET(PLE!$G$15,$M30-$A$15,BC$13)="",10^12,OFFSET(PLE!$G$15,$M30-$A$15,BC$13)))</f>
        <v>0</v>
      </c>
      <c r="BD30" s="179">
        <f ca="1">IF(OR($D30&lt;&gt;"Serviço",AND(AUTOEVENTO="Manual",$M30=$A$15),$M30&gt;(ROW(PLE.lastrow)-ROW(PLE.firstrow))),0,
           IF(OFFSET(PLE!$G$15,$M30-$A$15,BD$13)="",10^12,OFFSET(PLE!$G$15,$M30-$A$15,BD$13)))</f>
        <v>0</v>
      </c>
      <c r="BE30" s="179">
        <f ca="1">IF(OR($D30&lt;&gt;"Serviço",AND(AUTOEVENTO="Manual",$M30=$A$15),$M30&gt;(ROW(PLE.lastrow)-ROW(PLE.firstrow))),0,
           IF(OFFSET(PLE!$G$15,$M30-$A$15,BE$13)="",10^12,OFFSET(PLE!$G$15,$M30-$A$15,BE$13)))</f>
        <v>0</v>
      </c>
      <c r="BF30" s="179">
        <f ca="1">IF(OR($D30&lt;&gt;"Serviço",AND(AUTOEVENTO="Manual",$M30=$A$15),$M30&gt;(ROW(PLE.lastrow)-ROW(PLE.firstrow))),0,
           IF(OFFSET(PLE!$G$15,$M30-$A$15,BF$13)="",10^12,OFFSET(PLE!$G$15,$M30-$A$15,BF$13)))</f>
        <v>0</v>
      </c>
      <c r="BG30" s="179">
        <f ca="1">IF(OR($D30&lt;&gt;"Serviço",AND(AUTOEVENTO="Manual",$M30=$A$15),$M30&gt;(ROW(PLE.lastrow)-ROW(PLE.firstrow))),0,
           IF(OFFSET(PLE!$G$15,$M30-$A$15,BG$13)="",10^12,OFFSET(PLE!$G$15,$M30-$A$15,BG$13)))</f>
        <v>0</v>
      </c>
    </row>
    <row r="31" spans="1:59" ht="38.25" x14ac:dyDescent="0.2">
      <c r="A31" s="7" t="str">
        <f ca="1">IF(AUTOEVENTO="Manual",IF(K31&lt;&gt;"",MIN(VALUE(LEFT(K31,FIND(".",K31)-1)),COUNTA(EVENTOS.Lista)),0),IF(OR($B31&gt;AUTOEVENTO,$B31="S",$B31=0),SUBSTITUTE(OFFSET($A31,-1,0),IF($D31="Serviço",".",""),""),ROW(A31)-ROW($A$15)&amp;"."))</f>
        <v>15</v>
      </c>
      <c r="B31" s="7" t="str">
        <f ca="1">OFFSET(ORÇAMENTO!C$15,ROW(B31)-ROW(B$15),0)</f>
        <v>S</v>
      </c>
      <c r="C31" s="7" t="str">
        <f ca="1">OFFSET(ORÇAMENTO!L$15,ROW(C31)-ROW(C$15),0)</f>
        <v/>
      </c>
      <c r="D31" s="118" t="str">
        <f ca="1">OFFSET(ORÇAMENTO!N$15,ROW(D31)-ROW(D$15),0)</f>
        <v>Serviço</v>
      </c>
      <c r="E31" s="119" t="str">
        <f ca="1">OFFSET(ORÇAMENTO!O$15,ROW(E31)-ROW(E$15),0)</f>
        <v>-</v>
      </c>
      <c r="F31" s="170" t="str">
        <f ca="1">OFFSET(ORÇAMENTO!R$15,ROW(F31)-ROW(F$15),0)</f>
        <v>(abra o arquivo 'Referência 04-2026.xlsm)</v>
      </c>
      <c r="G31" s="171" t="str">
        <f ca="1">IF($D31&lt;&gt;"Serviço","",OFFSET(ORÇAMENTO!S$15,ROW(G31)-ROW(G$15),0))</f>
        <v>-</v>
      </c>
      <c r="H31" s="124" cm="1">
        <f t="array" aca="1" ref="H31" ca="1">IF($D31&lt;&gt;"Serviço",0,IF(_xlfn.SINGLE(ACOMPANHAMENTO)="BM",ROUND(OFFSET(ORÇAMENTO!AJ$15,ROW(H31)-ROW(H$15),0),15-13*ORÇAMENTO!$AF$7),SUMPRODUCT(($Q$1:$AA$1)*ROUND($Q31:$AA31,15-13*ORÇAMENTO!$AF$7))))</f>
        <v>27</v>
      </c>
      <c r="I31" s="500" t="s">
        <v>990</v>
      </c>
      <c r="J31" s="633" t="str" cm="1">
        <f t="array" aca="1" ref="J31" ca="1">IF(B31&lt;&gt;"S","",IF(AND(ACOMPANHAMENTO="PLE",AUTOEVENTO="Manual",OR(H31&gt;0,ORÇAMENTO!AC31="QUANT."),OR(K31="",M31=0,N31="")),"►",IF(AND(ACOMPANHAMENTO="PLE",ORÇAMENTO!AC31="QUANT."),"►►",IF(AND(COUNTIF($P$11:$AA$11,"▼")=0,H31&gt;0,I31=""),"◄",""))))</f>
        <v/>
      </c>
      <c r="K31" s="624"/>
      <c r="L31" s="172" t="s">
        <v>253</v>
      </c>
      <c r="M31" s="173">
        <f ca="1">IF($D31&lt;&gt;"Serviço","",
          IF(AUTOEVENTO="manual",$A31,
                IF(ISERROR(MATCH($A31,$A$15:OFFSET($A31,-1,0),0)),MAX($M$15:OFFSET(M31,-1,0))+1,
                      INDEX($M$15:OFFSET(M31,-1,0),MATCH($A31,$A$15:OFFSET($A31,-1,0),0)))))</f>
        <v>3</v>
      </c>
      <c r="N31" s="174" t="str">
        <f ca="1">IF($D31&lt;&gt;"Serviço","",
         IF(AUTOEVENTO="Manual",
                IF($A31=0,"&lt;-- defina o número do agrupador",
                       OFFSET(EVENTOS!$D$15,$A31-$A$15,0)),
                OFFSET($F$15,$A31,0)))</f>
        <v>FUNDAÇÕES</v>
      </c>
      <c r="O31" s="175"/>
      <c r="Q31" s="175">
        <f>0.3*2*(6+7+14+14+2+2)</f>
        <v>27</v>
      </c>
      <c r="R31" s="176"/>
      <c r="S31" s="176"/>
      <c r="T31" s="176"/>
      <c r="U31" s="176"/>
      <c r="V31" s="176"/>
      <c r="W31" s="176"/>
      <c r="X31" s="176"/>
      <c r="Y31" s="176"/>
      <c r="Z31" s="177"/>
      <c r="AB31" s="485">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85">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85">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85">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85">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85">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85">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85">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85">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85">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8">
        <f ca="1">IF(OR($D31&lt;&gt;"Serviço",AND(AUTOEVENTO="Manual",$M31=$A$15)),0,
         IF(OFFSET(CRONOPLE!$F$15,$M31-$A$15,AM$13)="",10^12,OFFSET(CRONOPLE!$F$15,$M31-$A$15,AM$13)))</f>
        <v>1</v>
      </c>
      <c r="AN31" s="178">
        <f ca="1">IF(OR($D31&lt;&gt;"Serviço",AND(AUTOEVENTO="Manual",$M31=$A$15)),0,
         IF(OFFSET(CRONOPLE!$F$15,$M31-$A$15,AN$13)="",10^12,OFFSET(CRONOPLE!$F$15,$M31-$A$15,AN$13)))</f>
        <v>1000000000000</v>
      </c>
      <c r="AO31" s="178">
        <f ca="1">IF(OR($D31&lt;&gt;"Serviço",AND(AUTOEVENTO="Manual",$M31=$A$15)),0,
         IF(OFFSET(CRONOPLE!$F$15,$M31-$A$15,AO$13)="",10^12,OFFSET(CRONOPLE!$F$15,$M31-$A$15,AO$13)))</f>
        <v>1000000000000</v>
      </c>
      <c r="AP31" s="178">
        <f ca="1">IF(OR($D31&lt;&gt;"Serviço",AND(AUTOEVENTO="Manual",$M31=$A$15)),0,
         IF(OFFSET(CRONOPLE!$F$15,$M31-$A$15,AP$13)="",10^12,OFFSET(CRONOPLE!$F$15,$M31-$A$15,AP$13)))</f>
        <v>1000000000000</v>
      </c>
      <c r="AQ31" s="178">
        <f ca="1">IF(OR($D31&lt;&gt;"Serviço",AND(AUTOEVENTO="Manual",$M31=$A$15)),0,
         IF(OFFSET(CRONOPLE!$F$15,$M31-$A$15,AQ$13)="",10^12,OFFSET(CRONOPLE!$F$15,$M31-$A$15,AQ$13)))</f>
        <v>1000000000000</v>
      </c>
      <c r="AR31" s="178">
        <f ca="1">IF(OR($D31&lt;&gt;"Serviço",AND(AUTOEVENTO="Manual",$M31=$A$15)),0,
         IF(OFFSET(CRONOPLE!$F$15,$M31-$A$15,AR$13)="",10^12,OFFSET(CRONOPLE!$F$15,$M31-$A$15,AR$13)))</f>
        <v>1000000000000</v>
      </c>
      <c r="AS31" s="178">
        <f ca="1">IF(OR($D31&lt;&gt;"Serviço",AND(AUTOEVENTO="Manual",$M31=$A$15)),0,
         IF(OFFSET(CRONOPLE!$F$15,$M31-$A$15,AS$13)="",10^12,OFFSET(CRONOPLE!$F$15,$M31-$A$15,AS$13)))</f>
        <v>1000000000000</v>
      </c>
      <c r="AT31" s="178">
        <f ca="1">IF(OR($D31&lt;&gt;"Serviço",AND(AUTOEVENTO="Manual",$M31=$A$15)),0,
         IF(OFFSET(CRONOPLE!$F$15,$M31-$A$15,AT$13)="",10^12,OFFSET(CRONOPLE!$F$15,$M31-$A$15,AT$13)))</f>
        <v>1000000000000</v>
      </c>
      <c r="AU31" s="178">
        <f ca="1">IF(OR($D31&lt;&gt;"Serviço",AND(AUTOEVENTO="Manual",$M31=$A$15)),0,
         IF(OFFSET(CRONOPLE!$F$15,$M31-$A$15,AU$13)="",10^12,OFFSET(CRONOPLE!$F$15,$M31-$A$15,AU$13)))</f>
        <v>1000000000000</v>
      </c>
      <c r="AV31" s="178">
        <f ca="1">IF(OR($D31&lt;&gt;"Serviço",AND(AUTOEVENTO="Manual",$M31=$A$15)),0,
         IF(OFFSET(CRONOPLE!$F$15,$M31-$A$15,AV$13)="",10^12,OFFSET(CRONOPLE!$F$15,$M31-$A$15,AV$13)))</f>
        <v>1000000000000</v>
      </c>
      <c r="AX31" s="179">
        <f ca="1">IF(OR($D31&lt;&gt;"Serviço",AND(AUTOEVENTO="Manual",$M31=$A$15),$M31&gt;(ROW(PLE.lastrow)-ROW(PLE.firstrow))),0,
           IF(OFFSET(PLE!$G$15,$M31-$A$15,AX$13)="",10^12,OFFSET(PLE!$G$15,$M31-$A$15,AX$13)))</f>
        <v>1000000000000</v>
      </c>
      <c r="AY31" s="179">
        <f ca="1">IF(OR($D31&lt;&gt;"Serviço",AND(AUTOEVENTO="Manual",$M31=$A$15),$M31&gt;(ROW(PLE.lastrow)-ROW(PLE.firstrow))),0,
           IF(OFFSET(PLE!$G$15,$M31-$A$15,AY$13)="",10^12,OFFSET(PLE!$G$15,$M31-$A$15,AY$13)))</f>
        <v>1000000000000</v>
      </c>
      <c r="AZ31" s="179">
        <f ca="1">IF(OR($D31&lt;&gt;"Serviço",AND(AUTOEVENTO="Manual",$M31=$A$15),$M31&gt;(ROW(PLE.lastrow)-ROW(PLE.firstrow))),0,
           IF(OFFSET(PLE!$G$15,$M31-$A$15,AZ$13)="",10^12,OFFSET(PLE!$G$15,$M31-$A$15,AZ$13)))</f>
        <v>1000000000000</v>
      </c>
      <c r="BA31" s="179">
        <f ca="1">IF(OR($D31&lt;&gt;"Serviço",AND(AUTOEVENTO="Manual",$M31=$A$15),$M31&gt;(ROW(PLE.lastrow)-ROW(PLE.firstrow))),0,
           IF(OFFSET(PLE!$G$15,$M31-$A$15,BA$13)="",10^12,OFFSET(PLE!$G$15,$M31-$A$15,BA$13)))</f>
        <v>1000000000000</v>
      </c>
      <c r="BB31" s="179">
        <f ca="1">IF(OR($D31&lt;&gt;"Serviço",AND(AUTOEVENTO="Manual",$M31=$A$15),$M31&gt;(ROW(PLE.lastrow)-ROW(PLE.firstrow))),0,
           IF(OFFSET(PLE!$G$15,$M31-$A$15,BB$13)="",10^12,OFFSET(PLE!$G$15,$M31-$A$15,BB$13)))</f>
        <v>1000000000000</v>
      </c>
      <c r="BC31" s="179">
        <f ca="1">IF(OR($D31&lt;&gt;"Serviço",AND(AUTOEVENTO="Manual",$M31=$A$15),$M31&gt;(ROW(PLE.lastrow)-ROW(PLE.firstrow))),0,
           IF(OFFSET(PLE!$G$15,$M31-$A$15,BC$13)="",10^12,OFFSET(PLE!$G$15,$M31-$A$15,BC$13)))</f>
        <v>1000000000000</v>
      </c>
      <c r="BD31" s="179">
        <f ca="1">IF(OR($D31&lt;&gt;"Serviço",AND(AUTOEVENTO="Manual",$M31=$A$15),$M31&gt;(ROW(PLE.lastrow)-ROW(PLE.firstrow))),0,
           IF(OFFSET(PLE!$G$15,$M31-$A$15,BD$13)="",10^12,OFFSET(PLE!$G$15,$M31-$A$15,BD$13)))</f>
        <v>1000000000000</v>
      </c>
      <c r="BE31" s="179">
        <f ca="1">IF(OR($D31&lt;&gt;"Serviço",AND(AUTOEVENTO="Manual",$M31=$A$15),$M31&gt;(ROW(PLE.lastrow)-ROW(PLE.firstrow))),0,
           IF(OFFSET(PLE!$G$15,$M31-$A$15,BE$13)="",10^12,OFFSET(PLE!$G$15,$M31-$A$15,BE$13)))</f>
        <v>1000000000000</v>
      </c>
      <c r="BF31" s="179">
        <f ca="1">IF(OR($D31&lt;&gt;"Serviço",AND(AUTOEVENTO="Manual",$M31=$A$15),$M31&gt;(ROW(PLE.lastrow)-ROW(PLE.firstrow))),0,
           IF(OFFSET(PLE!$G$15,$M31-$A$15,BF$13)="",10^12,OFFSET(PLE!$G$15,$M31-$A$15,BF$13)))</f>
        <v>1000000000000</v>
      </c>
      <c r="BG31" s="179">
        <f ca="1">IF(OR($D31&lt;&gt;"Serviço",AND(AUTOEVENTO="Manual",$M31=$A$15),$M31&gt;(ROW(PLE.lastrow)-ROW(PLE.firstrow))),0,
           IF(OFFSET(PLE!$G$15,$M31-$A$15,BG$13)="",10^12,OFFSET(PLE!$G$15,$M31-$A$15,BG$13)))</f>
        <v>1000000000000</v>
      </c>
    </row>
    <row r="32" spans="1:59" ht="38.25" x14ac:dyDescent="0.2">
      <c r="A32" s="7" t="str">
        <f ca="1">IF(AUTOEVENTO="Manual",IF(K32&lt;&gt;"",MIN(VALUE(LEFT(K32,FIND(".",K32)-1)),COUNTA(EVENTOS.Lista)),0),IF(OR($B32&gt;AUTOEVENTO,$B32="S",$B32=0),SUBSTITUTE(OFFSET($A32,-1,0),IF($D32="Serviço",".",""),""),ROW(A32)-ROW($A$15)&amp;"."))</f>
        <v>15</v>
      </c>
      <c r="B32" s="7" t="str">
        <f ca="1">OFFSET(ORÇAMENTO!C$15,ROW(B32)-ROW(B$15),0)</f>
        <v>S</v>
      </c>
      <c r="C32" s="7" t="str">
        <f ca="1">OFFSET(ORÇAMENTO!L$15,ROW(C32)-ROW(C$15),0)</f>
        <v/>
      </c>
      <c r="D32" s="118" t="str">
        <f ca="1">OFFSET(ORÇAMENTO!N$15,ROW(D32)-ROW(D$15),0)</f>
        <v>Serviço</v>
      </c>
      <c r="E32" s="119" t="str">
        <f ca="1">OFFSET(ORÇAMENTO!O$15,ROW(E32)-ROW(E$15),0)</f>
        <v>-</v>
      </c>
      <c r="F32" s="170" t="str">
        <f ca="1">OFFSET(ORÇAMENTO!R$15,ROW(F32)-ROW(F$15),0)</f>
        <v>(abra o arquivo 'Referência 04-2026.xlsm)</v>
      </c>
      <c r="G32" s="171" t="str">
        <f ca="1">IF($D32&lt;&gt;"Serviço","",OFFSET(ORÇAMENTO!S$15,ROW(G32)-ROW(G$15),0))</f>
        <v>-</v>
      </c>
      <c r="H32" s="124" cm="1">
        <f t="array" aca="1" ref="H32" ca="1">IF($D32&lt;&gt;"Serviço",0,IF(_xlfn.SINGLE(ACOMPANHAMENTO)="BM",ROUND(OFFSET(ORÇAMENTO!AJ$15,ROW(H32)-ROW(H$15),0),15-13*ORÇAMENTO!$AF$7),SUMPRODUCT(($Q$1:$AA$1)*ROUND($Q32:$AA32,15-13*ORÇAMENTO!$AF$7))))</f>
        <v>71.099999999999994</v>
      </c>
      <c r="I32" s="500" t="s">
        <v>989</v>
      </c>
      <c r="J32" s="633" t="str" cm="1">
        <f t="array" aca="1" ref="J32" ca="1">IF(B32&lt;&gt;"S","",IF(AND(ACOMPANHAMENTO="PLE",AUTOEVENTO="Manual",OR(H32&gt;0,ORÇAMENTO!AC32="QUANT."),OR(K32="",M32=0,N32="")),"►",IF(AND(ACOMPANHAMENTO="PLE",ORÇAMENTO!AC32="QUANT."),"►►",IF(AND(COUNTIF($P$11:$AA$11,"▼")=0,H32&gt;0,I32=""),"◄",""))))</f>
        <v/>
      </c>
      <c r="K32" s="624"/>
      <c r="L32" s="172" t="s">
        <v>253</v>
      </c>
      <c r="M32" s="173">
        <f ca="1">IF($D32&lt;&gt;"Serviço","",
          IF(AUTOEVENTO="manual",$A32,
                IF(ISERROR(MATCH($A32,$A$15:OFFSET($A32,-1,0),0)),MAX($M$15:OFFSET(M32,-1,0))+1,
                      INDEX($M$15:OFFSET(M32,-1,0),MATCH($A32,$A$15:OFFSET($A32,-1,0),0)))))</f>
        <v>3</v>
      </c>
      <c r="N32" s="174" t="str">
        <f ca="1">IF($D32&lt;&gt;"Serviço","",
         IF(AUTOEVENTO="Manual",
                IF($A32=0,"&lt;-- defina o número do agrupador",
                       OFFSET(EVENTOS!$D$15,$A32-$A$15,0)),
                OFFSET($F$15,$A32,0)))</f>
        <v>FUNDAÇÕES</v>
      </c>
      <c r="O32" s="175"/>
      <c r="Q32" s="175">
        <f>0.395*4*(6+7+14+14+2+2)</f>
        <v>71.100000000000009</v>
      </c>
      <c r="R32" s="176"/>
      <c r="S32" s="176"/>
      <c r="T32" s="176"/>
      <c r="U32" s="176"/>
      <c r="V32" s="176"/>
      <c r="W32" s="176"/>
      <c r="X32" s="176"/>
      <c r="Y32" s="176"/>
      <c r="Z32" s="177"/>
      <c r="AB32" s="485">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85">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85">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85">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85">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85">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85">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85">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85">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85">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8">
        <f ca="1">IF(OR($D32&lt;&gt;"Serviço",AND(AUTOEVENTO="Manual",$M32=$A$15)),0,
         IF(OFFSET(CRONOPLE!$F$15,$M32-$A$15,AM$13)="",10^12,OFFSET(CRONOPLE!$F$15,$M32-$A$15,AM$13)))</f>
        <v>1</v>
      </c>
      <c r="AN32" s="178">
        <f ca="1">IF(OR($D32&lt;&gt;"Serviço",AND(AUTOEVENTO="Manual",$M32=$A$15)),0,
         IF(OFFSET(CRONOPLE!$F$15,$M32-$A$15,AN$13)="",10^12,OFFSET(CRONOPLE!$F$15,$M32-$A$15,AN$13)))</f>
        <v>1000000000000</v>
      </c>
      <c r="AO32" s="178">
        <f ca="1">IF(OR($D32&lt;&gt;"Serviço",AND(AUTOEVENTO="Manual",$M32=$A$15)),0,
         IF(OFFSET(CRONOPLE!$F$15,$M32-$A$15,AO$13)="",10^12,OFFSET(CRONOPLE!$F$15,$M32-$A$15,AO$13)))</f>
        <v>1000000000000</v>
      </c>
      <c r="AP32" s="178">
        <f ca="1">IF(OR($D32&lt;&gt;"Serviço",AND(AUTOEVENTO="Manual",$M32=$A$15)),0,
         IF(OFFSET(CRONOPLE!$F$15,$M32-$A$15,AP$13)="",10^12,OFFSET(CRONOPLE!$F$15,$M32-$A$15,AP$13)))</f>
        <v>1000000000000</v>
      </c>
      <c r="AQ32" s="178">
        <f ca="1">IF(OR($D32&lt;&gt;"Serviço",AND(AUTOEVENTO="Manual",$M32=$A$15)),0,
         IF(OFFSET(CRONOPLE!$F$15,$M32-$A$15,AQ$13)="",10^12,OFFSET(CRONOPLE!$F$15,$M32-$A$15,AQ$13)))</f>
        <v>1000000000000</v>
      </c>
      <c r="AR32" s="178">
        <f ca="1">IF(OR($D32&lt;&gt;"Serviço",AND(AUTOEVENTO="Manual",$M32=$A$15)),0,
         IF(OFFSET(CRONOPLE!$F$15,$M32-$A$15,AR$13)="",10^12,OFFSET(CRONOPLE!$F$15,$M32-$A$15,AR$13)))</f>
        <v>1000000000000</v>
      </c>
      <c r="AS32" s="178">
        <f ca="1">IF(OR($D32&lt;&gt;"Serviço",AND(AUTOEVENTO="Manual",$M32=$A$15)),0,
         IF(OFFSET(CRONOPLE!$F$15,$M32-$A$15,AS$13)="",10^12,OFFSET(CRONOPLE!$F$15,$M32-$A$15,AS$13)))</f>
        <v>1000000000000</v>
      </c>
      <c r="AT32" s="178">
        <f ca="1">IF(OR($D32&lt;&gt;"Serviço",AND(AUTOEVENTO="Manual",$M32=$A$15)),0,
         IF(OFFSET(CRONOPLE!$F$15,$M32-$A$15,AT$13)="",10^12,OFFSET(CRONOPLE!$F$15,$M32-$A$15,AT$13)))</f>
        <v>1000000000000</v>
      </c>
      <c r="AU32" s="178">
        <f ca="1">IF(OR($D32&lt;&gt;"Serviço",AND(AUTOEVENTO="Manual",$M32=$A$15)),0,
         IF(OFFSET(CRONOPLE!$F$15,$M32-$A$15,AU$13)="",10^12,OFFSET(CRONOPLE!$F$15,$M32-$A$15,AU$13)))</f>
        <v>1000000000000</v>
      </c>
      <c r="AV32" s="178">
        <f ca="1">IF(OR($D32&lt;&gt;"Serviço",AND(AUTOEVENTO="Manual",$M32=$A$15)),0,
         IF(OFFSET(CRONOPLE!$F$15,$M32-$A$15,AV$13)="",10^12,OFFSET(CRONOPLE!$F$15,$M32-$A$15,AV$13)))</f>
        <v>1000000000000</v>
      </c>
      <c r="AX32" s="179">
        <f ca="1">IF(OR($D32&lt;&gt;"Serviço",AND(AUTOEVENTO="Manual",$M32=$A$15),$M32&gt;(ROW(PLE.lastrow)-ROW(PLE.firstrow))),0,
           IF(OFFSET(PLE!$G$15,$M32-$A$15,AX$13)="",10^12,OFFSET(PLE!$G$15,$M32-$A$15,AX$13)))</f>
        <v>1000000000000</v>
      </c>
      <c r="AY32" s="179">
        <f ca="1">IF(OR($D32&lt;&gt;"Serviço",AND(AUTOEVENTO="Manual",$M32=$A$15),$M32&gt;(ROW(PLE.lastrow)-ROW(PLE.firstrow))),0,
           IF(OFFSET(PLE!$G$15,$M32-$A$15,AY$13)="",10^12,OFFSET(PLE!$G$15,$M32-$A$15,AY$13)))</f>
        <v>1000000000000</v>
      </c>
      <c r="AZ32" s="179">
        <f ca="1">IF(OR($D32&lt;&gt;"Serviço",AND(AUTOEVENTO="Manual",$M32=$A$15),$M32&gt;(ROW(PLE.lastrow)-ROW(PLE.firstrow))),0,
           IF(OFFSET(PLE!$G$15,$M32-$A$15,AZ$13)="",10^12,OFFSET(PLE!$G$15,$M32-$A$15,AZ$13)))</f>
        <v>1000000000000</v>
      </c>
      <c r="BA32" s="179">
        <f ca="1">IF(OR($D32&lt;&gt;"Serviço",AND(AUTOEVENTO="Manual",$M32=$A$15),$M32&gt;(ROW(PLE.lastrow)-ROW(PLE.firstrow))),0,
           IF(OFFSET(PLE!$G$15,$M32-$A$15,BA$13)="",10^12,OFFSET(PLE!$G$15,$M32-$A$15,BA$13)))</f>
        <v>1000000000000</v>
      </c>
      <c r="BB32" s="179">
        <f ca="1">IF(OR($D32&lt;&gt;"Serviço",AND(AUTOEVENTO="Manual",$M32=$A$15),$M32&gt;(ROW(PLE.lastrow)-ROW(PLE.firstrow))),0,
           IF(OFFSET(PLE!$G$15,$M32-$A$15,BB$13)="",10^12,OFFSET(PLE!$G$15,$M32-$A$15,BB$13)))</f>
        <v>1000000000000</v>
      </c>
      <c r="BC32" s="179">
        <f ca="1">IF(OR($D32&lt;&gt;"Serviço",AND(AUTOEVENTO="Manual",$M32=$A$15),$M32&gt;(ROW(PLE.lastrow)-ROW(PLE.firstrow))),0,
           IF(OFFSET(PLE!$G$15,$M32-$A$15,BC$13)="",10^12,OFFSET(PLE!$G$15,$M32-$A$15,BC$13)))</f>
        <v>1000000000000</v>
      </c>
      <c r="BD32" s="179">
        <f ca="1">IF(OR($D32&lt;&gt;"Serviço",AND(AUTOEVENTO="Manual",$M32=$A$15),$M32&gt;(ROW(PLE.lastrow)-ROW(PLE.firstrow))),0,
           IF(OFFSET(PLE!$G$15,$M32-$A$15,BD$13)="",10^12,OFFSET(PLE!$G$15,$M32-$A$15,BD$13)))</f>
        <v>1000000000000</v>
      </c>
      <c r="BE32" s="179">
        <f ca="1">IF(OR($D32&lt;&gt;"Serviço",AND(AUTOEVENTO="Manual",$M32=$A$15),$M32&gt;(ROW(PLE.lastrow)-ROW(PLE.firstrow))),0,
           IF(OFFSET(PLE!$G$15,$M32-$A$15,BE$13)="",10^12,OFFSET(PLE!$G$15,$M32-$A$15,BE$13)))</f>
        <v>1000000000000</v>
      </c>
      <c r="BF32" s="179">
        <f ca="1">IF(OR($D32&lt;&gt;"Serviço",AND(AUTOEVENTO="Manual",$M32=$A$15),$M32&gt;(ROW(PLE.lastrow)-ROW(PLE.firstrow))),0,
           IF(OFFSET(PLE!$G$15,$M32-$A$15,BF$13)="",10^12,OFFSET(PLE!$G$15,$M32-$A$15,BF$13)))</f>
        <v>1000000000000</v>
      </c>
      <c r="BG32" s="179">
        <f ca="1">IF(OR($D32&lt;&gt;"Serviço",AND(AUTOEVENTO="Manual",$M32=$A$15),$M32&gt;(ROW(PLE.lastrow)-ROW(PLE.firstrow))),0,
           IF(OFFSET(PLE!$G$15,$M32-$A$15,BG$13)="",10^12,OFFSET(PLE!$G$15,$M32-$A$15,BG$13)))</f>
        <v>1000000000000</v>
      </c>
    </row>
    <row r="33" spans="1:59" ht="38.25" x14ac:dyDescent="0.2">
      <c r="A33" s="7" t="str">
        <f ca="1">IF(AUTOEVENTO="Manual",IF(K33&lt;&gt;"",MIN(VALUE(LEFT(K33,FIND(".",K33)-1)),COUNTA(EVENTOS.Lista)),0),IF(OR($B33&gt;AUTOEVENTO,$B33="S",$B33=0),SUBSTITUTE(OFFSET($A33,-1,0),IF($D33="Serviço",".",""),""),ROW(A33)-ROW($A$15)&amp;"."))</f>
        <v>15</v>
      </c>
      <c r="B33" s="7" t="str">
        <f ca="1">OFFSET(ORÇAMENTO!C$15,ROW(B33)-ROW(B$15),0)</f>
        <v>S</v>
      </c>
      <c r="C33" s="7" t="str">
        <f ca="1">OFFSET(ORÇAMENTO!L$15,ROW(C33)-ROW(C$15),0)</f>
        <v/>
      </c>
      <c r="D33" s="118" t="str">
        <f ca="1">OFFSET(ORÇAMENTO!N$15,ROW(D33)-ROW(D$15),0)</f>
        <v>Serviço</v>
      </c>
      <c r="E33" s="119" t="str">
        <f ca="1">OFFSET(ORÇAMENTO!O$15,ROW(E33)-ROW(E$15),0)</f>
        <v>-</v>
      </c>
      <c r="F33" s="170" t="str">
        <f ca="1">OFFSET(ORÇAMENTO!R$15,ROW(F33)-ROW(F$15),0)</f>
        <v>(abra o arquivo 'Referência 04-2026.xlsm)</v>
      </c>
      <c r="G33" s="171" t="str">
        <f ca="1">IF($D33&lt;&gt;"Serviço","",OFFSET(ORÇAMENTO!S$15,ROW(G33)-ROW(G$15),0))</f>
        <v>-</v>
      </c>
      <c r="H33" s="124" cm="1">
        <f t="array" aca="1" ref="H33" ca="1">IF($D33&lt;&gt;"Serviço",0,IF(_xlfn.SINGLE(ACOMPANHAMENTO)="BM",ROUND(OFFSET(ORÇAMENTO!AJ$15,ROW(H33)-ROW(H$15),0),15-13*ORÇAMENTO!$AF$7),SUMPRODUCT(($Q$1:$AA$1)*ROUND($Q33:$AA33,15-13*ORÇAMENTO!$AF$7))))</f>
        <v>36.04</v>
      </c>
      <c r="I33" s="500" t="s">
        <v>988</v>
      </c>
      <c r="J33" s="633" t="str" cm="1">
        <f t="array" aca="1" ref="J33" ca="1">IF(B33&lt;&gt;"S","",IF(AND(ACOMPANHAMENTO="PLE",AUTOEVENTO="Manual",OR(H33&gt;0,ORÇAMENTO!AC33="QUANT."),OR(K33="",M33=0,N33="")),"►",IF(AND(ACOMPANHAMENTO="PLE",ORÇAMENTO!AC33="QUANT."),"►►",IF(AND(COUNTIF($P$11:$AA$11,"▼")=0,H33&gt;0,I33=""),"◄",""))))</f>
        <v/>
      </c>
      <c r="K33" s="624"/>
      <c r="L33" s="172" t="s">
        <v>253</v>
      </c>
      <c r="M33" s="173">
        <f ca="1">IF($D33&lt;&gt;"Serviço","",
          IF(AUTOEVENTO="manual",$A33,
                IF(ISERROR(MATCH($A33,$A$15:OFFSET($A33,-1,0),0)),MAX($M$15:OFFSET(M33,-1,0))+1,
                      INDEX($M$15:OFFSET(M33,-1,0),MATCH($A33,$A$15:OFFSET($A33,-1,0),0)))))</f>
        <v>3</v>
      </c>
      <c r="N33" s="174" t="str">
        <f ca="1">IF($D33&lt;&gt;"Serviço","",
         IF(AUTOEVENTO="Manual",
                IF($A33=0,"&lt;-- defina o número do agrupador",
                       OFFSET(EVENTOS!$D$15,$A33-$A$15,0)),
                OFFSET($F$15,$A33,0)))</f>
        <v>FUNDAÇÕES</v>
      </c>
      <c r="O33" s="175"/>
      <c r="Q33" s="175">
        <f>0.154*(6+7+14+14+2+2)/0.15*(0.14+0.14+0.2+0.2+0.1)</f>
        <v>36.036000000000001</v>
      </c>
      <c r="R33" s="176"/>
      <c r="S33" s="176"/>
      <c r="T33" s="176"/>
      <c r="U33" s="176"/>
      <c r="V33" s="176"/>
      <c r="W33" s="176"/>
      <c r="X33" s="176"/>
      <c r="Y33" s="176"/>
      <c r="Z33" s="177"/>
      <c r="AB33" s="485">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85">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85">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85">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85">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85">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85">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85">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85">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85">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8">
        <f ca="1">IF(OR($D33&lt;&gt;"Serviço",AND(AUTOEVENTO="Manual",$M33=$A$15)),0,
         IF(OFFSET(CRONOPLE!$F$15,$M33-$A$15,AM$13)="",10^12,OFFSET(CRONOPLE!$F$15,$M33-$A$15,AM$13)))</f>
        <v>1</v>
      </c>
      <c r="AN33" s="178">
        <f ca="1">IF(OR($D33&lt;&gt;"Serviço",AND(AUTOEVENTO="Manual",$M33=$A$15)),0,
         IF(OFFSET(CRONOPLE!$F$15,$M33-$A$15,AN$13)="",10^12,OFFSET(CRONOPLE!$F$15,$M33-$A$15,AN$13)))</f>
        <v>1000000000000</v>
      </c>
      <c r="AO33" s="178">
        <f ca="1">IF(OR($D33&lt;&gt;"Serviço",AND(AUTOEVENTO="Manual",$M33=$A$15)),0,
         IF(OFFSET(CRONOPLE!$F$15,$M33-$A$15,AO$13)="",10^12,OFFSET(CRONOPLE!$F$15,$M33-$A$15,AO$13)))</f>
        <v>1000000000000</v>
      </c>
      <c r="AP33" s="178">
        <f ca="1">IF(OR($D33&lt;&gt;"Serviço",AND(AUTOEVENTO="Manual",$M33=$A$15)),0,
         IF(OFFSET(CRONOPLE!$F$15,$M33-$A$15,AP$13)="",10^12,OFFSET(CRONOPLE!$F$15,$M33-$A$15,AP$13)))</f>
        <v>1000000000000</v>
      </c>
      <c r="AQ33" s="178">
        <f ca="1">IF(OR($D33&lt;&gt;"Serviço",AND(AUTOEVENTO="Manual",$M33=$A$15)),0,
         IF(OFFSET(CRONOPLE!$F$15,$M33-$A$15,AQ$13)="",10^12,OFFSET(CRONOPLE!$F$15,$M33-$A$15,AQ$13)))</f>
        <v>1000000000000</v>
      </c>
      <c r="AR33" s="178">
        <f ca="1">IF(OR($D33&lt;&gt;"Serviço",AND(AUTOEVENTO="Manual",$M33=$A$15)),0,
         IF(OFFSET(CRONOPLE!$F$15,$M33-$A$15,AR$13)="",10^12,OFFSET(CRONOPLE!$F$15,$M33-$A$15,AR$13)))</f>
        <v>1000000000000</v>
      </c>
      <c r="AS33" s="178">
        <f ca="1">IF(OR($D33&lt;&gt;"Serviço",AND(AUTOEVENTO="Manual",$M33=$A$15)),0,
         IF(OFFSET(CRONOPLE!$F$15,$M33-$A$15,AS$13)="",10^12,OFFSET(CRONOPLE!$F$15,$M33-$A$15,AS$13)))</f>
        <v>1000000000000</v>
      </c>
      <c r="AT33" s="178">
        <f ca="1">IF(OR($D33&lt;&gt;"Serviço",AND(AUTOEVENTO="Manual",$M33=$A$15)),0,
         IF(OFFSET(CRONOPLE!$F$15,$M33-$A$15,AT$13)="",10^12,OFFSET(CRONOPLE!$F$15,$M33-$A$15,AT$13)))</f>
        <v>1000000000000</v>
      </c>
      <c r="AU33" s="178">
        <f ca="1">IF(OR($D33&lt;&gt;"Serviço",AND(AUTOEVENTO="Manual",$M33=$A$15)),0,
         IF(OFFSET(CRONOPLE!$F$15,$M33-$A$15,AU$13)="",10^12,OFFSET(CRONOPLE!$F$15,$M33-$A$15,AU$13)))</f>
        <v>1000000000000</v>
      </c>
      <c r="AV33" s="178">
        <f ca="1">IF(OR($D33&lt;&gt;"Serviço",AND(AUTOEVENTO="Manual",$M33=$A$15)),0,
         IF(OFFSET(CRONOPLE!$F$15,$M33-$A$15,AV$13)="",10^12,OFFSET(CRONOPLE!$F$15,$M33-$A$15,AV$13)))</f>
        <v>1000000000000</v>
      </c>
      <c r="AX33" s="179">
        <f ca="1">IF(OR($D33&lt;&gt;"Serviço",AND(AUTOEVENTO="Manual",$M33=$A$15),$M33&gt;(ROW(PLE.lastrow)-ROW(PLE.firstrow))),0,
           IF(OFFSET(PLE!$G$15,$M33-$A$15,AX$13)="",10^12,OFFSET(PLE!$G$15,$M33-$A$15,AX$13)))</f>
        <v>1000000000000</v>
      </c>
      <c r="AY33" s="179">
        <f ca="1">IF(OR($D33&lt;&gt;"Serviço",AND(AUTOEVENTO="Manual",$M33=$A$15),$M33&gt;(ROW(PLE.lastrow)-ROW(PLE.firstrow))),0,
           IF(OFFSET(PLE!$G$15,$M33-$A$15,AY$13)="",10^12,OFFSET(PLE!$G$15,$M33-$A$15,AY$13)))</f>
        <v>1000000000000</v>
      </c>
      <c r="AZ33" s="179">
        <f ca="1">IF(OR($D33&lt;&gt;"Serviço",AND(AUTOEVENTO="Manual",$M33=$A$15),$M33&gt;(ROW(PLE.lastrow)-ROW(PLE.firstrow))),0,
           IF(OFFSET(PLE!$G$15,$M33-$A$15,AZ$13)="",10^12,OFFSET(PLE!$G$15,$M33-$A$15,AZ$13)))</f>
        <v>1000000000000</v>
      </c>
      <c r="BA33" s="179">
        <f ca="1">IF(OR($D33&lt;&gt;"Serviço",AND(AUTOEVENTO="Manual",$M33=$A$15),$M33&gt;(ROW(PLE.lastrow)-ROW(PLE.firstrow))),0,
           IF(OFFSET(PLE!$G$15,$M33-$A$15,BA$13)="",10^12,OFFSET(PLE!$G$15,$M33-$A$15,BA$13)))</f>
        <v>1000000000000</v>
      </c>
      <c r="BB33" s="179">
        <f ca="1">IF(OR($D33&lt;&gt;"Serviço",AND(AUTOEVENTO="Manual",$M33=$A$15),$M33&gt;(ROW(PLE.lastrow)-ROW(PLE.firstrow))),0,
           IF(OFFSET(PLE!$G$15,$M33-$A$15,BB$13)="",10^12,OFFSET(PLE!$G$15,$M33-$A$15,BB$13)))</f>
        <v>1000000000000</v>
      </c>
      <c r="BC33" s="179">
        <f ca="1">IF(OR($D33&lt;&gt;"Serviço",AND(AUTOEVENTO="Manual",$M33=$A$15),$M33&gt;(ROW(PLE.lastrow)-ROW(PLE.firstrow))),0,
           IF(OFFSET(PLE!$G$15,$M33-$A$15,BC$13)="",10^12,OFFSET(PLE!$G$15,$M33-$A$15,BC$13)))</f>
        <v>1000000000000</v>
      </c>
      <c r="BD33" s="179">
        <f ca="1">IF(OR($D33&lt;&gt;"Serviço",AND(AUTOEVENTO="Manual",$M33=$A$15),$M33&gt;(ROW(PLE.lastrow)-ROW(PLE.firstrow))),0,
           IF(OFFSET(PLE!$G$15,$M33-$A$15,BD$13)="",10^12,OFFSET(PLE!$G$15,$M33-$A$15,BD$13)))</f>
        <v>1000000000000</v>
      </c>
      <c r="BE33" s="179">
        <f ca="1">IF(OR($D33&lt;&gt;"Serviço",AND(AUTOEVENTO="Manual",$M33=$A$15),$M33&gt;(ROW(PLE.lastrow)-ROW(PLE.firstrow))),0,
           IF(OFFSET(PLE!$G$15,$M33-$A$15,BE$13)="",10^12,OFFSET(PLE!$G$15,$M33-$A$15,BE$13)))</f>
        <v>1000000000000</v>
      </c>
      <c r="BF33" s="179">
        <f ca="1">IF(OR($D33&lt;&gt;"Serviço",AND(AUTOEVENTO="Manual",$M33=$A$15),$M33&gt;(ROW(PLE.lastrow)-ROW(PLE.firstrow))),0,
           IF(OFFSET(PLE!$G$15,$M33-$A$15,BF$13)="",10^12,OFFSET(PLE!$G$15,$M33-$A$15,BF$13)))</f>
        <v>1000000000000</v>
      </c>
      <c r="BG33" s="179">
        <f ca="1">IF(OR($D33&lt;&gt;"Serviço",AND(AUTOEVENTO="Manual",$M33=$A$15),$M33&gt;(ROW(PLE.lastrow)-ROW(PLE.firstrow))),0,
           IF(OFFSET(PLE!$G$15,$M33-$A$15,BG$13)="",10^12,OFFSET(PLE!$G$15,$M33-$A$15,BG$13)))</f>
        <v>1000000000000</v>
      </c>
    </row>
    <row r="34" spans="1:59" ht="38.25" x14ac:dyDescent="0.2">
      <c r="A34" s="7" t="str">
        <f ca="1">IF(AUTOEVENTO="Manual",IF(K34&lt;&gt;"",MIN(VALUE(LEFT(K34,FIND(".",K34)-1)),COUNTA(EVENTOS.Lista)),0),IF(OR($B34&gt;AUTOEVENTO,$B34="S",$B34=0),SUBSTITUTE(OFFSET($A34,-1,0),IF($D34="Serviço",".",""),""),ROW(A34)-ROW($A$15)&amp;"."))</f>
        <v>15</v>
      </c>
      <c r="B34" s="7" t="str">
        <f ca="1">OFFSET(ORÇAMENTO!C$15,ROW(B34)-ROW(B$15),0)</f>
        <v>S</v>
      </c>
      <c r="C34" s="7" t="str">
        <f ca="1">OFFSET(ORÇAMENTO!L$15,ROW(C34)-ROW(C$15),0)</f>
        <v/>
      </c>
      <c r="D34" s="118" t="str">
        <f ca="1">OFFSET(ORÇAMENTO!N$15,ROW(D34)-ROW(D$15),0)</f>
        <v>Serviço</v>
      </c>
      <c r="E34" s="119" t="str">
        <f ca="1">OFFSET(ORÇAMENTO!O$15,ROW(E34)-ROW(E$15),0)</f>
        <v>-</v>
      </c>
      <c r="F34" s="170" t="str">
        <f ca="1">OFFSET(ORÇAMENTO!R$15,ROW(F34)-ROW(F$15),0)</f>
        <v>(abra o arquivo 'Referência 04-2026.xlsm)</v>
      </c>
      <c r="G34" s="171" t="str">
        <f ca="1">IF($D34&lt;&gt;"Serviço","",OFFSET(ORÇAMENTO!S$15,ROW(G34)-ROW(G$15),0))</f>
        <v>-</v>
      </c>
      <c r="H34" s="124" cm="1">
        <f t="array" aca="1" ref="H34" ca="1">IF($D34&lt;&gt;"Serviço",0,IF(_xlfn.SINGLE(ACOMPANHAMENTO)="BM",ROUND(OFFSET(ORÇAMENTO!AJ$15,ROW(H34)-ROW(H$15),0),15-13*ORÇAMENTO!$AF$7),SUMPRODUCT(($Q$1:$AA$1)*ROUND($Q34:$AA34,15-13*ORÇAMENTO!$AF$7))))</f>
        <v>2.25</v>
      </c>
      <c r="I34" s="500" t="s">
        <v>991</v>
      </c>
      <c r="J34" s="633" t="str" cm="1">
        <f t="array" aca="1" ref="J34" ca="1">IF(B34&lt;&gt;"S","",IF(AND(ACOMPANHAMENTO="PLE",AUTOEVENTO="Manual",OR(H34&gt;0,ORÇAMENTO!AC34="QUANT."),OR(K34="",M34=0,N34="")),"►",IF(AND(ACOMPANHAMENTO="PLE",ORÇAMENTO!AC34="QUANT."),"►►",IF(AND(COUNTIF($P$11:$AA$11,"▼")=0,H34&gt;0,I34=""),"◄",""))))</f>
        <v/>
      </c>
      <c r="K34" s="624"/>
      <c r="L34" s="172" t="s">
        <v>253</v>
      </c>
      <c r="M34" s="173">
        <f ca="1">IF($D34&lt;&gt;"Serviço","",
          IF(AUTOEVENTO="manual",$A34,
                IF(ISERROR(MATCH($A34,$A$15:OFFSET($A34,-1,0),0)),MAX($M$15:OFFSET(M34,-1,0))+1,
                      INDEX($M$15:OFFSET(M34,-1,0),MATCH($A34,$A$15:OFFSET($A34,-1,0),0)))))</f>
        <v>3</v>
      </c>
      <c r="N34" s="174" t="str">
        <f ca="1">IF($D34&lt;&gt;"Serviço","",
         IF(AUTOEVENTO="Manual",
                IF($A34=0,"&lt;-- defina o número do agrupador",
                       OFFSET(EVENTOS!$D$15,$A34-$A$15,0)),
                OFFSET($F$15,$A34,0)))</f>
        <v>FUNDAÇÕES</v>
      </c>
      <c r="O34" s="175"/>
      <c r="Q34" s="175">
        <f>0.2*0.25*((6+7+14+14+2+2))</f>
        <v>2.25</v>
      </c>
      <c r="R34" s="176"/>
      <c r="S34" s="176"/>
      <c r="T34" s="176"/>
      <c r="U34" s="176"/>
      <c r="V34" s="176"/>
      <c r="W34" s="176"/>
      <c r="X34" s="176"/>
      <c r="Y34" s="176"/>
      <c r="Z34" s="177"/>
      <c r="AB34" s="485">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85">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85">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85">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85">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85">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85">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85">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85">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85">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8">
        <f ca="1">IF(OR($D34&lt;&gt;"Serviço",AND(AUTOEVENTO="Manual",$M34=$A$15)),0,
         IF(OFFSET(CRONOPLE!$F$15,$M34-$A$15,AM$13)="",10^12,OFFSET(CRONOPLE!$F$15,$M34-$A$15,AM$13)))</f>
        <v>1</v>
      </c>
      <c r="AN34" s="178">
        <f ca="1">IF(OR($D34&lt;&gt;"Serviço",AND(AUTOEVENTO="Manual",$M34=$A$15)),0,
         IF(OFFSET(CRONOPLE!$F$15,$M34-$A$15,AN$13)="",10^12,OFFSET(CRONOPLE!$F$15,$M34-$A$15,AN$13)))</f>
        <v>1000000000000</v>
      </c>
      <c r="AO34" s="178">
        <f ca="1">IF(OR($D34&lt;&gt;"Serviço",AND(AUTOEVENTO="Manual",$M34=$A$15)),0,
         IF(OFFSET(CRONOPLE!$F$15,$M34-$A$15,AO$13)="",10^12,OFFSET(CRONOPLE!$F$15,$M34-$A$15,AO$13)))</f>
        <v>1000000000000</v>
      </c>
      <c r="AP34" s="178">
        <f ca="1">IF(OR($D34&lt;&gt;"Serviço",AND(AUTOEVENTO="Manual",$M34=$A$15)),0,
         IF(OFFSET(CRONOPLE!$F$15,$M34-$A$15,AP$13)="",10^12,OFFSET(CRONOPLE!$F$15,$M34-$A$15,AP$13)))</f>
        <v>1000000000000</v>
      </c>
      <c r="AQ34" s="178">
        <f ca="1">IF(OR($D34&lt;&gt;"Serviço",AND(AUTOEVENTO="Manual",$M34=$A$15)),0,
         IF(OFFSET(CRONOPLE!$F$15,$M34-$A$15,AQ$13)="",10^12,OFFSET(CRONOPLE!$F$15,$M34-$A$15,AQ$13)))</f>
        <v>1000000000000</v>
      </c>
      <c r="AR34" s="178">
        <f ca="1">IF(OR($D34&lt;&gt;"Serviço",AND(AUTOEVENTO="Manual",$M34=$A$15)),0,
         IF(OFFSET(CRONOPLE!$F$15,$M34-$A$15,AR$13)="",10^12,OFFSET(CRONOPLE!$F$15,$M34-$A$15,AR$13)))</f>
        <v>1000000000000</v>
      </c>
      <c r="AS34" s="178">
        <f ca="1">IF(OR($D34&lt;&gt;"Serviço",AND(AUTOEVENTO="Manual",$M34=$A$15)),0,
         IF(OFFSET(CRONOPLE!$F$15,$M34-$A$15,AS$13)="",10^12,OFFSET(CRONOPLE!$F$15,$M34-$A$15,AS$13)))</f>
        <v>1000000000000</v>
      </c>
      <c r="AT34" s="178">
        <f ca="1">IF(OR($D34&lt;&gt;"Serviço",AND(AUTOEVENTO="Manual",$M34=$A$15)),0,
         IF(OFFSET(CRONOPLE!$F$15,$M34-$A$15,AT$13)="",10^12,OFFSET(CRONOPLE!$F$15,$M34-$A$15,AT$13)))</f>
        <v>1000000000000</v>
      </c>
      <c r="AU34" s="178">
        <f ca="1">IF(OR($D34&lt;&gt;"Serviço",AND(AUTOEVENTO="Manual",$M34=$A$15)),0,
         IF(OFFSET(CRONOPLE!$F$15,$M34-$A$15,AU$13)="",10^12,OFFSET(CRONOPLE!$F$15,$M34-$A$15,AU$13)))</f>
        <v>1000000000000</v>
      </c>
      <c r="AV34" s="178">
        <f ca="1">IF(OR($D34&lt;&gt;"Serviço",AND(AUTOEVENTO="Manual",$M34=$A$15)),0,
         IF(OFFSET(CRONOPLE!$F$15,$M34-$A$15,AV$13)="",10^12,OFFSET(CRONOPLE!$F$15,$M34-$A$15,AV$13)))</f>
        <v>1000000000000</v>
      </c>
      <c r="AX34" s="179">
        <f ca="1">IF(OR($D34&lt;&gt;"Serviço",AND(AUTOEVENTO="Manual",$M34=$A$15),$M34&gt;(ROW(PLE.lastrow)-ROW(PLE.firstrow))),0,
           IF(OFFSET(PLE!$G$15,$M34-$A$15,AX$13)="",10^12,OFFSET(PLE!$G$15,$M34-$A$15,AX$13)))</f>
        <v>1000000000000</v>
      </c>
      <c r="AY34" s="179">
        <f ca="1">IF(OR($D34&lt;&gt;"Serviço",AND(AUTOEVENTO="Manual",$M34=$A$15),$M34&gt;(ROW(PLE.lastrow)-ROW(PLE.firstrow))),0,
           IF(OFFSET(PLE!$G$15,$M34-$A$15,AY$13)="",10^12,OFFSET(PLE!$G$15,$M34-$A$15,AY$13)))</f>
        <v>1000000000000</v>
      </c>
      <c r="AZ34" s="179">
        <f ca="1">IF(OR($D34&lt;&gt;"Serviço",AND(AUTOEVENTO="Manual",$M34=$A$15),$M34&gt;(ROW(PLE.lastrow)-ROW(PLE.firstrow))),0,
           IF(OFFSET(PLE!$G$15,$M34-$A$15,AZ$13)="",10^12,OFFSET(PLE!$G$15,$M34-$A$15,AZ$13)))</f>
        <v>1000000000000</v>
      </c>
      <c r="BA34" s="179">
        <f ca="1">IF(OR($D34&lt;&gt;"Serviço",AND(AUTOEVENTO="Manual",$M34=$A$15),$M34&gt;(ROW(PLE.lastrow)-ROW(PLE.firstrow))),0,
           IF(OFFSET(PLE!$G$15,$M34-$A$15,BA$13)="",10^12,OFFSET(PLE!$G$15,$M34-$A$15,BA$13)))</f>
        <v>1000000000000</v>
      </c>
      <c r="BB34" s="179">
        <f ca="1">IF(OR($D34&lt;&gt;"Serviço",AND(AUTOEVENTO="Manual",$M34=$A$15),$M34&gt;(ROW(PLE.lastrow)-ROW(PLE.firstrow))),0,
           IF(OFFSET(PLE!$G$15,$M34-$A$15,BB$13)="",10^12,OFFSET(PLE!$G$15,$M34-$A$15,BB$13)))</f>
        <v>1000000000000</v>
      </c>
      <c r="BC34" s="179">
        <f ca="1">IF(OR($D34&lt;&gt;"Serviço",AND(AUTOEVENTO="Manual",$M34=$A$15),$M34&gt;(ROW(PLE.lastrow)-ROW(PLE.firstrow))),0,
           IF(OFFSET(PLE!$G$15,$M34-$A$15,BC$13)="",10^12,OFFSET(PLE!$G$15,$M34-$A$15,BC$13)))</f>
        <v>1000000000000</v>
      </c>
      <c r="BD34" s="179">
        <f ca="1">IF(OR($D34&lt;&gt;"Serviço",AND(AUTOEVENTO="Manual",$M34=$A$15),$M34&gt;(ROW(PLE.lastrow)-ROW(PLE.firstrow))),0,
           IF(OFFSET(PLE!$G$15,$M34-$A$15,BD$13)="",10^12,OFFSET(PLE!$G$15,$M34-$A$15,BD$13)))</f>
        <v>1000000000000</v>
      </c>
      <c r="BE34" s="179">
        <f ca="1">IF(OR($D34&lt;&gt;"Serviço",AND(AUTOEVENTO="Manual",$M34=$A$15),$M34&gt;(ROW(PLE.lastrow)-ROW(PLE.firstrow))),0,
           IF(OFFSET(PLE!$G$15,$M34-$A$15,BE$13)="",10^12,OFFSET(PLE!$G$15,$M34-$A$15,BE$13)))</f>
        <v>1000000000000</v>
      </c>
      <c r="BF34" s="179">
        <f ca="1">IF(OR($D34&lt;&gt;"Serviço",AND(AUTOEVENTO="Manual",$M34=$A$15),$M34&gt;(ROW(PLE.lastrow)-ROW(PLE.firstrow))),0,
           IF(OFFSET(PLE!$G$15,$M34-$A$15,BF$13)="",10^12,OFFSET(PLE!$G$15,$M34-$A$15,BF$13)))</f>
        <v>1000000000000</v>
      </c>
      <c r="BG34" s="179">
        <f ca="1">IF(OR($D34&lt;&gt;"Serviço",AND(AUTOEVENTO="Manual",$M34=$A$15),$M34&gt;(ROW(PLE.lastrow)-ROW(PLE.firstrow))),0,
           IF(OFFSET(PLE!$G$15,$M34-$A$15,BG$13)="",10^12,OFFSET(PLE!$G$15,$M34-$A$15,BG$13)))</f>
        <v>1000000000000</v>
      </c>
    </row>
    <row r="35" spans="1:59" ht="51" x14ac:dyDescent="0.2">
      <c r="A35" s="7" t="str">
        <f ca="1">IF(AUTOEVENTO="Manual",IF(K35&lt;&gt;"",MIN(VALUE(LEFT(K35,FIND(".",K35)-1)),COUNTA(EVENTOS.Lista)),0),IF(OR($B35&gt;AUTOEVENTO,$B35="S",$B35=0),SUBSTITUTE(OFFSET($A35,-1,0),IF($D35="Serviço",".",""),""),ROW(A35)-ROW($A$15)&amp;"."))</f>
        <v>15</v>
      </c>
      <c r="B35" s="7" t="str">
        <f ca="1">OFFSET(ORÇAMENTO!C$15,ROW(B35)-ROW(B$15),0)</f>
        <v>S</v>
      </c>
      <c r="C35" s="7" t="str">
        <f ca="1">OFFSET(ORÇAMENTO!L$15,ROW(C35)-ROW(C$15),0)</f>
        <v/>
      </c>
      <c r="D35" s="118" t="str">
        <f ca="1">OFFSET(ORÇAMENTO!N$15,ROW(D35)-ROW(D$15),0)</f>
        <v>Serviço</v>
      </c>
      <c r="E35" s="119" t="str">
        <f ca="1">OFFSET(ORÇAMENTO!O$15,ROW(E35)-ROW(E$15),0)</f>
        <v>-</v>
      </c>
      <c r="F35" s="170" t="str">
        <f ca="1">OFFSET(ORÇAMENTO!R$15,ROW(F35)-ROW(F$15),0)</f>
        <v>(abra o arquivo 'Referência 04-2026.xlsm)</v>
      </c>
      <c r="G35" s="171" t="str">
        <f ca="1">IF($D35&lt;&gt;"Serviço","",OFFSET(ORÇAMENTO!S$15,ROW(G35)-ROW(G$15),0))</f>
        <v>-</v>
      </c>
      <c r="H35" s="124" cm="1">
        <f t="array" aca="1" ref="H35" ca="1">IF($D35&lt;&gt;"Serviço",0,IF(_xlfn.SINGLE(ACOMPANHAMENTO)="BM",ROUND(OFFSET(ORÇAMENTO!AJ$15,ROW(H35)-ROW(H$15),0),15-13*ORÇAMENTO!$AF$7),SUMPRODUCT(($Q$1:$AA$1)*ROUND($Q35:$AA35,15-13*ORÇAMENTO!$AF$7))))</f>
        <v>26.4</v>
      </c>
      <c r="I35" s="500" t="s">
        <v>987</v>
      </c>
      <c r="J35" s="633" t="str" cm="1">
        <f t="array" aca="1" ref="J35" ca="1">IF(B35&lt;&gt;"S","",IF(AND(ACOMPANHAMENTO="PLE",AUTOEVENTO="Manual",OR(H35&gt;0,ORÇAMENTO!AC35="QUANT."),OR(K35="",M35=0,N35="")),"►",IF(AND(ACOMPANHAMENTO="PLE",ORÇAMENTO!AC35="QUANT."),"►►",IF(AND(COUNTIF($P$11:$AA$11,"▼")=0,H35&gt;0,I35=""),"◄",""))))</f>
        <v/>
      </c>
      <c r="K35" s="624"/>
      <c r="L35" s="172" t="s">
        <v>253</v>
      </c>
      <c r="M35" s="173">
        <f ca="1">IF($D35&lt;&gt;"Serviço","",
          IF(AUTOEVENTO="manual",$A35,
                IF(ISERROR(MATCH($A35,$A$15:OFFSET($A35,-1,0),0)),MAX($M$15:OFFSET(M35,-1,0))+1,
                      INDEX($M$15:OFFSET(M35,-1,0),MATCH($A35,$A$15:OFFSET($A35,-1,0),0)))))</f>
        <v>3</v>
      </c>
      <c r="N35" s="174" t="str">
        <f ca="1">IF($D35&lt;&gt;"Serviço","",
         IF(AUTOEVENTO="Manual",
                IF($A35=0,"&lt;-- defina o número do agrupador",
                       OFFSET(EVENTOS!$D$15,$A35-$A$15,0)),
                OFFSET($F$15,$A35,0)))</f>
        <v>FUNDAÇÕES</v>
      </c>
      <c r="O35" s="175"/>
      <c r="Q35" s="175">
        <f>22*1.2</f>
        <v>26.4</v>
      </c>
      <c r="R35" s="176"/>
      <c r="S35" s="176"/>
      <c r="T35" s="176"/>
      <c r="U35" s="176"/>
      <c r="V35" s="176"/>
      <c r="W35" s="176"/>
      <c r="X35" s="176"/>
      <c r="Y35" s="176"/>
      <c r="Z35" s="177"/>
      <c r="AB35" s="485">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85">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85">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85">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85">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85">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85">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85">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85">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85">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8">
        <f ca="1">IF(OR($D35&lt;&gt;"Serviço",AND(AUTOEVENTO="Manual",$M35=$A$15)),0,
         IF(OFFSET(CRONOPLE!$F$15,$M35-$A$15,AM$13)="",10^12,OFFSET(CRONOPLE!$F$15,$M35-$A$15,AM$13)))</f>
        <v>1</v>
      </c>
      <c r="AN35" s="178">
        <f ca="1">IF(OR($D35&lt;&gt;"Serviço",AND(AUTOEVENTO="Manual",$M35=$A$15)),0,
         IF(OFFSET(CRONOPLE!$F$15,$M35-$A$15,AN$13)="",10^12,OFFSET(CRONOPLE!$F$15,$M35-$A$15,AN$13)))</f>
        <v>1000000000000</v>
      </c>
      <c r="AO35" s="178">
        <f ca="1">IF(OR($D35&lt;&gt;"Serviço",AND(AUTOEVENTO="Manual",$M35=$A$15)),0,
         IF(OFFSET(CRONOPLE!$F$15,$M35-$A$15,AO$13)="",10^12,OFFSET(CRONOPLE!$F$15,$M35-$A$15,AO$13)))</f>
        <v>1000000000000</v>
      </c>
      <c r="AP35" s="178">
        <f ca="1">IF(OR($D35&lt;&gt;"Serviço",AND(AUTOEVENTO="Manual",$M35=$A$15)),0,
         IF(OFFSET(CRONOPLE!$F$15,$M35-$A$15,AP$13)="",10^12,OFFSET(CRONOPLE!$F$15,$M35-$A$15,AP$13)))</f>
        <v>1000000000000</v>
      </c>
      <c r="AQ35" s="178">
        <f ca="1">IF(OR($D35&lt;&gt;"Serviço",AND(AUTOEVENTO="Manual",$M35=$A$15)),0,
         IF(OFFSET(CRONOPLE!$F$15,$M35-$A$15,AQ$13)="",10^12,OFFSET(CRONOPLE!$F$15,$M35-$A$15,AQ$13)))</f>
        <v>1000000000000</v>
      </c>
      <c r="AR35" s="178">
        <f ca="1">IF(OR($D35&lt;&gt;"Serviço",AND(AUTOEVENTO="Manual",$M35=$A$15)),0,
         IF(OFFSET(CRONOPLE!$F$15,$M35-$A$15,AR$13)="",10^12,OFFSET(CRONOPLE!$F$15,$M35-$A$15,AR$13)))</f>
        <v>1000000000000</v>
      </c>
      <c r="AS35" s="178">
        <f ca="1">IF(OR($D35&lt;&gt;"Serviço",AND(AUTOEVENTO="Manual",$M35=$A$15)),0,
         IF(OFFSET(CRONOPLE!$F$15,$M35-$A$15,AS$13)="",10^12,OFFSET(CRONOPLE!$F$15,$M35-$A$15,AS$13)))</f>
        <v>1000000000000</v>
      </c>
      <c r="AT35" s="178">
        <f ca="1">IF(OR($D35&lt;&gt;"Serviço",AND(AUTOEVENTO="Manual",$M35=$A$15)),0,
         IF(OFFSET(CRONOPLE!$F$15,$M35-$A$15,AT$13)="",10^12,OFFSET(CRONOPLE!$F$15,$M35-$A$15,AT$13)))</f>
        <v>1000000000000</v>
      </c>
      <c r="AU35" s="178">
        <f ca="1">IF(OR($D35&lt;&gt;"Serviço",AND(AUTOEVENTO="Manual",$M35=$A$15)),0,
         IF(OFFSET(CRONOPLE!$F$15,$M35-$A$15,AU$13)="",10^12,OFFSET(CRONOPLE!$F$15,$M35-$A$15,AU$13)))</f>
        <v>1000000000000</v>
      </c>
      <c r="AV35" s="178">
        <f ca="1">IF(OR($D35&lt;&gt;"Serviço",AND(AUTOEVENTO="Manual",$M35=$A$15)),0,
         IF(OFFSET(CRONOPLE!$F$15,$M35-$A$15,AV$13)="",10^12,OFFSET(CRONOPLE!$F$15,$M35-$A$15,AV$13)))</f>
        <v>1000000000000</v>
      </c>
      <c r="AX35" s="179">
        <f ca="1">IF(OR($D35&lt;&gt;"Serviço",AND(AUTOEVENTO="Manual",$M35=$A$15),$M35&gt;(ROW(PLE.lastrow)-ROW(PLE.firstrow))),0,
           IF(OFFSET(PLE!$G$15,$M35-$A$15,AX$13)="",10^12,OFFSET(PLE!$G$15,$M35-$A$15,AX$13)))</f>
        <v>1000000000000</v>
      </c>
      <c r="AY35" s="179">
        <f ca="1">IF(OR($D35&lt;&gt;"Serviço",AND(AUTOEVENTO="Manual",$M35=$A$15),$M35&gt;(ROW(PLE.lastrow)-ROW(PLE.firstrow))),0,
           IF(OFFSET(PLE!$G$15,$M35-$A$15,AY$13)="",10^12,OFFSET(PLE!$G$15,$M35-$A$15,AY$13)))</f>
        <v>1000000000000</v>
      </c>
      <c r="AZ35" s="179">
        <f ca="1">IF(OR($D35&lt;&gt;"Serviço",AND(AUTOEVENTO="Manual",$M35=$A$15),$M35&gt;(ROW(PLE.lastrow)-ROW(PLE.firstrow))),0,
           IF(OFFSET(PLE!$G$15,$M35-$A$15,AZ$13)="",10^12,OFFSET(PLE!$G$15,$M35-$A$15,AZ$13)))</f>
        <v>1000000000000</v>
      </c>
      <c r="BA35" s="179">
        <f ca="1">IF(OR($D35&lt;&gt;"Serviço",AND(AUTOEVENTO="Manual",$M35=$A$15),$M35&gt;(ROW(PLE.lastrow)-ROW(PLE.firstrow))),0,
           IF(OFFSET(PLE!$G$15,$M35-$A$15,BA$13)="",10^12,OFFSET(PLE!$G$15,$M35-$A$15,BA$13)))</f>
        <v>1000000000000</v>
      </c>
      <c r="BB35" s="179">
        <f ca="1">IF(OR($D35&lt;&gt;"Serviço",AND(AUTOEVENTO="Manual",$M35=$A$15),$M35&gt;(ROW(PLE.lastrow)-ROW(PLE.firstrow))),0,
           IF(OFFSET(PLE!$G$15,$M35-$A$15,BB$13)="",10^12,OFFSET(PLE!$G$15,$M35-$A$15,BB$13)))</f>
        <v>1000000000000</v>
      </c>
      <c r="BC35" s="179">
        <f ca="1">IF(OR($D35&lt;&gt;"Serviço",AND(AUTOEVENTO="Manual",$M35=$A$15),$M35&gt;(ROW(PLE.lastrow)-ROW(PLE.firstrow))),0,
           IF(OFFSET(PLE!$G$15,$M35-$A$15,BC$13)="",10^12,OFFSET(PLE!$G$15,$M35-$A$15,BC$13)))</f>
        <v>1000000000000</v>
      </c>
      <c r="BD35" s="179">
        <f ca="1">IF(OR($D35&lt;&gt;"Serviço",AND(AUTOEVENTO="Manual",$M35=$A$15),$M35&gt;(ROW(PLE.lastrow)-ROW(PLE.firstrow))),0,
           IF(OFFSET(PLE!$G$15,$M35-$A$15,BD$13)="",10^12,OFFSET(PLE!$G$15,$M35-$A$15,BD$13)))</f>
        <v>1000000000000</v>
      </c>
      <c r="BE35" s="179">
        <f ca="1">IF(OR($D35&lt;&gt;"Serviço",AND(AUTOEVENTO="Manual",$M35=$A$15),$M35&gt;(ROW(PLE.lastrow)-ROW(PLE.firstrow))),0,
           IF(OFFSET(PLE!$G$15,$M35-$A$15,BE$13)="",10^12,OFFSET(PLE!$G$15,$M35-$A$15,BE$13)))</f>
        <v>1000000000000</v>
      </c>
      <c r="BF35" s="179">
        <f ca="1">IF(OR($D35&lt;&gt;"Serviço",AND(AUTOEVENTO="Manual",$M35=$A$15),$M35&gt;(ROW(PLE.lastrow)-ROW(PLE.firstrow))),0,
           IF(OFFSET(PLE!$G$15,$M35-$A$15,BF$13)="",10^12,OFFSET(PLE!$G$15,$M35-$A$15,BF$13)))</f>
        <v>1000000000000</v>
      </c>
      <c r="BG35" s="179">
        <f ca="1">IF(OR($D35&lt;&gt;"Serviço",AND(AUTOEVENTO="Manual",$M35=$A$15),$M35&gt;(ROW(PLE.lastrow)-ROW(PLE.firstrow))),0,
           IF(OFFSET(PLE!$G$15,$M35-$A$15,BG$13)="",10^12,OFFSET(PLE!$G$15,$M35-$A$15,BG$13)))</f>
        <v>1000000000000</v>
      </c>
    </row>
    <row r="36" spans="1:59" ht="25.5" x14ac:dyDescent="0.2">
      <c r="A36" s="7" t="str">
        <f ca="1">IF(AUTOEVENTO="Manual",IF(K36&lt;&gt;"",MIN(VALUE(LEFT(K36,FIND(".",K36)-1)),COUNTA(EVENTOS.Lista)),0),IF(OR($B36&gt;AUTOEVENTO,$B36="S",$B36=0),SUBSTITUTE(OFFSET($A36,-1,0),IF($D36="Serviço",".",""),""),ROW(A36)-ROW($A$15)&amp;"."))</f>
        <v>15</v>
      </c>
      <c r="B36" s="7" t="str">
        <f ca="1">OFFSET(ORÇAMENTO!C$15,ROW(B36)-ROW(B$15),0)</f>
        <v>S</v>
      </c>
      <c r="C36" s="7" t="str">
        <f ca="1">OFFSET(ORÇAMENTO!L$15,ROW(C36)-ROW(C$15),0)</f>
        <v/>
      </c>
      <c r="D36" s="118" t="str">
        <f ca="1">OFFSET(ORÇAMENTO!N$15,ROW(D36)-ROW(D$15),0)</f>
        <v>Serviço</v>
      </c>
      <c r="E36" s="119" t="str">
        <f ca="1">OFFSET(ORÇAMENTO!O$15,ROW(E36)-ROW(E$15),0)</f>
        <v>-</v>
      </c>
      <c r="F36" s="170" t="str">
        <f ca="1">OFFSET(ORÇAMENTO!R$15,ROW(F36)-ROW(F$15),0)</f>
        <v>(abra o arquivo 'Referência 04-2026.xlsm)</v>
      </c>
      <c r="G36" s="171" t="str">
        <f ca="1">IF($D36&lt;&gt;"Serviço","",OFFSET(ORÇAMENTO!S$15,ROW(G36)-ROW(G$15),0))</f>
        <v>-</v>
      </c>
      <c r="H36" s="124" cm="1">
        <f t="array" aca="1" ref="H36" ca="1">IF($D36&lt;&gt;"Serviço",0,IF(_xlfn.SINGLE(ACOMPANHAMENTO)="BM",ROUND(OFFSET(ORÇAMENTO!AJ$15,ROW(H36)-ROW(H$15),0),15-13*ORÇAMENTO!$AF$7),SUMPRODUCT(($Q$1:$AA$1)*ROUND($Q36:$AA36,15-13*ORÇAMENTO!$AF$7))))</f>
        <v>24.75</v>
      </c>
      <c r="I36" s="500" t="s">
        <v>996</v>
      </c>
      <c r="J36" s="633" t="str" cm="1">
        <f t="array" aca="1" ref="J36" ca="1">IF(B36&lt;&gt;"S","",IF(AND(ACOMPANHAMENTO="PLE",AUTOEVENTO="Manual",OR(H36&gt;0,ORÇAMENTO!AC36="QUANT."),OR(K36="",M36=0,N36="")),"►",IF(AND(ACOMPANHAMENTO="PLE",ORÇAMENTO!AC36="QUANT."),"►►",IF(AND(COUNTIF($P$11:$AA$11,"▼")=0,H36&gt;0,I36=""),"◄",""))))</f>
        <v/>
      </c>
      <c r="K36" s="624"/>
      <c r="L36" s="172" t="s">
        <v>253</v>
      </c>
      <c r="M36" s="173">
        <f ca="1">IF($D36&lt;&gt;"Serviço","",
          IF(AUTOEVENTO="manual",$A36,
                IF(ISERROR(MATCH($A36,$A$15:OFFSET($A36,-1,0),0)),MAX($M$15:OFFSET(M36,-1,0))+1,
                      INDEX($M$15:OFFSET(M36,-1,0),MATCH($A36,$A$15:OFFSET($A36,-1,0),0)))))</f>
        <v>3</v>
      </c>
      <c r="N36" s="174" t="str">
        <f ca="1">IF($D36&lt;&gt;"Serviço","",
         IF(AUTOEVENTO="Manual",
                IF($A36=0,"&lt;-- defina o número do agrupador",
                       OFFSET(EVENTOS!$D$15,$A36-$A$15,0)),
                OFFSET($F$15,$A36,0)))</f>
        <v>FUNDAÇÕES</v>
      </c>
      <c r="O36" s="175"/>
      <c r="Q36" s="175">
        <f>(6+7+14+14+2+2)*(0.15+2/3*2*0.3)</f>
        <v>24.749999999999996</v>
      </c>
      <c r="R36" s="176"/>
      <c r="S36" s="176"/>
      <c r="T36" s="176"/>
      <c r="U36" s="176"/>
      <c r="V36" s="176"/>
      <c r="W36" s="176"/>
      <c r="X36" s="176"/>
      <c r="Y36" s="176"/>
      <c r="Z36" s="177"/>
      <c r="AB36" s="485">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85">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85">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85">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85">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85">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85">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85">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85">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85">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8">
        <f ca="1">IF(OR($D36&lt;&gt;"Serviço",AND(AUTOEVENTO="Manual",$M36=$A$15)),0,
         IF(OFFSET(CRONOPLE!$F$15,$M36-$A$15,AM$13)="",10^12,OFFSET(CRONOPLE!$F$15,$M36-$A$15,AM$13)))</f>
        <v>1</v>
      </c>
      <c r="AN36" s="178">
        <f ca="1">IF(OR($D36&lt;&gt;"Serviço",AND(AUTOEVENTO="Manual",$M36=$A$15)),0,
         IF(OFFSET(CRONOPLE!$F$15,$M36-$A$15,AN$13)="",10^12,OFFSET(CRONOPLE!$F$15,$M36-$A$15,AN$13)))</f>
        <v>1000000000000</v>
      </c>
      <c r="AO36" s="178">
        <f ca="1">IF(OR($D36&lt;&gt;"Serviço",AND(AUTOEVENTO="Manual",$M36=$A$15)),0,
         IF(OFFSET(CRONOPLE!$F$15,$M36-$A$15,AO$13)="",10^12,OFFSET(CRONOPLE!$F$15,$M36-$A$15,AO$13)))</f>
        <v>1000000000000</v>
      </c>
      <c r="AP36" s="178">
        <f ca="1">IF(OR($D36&lt;&gt;"Serviço",AND(AUTOEVENTO="Manual",$M36=$A$15)),0,
         IF(OFFSET(CRONOPLE!$F$15,$M36-$A$15,AP$13)="",10^12,OFFSET(CRONOPLE!$F$15,$M36-$A$15,AP$13)))</f>
        <v>1000000000000</v>
      </c>
      <c r="AQ36" s="178">
        <f ca="1">IF(OR($D36&lt;&gt;"Serviço",AND(AUTOEVENTO="Manual",$M36=$A$15)),0,
         IF(OFFSET(CRONOPLE!$F$15,$M36-$A$15,AQ$13)="",10^12,OFFSET(CRONOPLE!$F$15,$M36-$A$15,AQ$13)))</f>
        <v>1000000000000</v>
      </c>
      <c r="AR36" s="178">
        <f ca="1">IF(OR($D36&lt;&gt;"Serviço",AND(AUTOEVENTO="Manual",$M36=$A$15)),0,
         IF(OFFSET(CRONOPLE!$F$15,$M36-$A$15,AR$13)="",10^12,OFFSET(CRONOPLE!$F$15,$M36-$A$15,AR$13)))</f>
        <v>1000000000000</v>
      </c>
      <c r="AS36" s="178">
        <f ca="1">IF(OR($D36&lt;&gt;"Serviço",AND(AUTOEVENTO="Manual",$M36=$A$15)),0,
         IF(OFFSET(CRONOPLE!$F$15,$M36-$A$15,AS$13)="",10^12,OFFSET(CRONOPLE!$F$15,$M36-$A$15,AS$13)))</f>
        <v>1000000000000</v>
      </c>
      <c r="AT36" s="178">
        <f ca="1">IF(OR($D36&lt;&gt;"Serviço",AND(AUTOEVENTO="Manual",$M36=$A$15)),0,
         IF(OFFSET(CRONOPLE!$F$15,$M36-$A$15,AT$13)="",10^12,OFFSET(CRONOPLE!$F$15,$M36-$A$15,AT$13)))</f>
        <v>1000000000000</v>
      </c>
      <c r="AU36" s="178">
        <f ca="1">IF(OR($D36&lt;&gt;"Serviço",AND(AUTOEVENTO="Manual",$M36=$A$15)),0,
         IF(OFFSET(CRONOPLE!$F$15,$M36-$A$15,AU$13)="",10^12,OFFSET(CRONOPLE!$F$15,$M36-$A$15,AU$13)))</f>
        <v>1000000000000</v>
      </c>
      <c r="AV36" s="178">
        <f ca="1">IF(OR($D36&lt;&gt;"Serviço",AND(AUTOEVENTO="Manual",$M36=$A$15)),0,
         IF(OFFSET(CRONOPLE!$F$15,$M36-$A$15,AV$13)="",10^12,OFFSET(CRONOPLE!$F$15,$M36-$A$15,AV$13)))</f>
        <v>1000000000000</v>
      </c>
      <c r="AX36" s="179">
        <f ca="1">IF(OR($D36&lt;&gt;"Serviço",AND(AUTOEVENTO="Manual",$M36=$A$15),$M36&gt;(ROW(PLE.lastrow)-ROW(PLE.firstrow))),0,
           IF(OFFSET(PLE!$G$15,$M36-$A$15,AX$13)="",10^12,OFFSET(PLE!$G$15,$M36-$A$15,AX$13)))</f>
        <v>1000000000000</v>
      </c>
      <c r="AY36" s="179">
        <f ca="1">IF(OR($D36&lt;&gt;"Serviço",AND(AUTOEVENTO="Manual",$M36=$A$15),$M36&gt;(ROW(PLE.lastrow)-ROW(PLE.firstrow))),0,
           IF(OFFSET(PLE!$G$15,$M36-$A$15,AY$13)="",10^12,OFFSET(PLE!$G$15,$M36-$A$15,AY$13)))</f>
        <v>1000000000000</v>
      </c>
      <c r="AZ36" s="179">
        <f ca="1">IF(OR($D36&lt;&gt;"Serviço",AND(AUTOEVENTO="Manual",$M36=$A$15),$M36&gt;(ROW(PLE.lastrow)-ROW(PLE.firstrow))),0,
           IF(OFFSET(PLE!$G$15,$M36-$A$15,AZ$13)="",10^12,OFFSET(PLE!$G$15,$M36-$A$15,AZ$13)))</f>
        <v>1000000000000</v>
      </c>
      <c r="BA36" s="179">
        <f ca="1">IF(OR($D36&lt;&gt;"Serviço",AND(AUTOEVENTO="Manual",$M36=$A$15),$M36&gt;(ROW(PLE.lastrow)-ROW(PLE.firstrow))),0,
           IF(OFFSET(PLE!$G$15,$M36-$A$15,BA$13)="",10^12,OFFSET(PLE!$G$15,$M36-$A$15,BA$13)))</f>
        <v>1000000000000</v>
      </c>
      <c r="BB36" s="179">
        <f ca="1">IF(OR($D36&lt;&gt;"Serviço",AND(AUTOEVENTO="Manual",$M36=$A$15),$M36&gt;(ROW(PLE.lastrow)-ROW(PLE.firstrow))),0,
           IF(OFFSET(PLE!$G$15,$M36-$A$15,BB$13)="",10^12,OFFSET(PLE!$G$15,$M36-$A$15,BB$13)))</f>
        <v>1000000000000</v>
      </c>
      <c r="BC36" s="179">
        <f ca="1">IF(OR($D36&lt;&gt;"Serviço",AND(AUTOEVENTO="Manual",$M36=$A$15),$M36&gt;(ROW(PLE.lastrow)-ROW(PLE.firstrow))),0,
           IF(OFFSET(PLE!$G$15,$M36-$A$15,BC$13)="",10^12,OFFSET(PLE!$G$15,$M36-$A$15,BC$13)))</f>
        <v>1000000000000</v>
      </c>
      <c r="BD36" s="179">
        <f ca="1">IF(OR($D36&lt;&gt;"Serviço",AND(AUTOEVENTO="Manual",$M36=$A$15),$M36&gt;(ROW(PLE.lastrow)-ROW(PLE.firstrow))),0,
           IF(OFFSET(PLE!$G$15,$M36-$A$15,BD$13)="",10^12,OFFSET(PLE!$G$15,$M36-$A$15,BD$13)))</f>
        <v>1000000000000</v>
      </c>
      <c r="BE36" s="179">
        <f ca="1">IF(OR($D36&lt;&gt;"Serviço",AND(AUTOEVENTO="Manual",$M36=$A$15),$M36&gt;(ROW(PLE.lastrow)-ROW(PLE.firstrow))),0,
           IF(OFFSET(PLE!$G$15,$M36-$A$15,BE$13)="",10^12,OFFSET(PLE!$G$15,$M36-$A$15,BE$13)))</f>
        <v>1000000000000</v>
      </c>
      <c r="BF36" s="179">
        <f ca="1">IF(OR($D36&lt;&gt;"Serviço",AND(AUTOEVENTO="Manual",$M36=$A$15),$M36&gt;(ROW(PLE.lastrow)-ROW(PLE.firstrow))),0,
           IF(OFFSET(PLE!$G$15,$M36-$A$15,BF$13)="",10^12,OFFSET(PLE!$G$15,$M36-$A$15,BF$13)))</f>
        <v>1000000000000</v>
      </c>
      <c r="BG36" s="179">
        <f ca="1">IF(OR($D36&lt;&gt;"Serviço",AND(AUTOEVENTO="Manual",$M36=$A$15),$M36&gt;(ROW(PLE.lastrow)-ROW(PLE.firstrow))),0,
           IF(OFFSET(PLE!$G$15,$M36-$A$15,BG$13)="",10^12,OFFSET(PLE!$G$15,$M36-$A$15,BG$13)))</f>
        <v>1000000000000</v>
      </c>
    </row>
    <row r="37" spans="1:59" ht="12.75" x14ac:dyDescent="0.2">
      <c r="A37" s="7" t="str">
        <f ca="1">IF(AUTOEVENTO="Manual",IF(K37&lt;&gt;"",MIN(VALUE(LEFT(K37,FIND(".",K37)-1)),COUNTA(EVENTOS.Lista)),0),IF(OR($B37&gt;AUTOEVENTO,$B37="S",$B37=0),SUBSTITUTE(OFFSET($A37,-1,0),IF($D37="Serviço",".",""),""),ROW(A37)-ROW($A$15)&amp;"."))</f>
        <v>22.</v>
      </c>
      <c r="B37" s="7">
        <f ca="1">OFFSET(ORÇAMENTO!C$15,ROW(B37)-ROW(B$15),0)</f>
        <v>2</v>
      </c>
      <c r="C37" s="7" t="str">
        <f ca="1">OFFSET(ORÇAMENTO!L$15,ROW(C37)-ROW(C$15),0)</f>
        <v>F</v>
      </c>
      <c r="D37" s="118" t="str">
        <f ca="1">OFFSET(ORÇAMENTO!N$15,ROW(D37)-ROW(D$15),0)</f>
        <v>Nível 2</v>
      </c>
      <c r="E37" s="119" t="str">
        <f ca="1">OFFSET(ORÇAMENTO!O$15,ROW(E37)-ROW(E$15),0)</f>
        <v>2.2.</v>
      </c>
      <c r="F37" s="170" t="str">
        <f ca="1">OFFSET(ORÇAMENTO!R$15,ROW(F37)-ROW(F$15),0)</f>
        <v>CONCRETO ARMADO - PILARES</v>
      </c>
      <c r="G37" s="171" t="str">
        <f ca="1">IF($D37&lt;&gt;"Serviço","",OFFSET(ORÇAMENTO!S$15,ROW(G37)-ROW(G$15),0))</f>
        <v/>
      </c>
      <c r="H37" s="124" cm="1">
        <f t="array" aca="1" ref="H37" ca="1">IF($D37&lt;&gt;"Serviço",0,IF(_xlfn.SINGLE(ACOMPANHAMENTO)="BM",ROUND(OFFSET(ORÇAMENTO!AJ$15,ROW(H37)-ROW(H$15),0),15-13*ORÇAMENTO!$AF$7),SUMPRODUCT(($Q$1:$AA$1)*ROUND($Q37:$AA37,15-13*ORÇAMENTO!$AF$7))))</f>
        <v>0</v>
      </c>
      <c r="I37" s="500"/>
      <c r="J37" s="633" t="str" cm="1">
        <f t="array" aca="1" ref="J37" ca="1">IF(B37&lt;&gt;"S","",IF(AND(ACOMPANHAMENTO="PLE",AUTOEVENTO="Manual",OR(H37&gt;0,ORÇAMENTO!AC37="QUANT."),OR(K37="",M37=0,N37="")),"►",IF(AND(ACOMPANHAMENTO="PLE",ORÇAMENTO!AC37="QUANT."),"►►",IF(AND(COUNTIF($P$11:$AA$11,"▼")=0,H37&gt;0,I37=""),"◄",""))))</f>
        <v/>
      </c>
      <c r="K37" s="624"/>
      <c r="L37" s="172" t="s">
        <v>253</v>
      </c>
      <c r="M37" s="173" t="str">
        <f ca="1">IF($D37&lt;&gt;"Serviço","",
          IF(AUTOEVENTO="manual",$A37,
                IF(ISERROR(MATCH($A37,$A$15:OFFSET($A37,-1,0),0)),MAX($M$15:OFFSET(M37,-1,0))+1,
                      INDEX($M$15:OFFSET(M37,-1,0),MATCH($A37,$A$15:OFFSET($A37,-1,0),0)))))</f>
        <v/>
      </c>
      <c r="N37" s="174" t="str">
        <f ca="1">IF($D37&lt;&gt;"Serviço","",
         IF(AUTOEVENTO="Manual",
                IF($A37=0,"&lt;-- defina o número do agrupador",
                       OFFSET(EVENTOS!$D$15,$A37-$A$15,0)),
                OFFSET($F$15,$A37,0)))</f>
        <v/>
      </c>
      <c r="O37" s="175"/>
      <c r="Q37" s="175"/>
      <c r="R37" s="176"/>
      <c r="S37" s="176"/>
      <c r="T37" s="176"/>
      <c r="U37" s="176"/>
      <c r="V37" s="176"/>
      <c r="W37" s="176"/>
      <c r="X37" s="176"/>
      <c r="Y37" s="176"/>
      <c r="Z37" s="177"/>
      <c r="AB37" s="485">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85">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85">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85">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85">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85">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85">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85">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85">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85">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8">
        <f ca="1">IF(OR($D37&lt;&gt;"Serviço",AND(AUTOEVENTO="Manual",$M37=$A$15)),0,
         IF(OFFSET(CRONOPLE!$F$15,$M37-$A$15,AM$13)="",10^12,OFFSET(CRONOPLE!$F$15,$M37-$A$15,AM$13)))</f>
        <v>0</v>
      </c>
      <c r="AN37" s="178">
        <f ca="1">IF(OR($D37&lt;&gt;"Serviço",AND(AUTOEVENTO="Manual",$M37=$A$15)),0,
         IF(OFFSET(CRONOPLE!$F$15,$M37-$A$15,AN$13)="",10^12,OFFSET(CRONOPLE!$F$15,$M37-$A$15,AN$13)))</f>
        <v>0</v>
      </c>
      <c r="AO37" s="178">
        <f ca="1">IF(OR($D37&lt;&gt;"Serviço",AND(AUTOEVENTO="Manual",$M37=$A$15)),0,
         IF(OFFSET(CRONOPLE!$F$15,$M37-$A$15,AO$13)="",10^12,OFFSET(CRONOPLE!$F$15,$M37-$A$15,AO$13)))</f>
        <v>0</v>
      </c>
      <c r="AP37" s="178">
        <f ca="1">IF(OR($D37&lt;&gt;"Serviço",AND(AUTOEVENTO="Manual",$M37=$A$15)),0,
         IF(OFFSET(CRONOPLE!$F$15,$M37-$A$15,AP$13)="",10^12,OFFSET(CRONOPLE!$F$15,$M37-$A$15,AP$13)))</f>
        <v>0</v>
      </c>
      <c r="AQ37" s="178">
        <f ca="1">IF(OR($D37&lt;&gt;"Serviço",AND(AUTOEVENTO="Manual",$M37=$A$15)),0,
         IF(OFFSET(CRONOPLE!$F$15,$M37-$A$15,AQ$13)="",10^12,OFFSET(CRONOPLE!$F$15,$M37-$A$15,AQ$13)))</f>
        <v>0</v>
      </c>
      <c r="AR37" s="178">
        <f ca="1">IF(OR($D37&lt;&gt;"Serviço",AND(AUTOEVENTO="Manual",$M37=$A$15)),0,
         IF(OFFSET(CRONOPLE!$F$15,$M37-$A$15,AR$13)="",10^12,OFFSET(CRONOPLE!$F$15,$M37-$A$15,AR$13)))</f>
        <v>0</v>
      </c>
      <c r="AS37" s="178">
        <f ca="1">IF(OR($D37&lt;&gt;"Serviço",AND(AUTOEVENTO="Manual",$M37=$A$15)),0,
         IF(OFFSET(CRONOPLE!$F$15,$M37-$A$15,AS$13)="",10^12,OFFSET(CRONOPLE!$F$15,$M37-$A$15,AS$13)))</f>
        <v>0</v>
      </c>
      <c r="AT37" s="178">
        <f ca="1">IF(OR($D37&lt;&gt;"Serviço",AND(AUTOEVENTO="Manual",$M37=$A$15)),0,
         IF(OFFSET(CRONOPLE!$F$15,$M37-$A$15,AT$13)="",10^12,OFFSET(CRONOPLE!$F$15,$M37-$A$15,AT$13)))</f>
        <v>0</v>
      </c>
      <c r="AU37" s="178">
        <f ca="1">IF(OR($D37&lt;&gt;"Serviço",AND(AUTOEVENTO="Manual",$M37=$A$15)),0,
         IF(OFFSET(CRONOPLE!$F$15,$M37-$A$15,AU$13)="",10^12,OFFSET(CRONOPLE!$F$15,$M37-$A$15,AU$13)))</f>
        <v>0</v>
      </c>
      <c r="AV37" s="178">
        <f ca="1">IF(OR($D37&lt;&gt;"Serviço",AND(AUTOEVENTO="Manual",$M37=$A$15)),0,
         IF(OFFSET(CRONOPLE!$F$15,$M37-$A$15,AV$13)="",10^12,OFFSET(CRONOPLE!$F$15,$M37-$A$15,AV$13)))</f>
        <v>0</v>
      </c>
      <c r="AX37" s="179">
        <f ca="1">IF(OR($D37&lt;&gt;"Serviço",AND(AUTOEVENTO="Manual",$M37=$A$15),$M37&gt;(ROW(PLE.lastrow)-ROW(PLE.firstrow))),0,
           IF(OFFSET(PLE!$G$15,$M37-$A$15,AX$13)="",10^12,OFFSET(PLE!$G$15,$M37-$A$15,AX$13)))</f>
        <v>0</v>
      </c>
      <c r="AY37" s="179">
        <f ca="1">IF(OR($D37&lt;&gt;"Serviço",AND(AUTOEVENTO="Manual",$M37=$A$15),$M37&gt;(ROW(PLE.lastrow)-ROW(PLE.firstrow))),0,
           IF(OFFSET(PLE!$G$15,$M37-$A$15,AY$13)="",10^12,OFFSET(PLE!$G$15,$M37-$A$15,AY$13)))</f>
        <v>0</v>
      </c>
      <c r="AZ37" s="179">
        <f ca="1">IF(OR($D37&lt;&gt;"Serviço",AND(AUTOEVENTO="Manual",$M37=$A$15),$M37&gt;(ROW(PLE.lastrow)-ROW(PLE.firstrow))),0,
           IF(OFFSET(PLE!$G$15,$M37-$A$15,AZ$13)="",10^12,OFFSET(PLE!$G$15,$M37-$A$15,AZ$13)))</f>
        <v>0</v>
      </c>
      <c r="BA37" s="179">
        <f ca="1">IF(OR($D37&lt;&gt;"Serviço",AND(AUTOEVENTO="Manual",$M37=$A$15),$M37&gt;(ROW(PLE.lastrow)-ROW(PLE.firstrow))),0,
           IF(OFFSET(PLE!$G$15,$M37-$A$15,BA$13)="",10^12,OFFSET(PLE!$G$15,$M37-$A$15,BA$13)))</f>
        <v>0</v>
      </c>
      <c r="BB37" s="179">
        <f ca="1">IF(OR($D37&lt;&gt;"Serviço",AND(AUTOEVENTO="Manual",$M37=$A$15),$M37&gt;(ROW(PLE.lastrow)-ROW(PLE.firstrow))),0,
           IF(OFFSET(PLE!$G$15,$M37-$A$15,BB$13)="",10^12,OFFSET(PLE!$G$15,$M37-$A$15,BB$13)))</f>
        <v>0</v>
      </c>
      <c r="BC37" s="179">
        <f ca="1">IF(OR($D37&lt;&gt;"Serviço",AND(AUTOEVENTO="Manual",$M37=$A$15),$M37&gt;(ROW(PLE.lastrow)-ROW(PLE.firstrow))),0,
           IF(OFFSET(PLE!$G$15,$M37-$A$15,BC$13)="",10^12,OFFSET(PLE!$G$15,$M37-$A$15,BC$13)))</f>
        <v>0</v>
      </c>
      <c r="BD37" s="179">
        <f ca="1">IF(OR($D37&lt;&gt;"Serviço",AND(AUTOEVENTO="Manual",$M37=$A$15),$M37&gt;(ROW(PLE.lastrow)-ROW(PLE.firstrow))),0,
           IF(OFFSET(PLE!$G$15,$M37-$A$15,BD$13)="",10^12,OFFSET(PLE!$G$15,$M37-$A$15,BD$13)))</f>
        <v>0</v>
      </c>
      <c r="BE37" s="179">
        <f ca="1">IF(OR($D37&lt;&gt;"Serviço",AND(AUTOEVENTO="Manual",$M37=$A$15),$M37&gt;(ROW(PLE.lastrow)-ROW(PLE.firstrow))),0,
           IF(OFFSET(PLE!$G$15,$M37-$A$15,BE$13)="",10^12,OFFSET(PLE!$G$15,$M37-$A$15,BE$13)))</f>
        <v>0</v>
      </c>
      <c r="BF37" s="179">
        <f ca="1">IF(OR($D37&lt;&gt;"Serviço",AND(AUTOEVENTO="Manual",$M37=$A$15),$M37&gt;(ROW(PLE.lastrow)-ROW(PLE.firstrow))),0,
           IF(OFFSET(PLE!$G$15,$M37-$A$15,BF$13)="",10^12,OFFSET(PLE!$G$15,$M37-$A$15,BF$13)))</f>
        <v>0</v>
      </c>
      <c r="BG37" s="179">
        <f ca="1">IF(OR($D37&lt;&gt;"Serviço",AND(AUTOEVENTO="Manual",$M37=$A$15),$M37&gt;(ROW(PLE.lastrow)-ROW(PLE.firstrow))),0,
           IF(OFFSET(PLE!$G$15,$M37-$A$15,BG$13)="",10^12,OFFSET(PLE!$G$15,$M37-$A$15,BG$13)))</f>
        <v>0</v>
      </c>
    </row>
    <row r="38" spans="1:59" ht="38.25" x14ac:dyDescent="0.2">
      <c r="A38" s="7" t="str">
        <f ca="1">IF(AUTOEVENTO="Manual",IF(K38&lt;&gt;"",MIN(VALUE(LEFT(K38,FIND(".",K38)-1)),COUNTA(EVENTOS.Lista)),0),IF(OR($B38&gt;AUTOEVENTO,$B38="S",$B38=0),SUBSTITUTE(OFFSET($A38,-1,0),IF($D38="Serviço",".",""),""),ROW(A38)-ROW($A$15)&amp;"."))</f>
        <v>22</v>
      </c>
      <c r="B38" s="7" t="str">
        <f ca="1">OFFSET(ORÇAMENTO!C$15,ROW(B38)-ROW(B$15),0)</f>
        <v>S</v>
      </c>
      <c r="C38" s="7" t="str">
        <f ca="1">OFFSET(ORÇAMENTO!L$15,ROW(C38)-ROW(C$15),0)</f>
        <v/>
      </c>
      <c r="D38" s="118" t="str">
        <f ca="1">OFFSET(ORÇAMENTO!N$15,ROW(D38)-ROW(D$15),0)</f>
        <v>Serviço</v>
      </c>
      <c r="E38" s="119" t="str">
        <f ca="1">OFFSET(ORÇAMENTO!O$15,ROW(E38)-ROW(E$15),0)</f>
        <v>-</v>
      </c>
      <c r="F38" s="170" t="str">
        <f ca="1">OFFSET(ORÇAMENTO!R$15,ROW(F38)-ROW(F$15),0)</f>
        <v>(abra o arquivo 'Referência 04-2026.xlsm)</v>
      </c>
      <c r="G38" s="171" t="str">
        <f ca="1">IF($D38&lt;&gt;"Serviço","",OFFSET(ORÇAMENTO!S$15,ROW(G38)-ROW(G$15),0))</f>
        <v>-</v>
      </c>
      <c r="H38" s="124" cm="1">
        <f t="array" aca="1" ref="H38" ca="1">IF($D38&lt;&gt;"Serviço",0,IF(_xlfn.SINGLE(ACOMPANHAMENTO)="BM",ROUND(OFFSET(ORÇAMENTO!AJ$15,ROW(H38)-ROW(H$15),0),15-13*ORÇAMENTO!$AF$7),SUMPRODUCT(($Q$1:$AA$1)*ROUND($Q38:$AA38,15-13*ORÇAMENTO!$AF$7))))</f>
        <v>10.5</v>
      </c>
      <c r="I38" s="500" t="s">
        <v>983</v>
      </c>
      <c r="J38" s="633" t="str" cm="1">
        <f t="array" aca="1" ref="J38" ca="1">IF(B38&lt;&gt;"S","",IF(AND(ACOMPANHAMENTO="PLE",AUTOEVENTO="Manual",OR(H38&gt;0,ORÇAMENTO!AC38="QUANT."),OR(K38="",M38=0,N38="")),"►",IF(AND(ACOMPANHAMENTO="PLE",ORÇAMENTO!AC38="QUANT."),"►►",IF(AND(COUNTIF($P$11:$AA$11,"▼")=0,H38&gt;0,I38=""),"◄",""))))</f>
        <v/>
      </c>
      <c r="K38" s="624"/>
      <c r="L38" s="172" t="s">
        <v>253</v>
      </c>
      <c r="M38" s="173">
        <f ca="1">IF($D38&lt;&gt;"Serviço","",
          IF(AUTOEVENTO="manual",$A38,
                IF(ISERROR(MATCH($A38,$A$15:OFFSET($A38,-1,0),0)),MAX($M$15:OFFSET(M38,-1,0))+1,
                      INDEX($M$15:OFFSET(M38,-1,0),MATCH($A38,$A$15:OFFSET($A38,-1,0),0)))))</f>
        <v>4</v>
      </c>
      <c r="N38" s="174" t="str">
        <f ca="1">IF($D38&lt;&gt;"Serviço","",
         IF(AUTOEVENTO="Manual",
                IF($A38=0,"&lt;-- defina o número do agrupador",
                       OFFSET(EVENTOS!$D$15,$A38-$A$15,0)),
                OFFSET($F$15,$A38,0)))</f>
        <v>CONCRETO ARMADO - PILARES</v>
      </c>
      <c r="O38" s="175"/>
      <c r="Q38" s="175">
        <f>(0.25+0.3)*2*3+(0.25*4)*3+(0.2*2+0.15*2)*6</f>
        <v>10.5</v>
      </c>
      <c r="R38" s="176"/>
      <c r="S38" s="176"/>
      <c r="T38" s="176"/>
      <c r="U38" s="176"/>
      <c r="V38" s="176"/>
      <c r="W38" s="176"/>
      <c r="X38" s="176"/>
      <c r="Y38" s="176"/>
      <c r="Z38" s="177"/>
      <c r="AB38" s="485">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85">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85">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85">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85">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85">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85">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85">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85">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85">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8">
        <f ca="1">IF(OR($D38&lt;&gt;"Serviço",AND(AUTOEVENTO="Manual",$M38=$A$15)),0,
         IF(OFFSET(CRONOPLE!$F$15,$M38-$A$15,AM$13)="",10^12,OFFSET(CRONOPLE!$F$15,$M38-$A$15,AM$13)))</f>
        <v>2</v>
      </c>
      <c r="AN38" s="178">
        <f ca="1">IF(OR($D38&lt;&gt;"Serviço",AND(AUTOEVENTO="Manual",$M38=$A$15)),0,
         IF(OFFSET(CRONOPLE!$F$15,$M38-$A$15,AN$13)="",10^12,OFFSET(CRONOPLE!$F$15,$M38-$A$15,AN$13)))</f>
        <v>1000000000000</v>
      </c>
      <c r="AO38" s="178">
        <f ca="1">IF(OR($D38&lt;&gt;"Serviço",AND(AUTOEVENTO="Manual",$M38=$A$15)),0,
         IF(OFFSET(CRONOPLE!$F$15,$M38-$A$15,AO$13)="",10^12,OFFSET(CRONOPLE!$F$15,$M38-$A$15,AO$13)))</f>
        <v>1000000000000</v>
      </c>
      <c r="AP38" s="178">
        <f ca="1">IF(OR($D38&lt;&gt;"Serviço",AND(AUTOEVENTO="Manual",$M38=$A$15)),0,
         IF(OFFSET(CRONOPLE!$F$15,$M38-$A$15,AP$13)="",10^12,OFFSET(CRONOPLE!$F$15,$M38-$A$15,AP$13)))</f>
        <v>1000000000000</v>
      </c>
      <c r="AQ38" s="178">
        <f ca="1">IF(OR($D38&lt;&gt;"Serviço",AND(AUTOEVENTO="Manual",$M38=$A$15)),0,
         IF(OFFSET(CRONOPLE!$F$15,$M38-$A$15,AQ$13)="",10^12,OFFSET(CRONOPLE!$F$15,$M38-$A$15,AQ$13)))</f>
        <v>1000000000000</v>
      </c>
      <c r="AR38" s="178">
        <f ca="1">IF(OR($D38&lt;&gt;"Serviço",AND(AUTOEVENTO="Manual",$M38=$A$15)),0,
         IF(OFFSET(CRONOPLE!$F$15,$M38-$A$15,AR$13)="",10^12,OFFSET(CRONOPLE!$F$15,$M38-$A$15,AR$13)))</f>
        <v>1000000000000</v>
      </c>
      <c r="AS38" s="178">
        <f ca="1">IF(OR($D38&lt;&gt;"Serviço",AND(AUTOEVENTO="Manual",$M38=$A$15)),0,
         IF(OFFSET(CRONOPLE!$F$15,$M38-$A$15,AS$13)="",10^12,OFFSET(CRONOPLE!$F$15,$M38-$A$15,AS$13)))</f>
        <v>1000000000000</v>
      </c>
      <c r="AT38" s="178">
        <f ca="1">IF(OR($D38&lt;&gt;"Serviço",AND(AUTOEVENTO="Manual",$M38=$A$15)),0,
         IF(OFFSET(CRONOPLE!$F$15,$M38-$A$15,AT$13)="",10^12,OFFSET(CRONOPLE!$F$15,$M38-$A$15,AT$13)))</f>
        <v>1000000000000</v>
      </c>
      <c r="AU38" s="178">
        <f ca="1">IF(OR($D38&lt;&gt;"Serviço",AND(AUTOEVENTO="Manual",$M38=$A$15)),0,
         IF(OFFSET(CRONOPLE!$F$15,$M38-$A$15,AU$13)="",10^12,OFFSET(CRONOPLE!$F$15,$M38-$A$15,AU$13)))</f>
        <v>1000000000000</v>
      </c>
      <c r="AV38" s="178">
        <f ca="1">IF(OR($D38&lt;&gt;"Serviço",AND(AUTOEVENTO="Manual",$M38=$A$15)),0,
         IF(OFFSET(CRONOPLE!$F$15,$M38-$A$15,AV$13)="",10^12,OFFSET(CRONOPLE!$F$15,$M38-$A$15,AV$13)))</f>
        <v>1000000000000</v>
      </c>
      <c r="AX38" s="179">
        <f ca="1">IF(OR($D38&lt;&gt;"Serviço",AND(AUTOEVENTO="Manual",$M38=$A$15),$M38&gt;(ROW(PLE.lastrow)-ROW(PLE.firstrow))),0,
           IF(OFFSET(PLE!$G$15,$M38-$A$15,AX$13)="",10^12,OFFSET(PLE!$G$15,$M38-$A$15,AX$13)))</f>
        <v>1000000000000</v>
      </c>
      <c r="AY38" s="179">
        <f ca="1">IF(OR($D38&lt;&gt;"Serviço",AND(AUTOEVENTO="Manual",$M38=$A$15),$M38&gt;(ROW(PLE.lastrow)-ROW(PLE.firstrow))),0,
           IF(OFFSET(PLE!$G$15,$M38-$A$15,AY$13)="",10^12,OFFSET(PLE!$G$15,$M38-$A$15,AY$13)))</f>
        <v>1000000000000</v>
      </c>
      <c r="AZ38" s="179">
        <f ca="1">IF(OR($D38&lt;&gt;"Serviço",AND(AUTOEVENTO="Manual",$M38=$A$15),$M38&gt;(ROW(PLE.lastrow)-ROW(PLE.firstrow))),0,
           IF(OFFSET(PLE!$G$15,$M38-$A$15,AZ$13)="",10^12,OFFSET(PLE!$G$15,$M38-$A$15,AZ$13)))</f>
        <v>1000000000000</v>
      </c>
      <c r="BA38" s="179">
        <f ca="1">IF(OR($D38&lt;&gt;"Serviço",AND(AUTOEVENTO="Manual",$M38=$A$15),$M38&gt;(ROW(PLE.lastrow)-ROW(PLE.firstrow))),0,
           IF(OFFSET(PLE!$G$15,$M38-$A$15,BA$13)="",10^12,OFFSET(PLE!$G$15,$M38-$A$15,BA$13)))</f>
        <v>1000000000000</v>
      </c>
      <c r="BB38" s="179">
        <f ca="1">IF(OR($D38&lt;&gt;"Serviço",AND(AUTOEVENTO="Manual",$M38=$A$15),$M38&gt;(ROW(PLE.lastrow)-ROW(PLE.firstrow))),0,
           IF(OFFSET(PLE!$G$15,$M38-$A$15,BB$13)="",10^12,OFFSET(PLE!$G$15,$M38-$A$15,BB$13)))</f>
        <v>1000000000000</v>
      </c>
      <c r="BC38" s="179">
        <f ca="1">IF(OR($D38&lt;&gt;"Serviço",AND(AUTOEVENTO="Manual",$M38=$A$15),$M38&gt;(ROW(PLE.lastrow)-ROW(PLE.firstrow))),0,
           IF(OFFSET(PLE!$G$15,$M38-$A$15,BC$13)="",10^12,OFFSET(PLE!$G$15,$M38-$A$15,BC$13)))</f>
        <v>1000000000000</v>
      </c>
      <c r="BD38" s="179">
        <f ca="1">IF(OR($D38&lt;&gt;"Serviço",AND(AUTOEVENTO="Manual",$M38=$A$15),$M38&gt;(ROW(PLE.lastrow)-ROW(PLE.firstrow))),0,
           IF(OFFSET(PLE!$G$15,$M38-$A$15,BD$13)="",10^12,OFFSET(PLE!$G$15,$M38-$A$15,BD$13)))</f>
        <v>1000000000000</v>
      </c>
      <c r="BE38" s="179">
        <f ca="1">IF(OR($D38&lt;&gt;"Serviço",AND(AUTOEVENTO="Manual",$M38=$A$15),$M38&gt;(ROW(PLE.lastrow)-ROW(PLE.firstrow))),0,
           IF(OFFSET(PLE!$G$15,$M38-$A$15,BE$13)="",10^12,OFFSET(PLE!$G$15,$M38-$A$15,BE$13)))</f>
        <v>1000000000000</v>
      </c>
      <c r="BF38" s="179">
        <f ca="1">IF(OR($D38&lt;&gt;"Serviço",AND(AUTOEVENTO="Manual",$M38=$A$15),$M38&gt;(ROW(PLE.lastrow)-ROW(PLE.firstrow))),0,
           IF(OFFSET(PLE!$G$15,$M38-$A$15,BF$13)="",10^12,OFFSET(PLE!$G$15,$M38-$A$15,BF$13)))</f>
        <v>1000000000000</v>
      </c>
      <c r="BG38" s="179">
        <f ca="1">IF(OR($D38&lt;&gt;"Serviço",AND(AUTOEVENTO="Manual",$M38=$A$15),$M38&gt;(ROW(PLE.lastrow)-ROW(PLE.firstrow))),0,
           IF(OFFSET(PLE!$G$15,$M38-$A$15,BG$13)="",10^12,OFFSET(PLE!$G$15,$M38-$A$15,BG$13)))</f>
        <v>1000000000000</v>
      </c>
    </row>
    <row r="39" spans="1:59" ht="38.25" x14ac:dyDescent="0.2">
      <c r="A39" s="7" t="str">
        <f ca="1">IF(AUTOEVENTO="Manual",IF(K39&lt;&gt;"",MIN(VALUE(LEFT(K39,FIND(".",K39)-1)),COUNTA(EVENTOS.Lista)),0),IF(OR($B39&gt;AUTOEVENTO,$B39="S",$B39=0),SUBSTITUTE(OFFSET($A39,-1,0),IF($D39="Serviço",".",""),""),ROW(A39)-ROW($A$15)&amp;"."))</f>
        <v>22</v>
      </c>
      <c r="B39" s="7" t="str">
        <f ca="1">OFFSET(ORÇAMENTO!C$15,ROW(B39)-ROW(B$15),0)</f>
        <v>S</v>
      </c>
      <c r="C39" s="7" t="str">
        <f ca="1">OFFSET(ORÇAMENTO!L$15,ROW(C39)-ROW(C$15),0)</f>
        <v/>
      </c>
      <c r="D39" s="118" t="str">
        <f ca="1">OFFSET(ORÇAMENTO!N$15,ROW(D39)-ROW(D$15),0)</f>
        <v>Serviço</v>
      </c>
      <c r="E39" s="119" t="str">
        <f ca="1">OFFSET(ORÇAMENTO!O$15,ROW(E39)-ROW(E$15),0)</f>
        <v>-</v>
      </c>
      <c r="F39" s="170" t="str">
        <f ca="1">OFFSET(ORÇAMENTO!R$15,ROW(F39)-ROW(F$15),0)</f>
        <v>(abra o arquivo 'Referência 04-2026.xlsm)</v>
      </c>
      <c r="G39" s="171" t="str">
        <f ca="1">IF($D39&lt;&gt;"Serviço","",OFFSET(ORÇAMENTO!S$15,ROW(G39)-ROW(G$15),0))</f>
        <v>-</v>
      </c>
      <c r="H39" s="124" cm="1">
        <f t="array" aca="1" ref="H39" ca="1">IF($D39&lt;&gt;"Serviço",0,IF(_xlfn.SINGLE(ACOMPANHAMENTO)="BM",ROUND(OFFSET(ORÇAMENTO!AJ$15,ROW(H39)-ROW(H$15),0),15-13*ORÇAMENTO!$AF$7),SUMPRODUCT(($Q$1:$AA$1)*ROUND($Q39:$AA39,15-13*ORÇAMENTO!$AF$7))))</f>
        <v>338.12</v>
      </c>
      <c r="I39" s="500" t="s">
        <v>984</v>
      </c>
      <c r="J39" s="633" t="str" cm="1">
        <f t="array" aca="1" ref="J39" ca="1">IF(B39&lt;&gt;"S","",IF(AND(ACOMPANHAMENTO="PLE",AUTOEVENTO="Manual",OR(H39&gt;0,ORÇAMENTO!AC39="QUANT."),OR(K39="",M39=0,N39="")),"►",IF(AND(ACOMPANHAMENTO="PLE",ORÇAMENTO!AC39="QUANT."),"►►",IF(AND(COUNTIF($P$11:$AA$11,"▼")=0,H39&gt;0,I39=""),"◄",""))))</f>
        <v/>
      </c>
      <c r="K39" s="624"/>
      <c r="L39" s="172" t="s">
        <v>253</v>
      </c>
      <c r="M39" s="173">
        <f ca="1">IF($D39&lt;&gt;"Serviço","",
          IF(AUTOEVENTO="manual",$A39,
                IF(ISERROR(MATCH($A39,$A$15:OFFSET($A39,-1,0),0)),MAX($M$15:OFFSET(M39,-1,0))+1,
                      INDEX($M$15:OFFSET(M39,-1,0),MATCH($A39,$A$15:OFFSET($A39,-1,0),0)))))</f>
        <v>4</v>
      </c>
      <c r="N39" s="174" t="str">
        <f ca="1">IF($D39&lt;&gt;"Serviço","",
         IF(AUTOEVENTO="Manual",
                IF($A39=0,"&lt;-- defina o número do agrupador",
                       OFFSET(EVENTOS!$D$15,$A39-$A$15,0)),
                OFFSET($F$15,$A39,0)))</f>
        <v>CONCRETO ARMADO - PILARES</v>
      </c>
      <c r="O39" s="175"/>
      <c r="Q39" s="175">
        <f>(4*3+5*4+7*15)*4*0.617</f>
        <v>338.11599999999999</v>
      </c>
      <c r="R39" s="176"/>
      <c r="S39" s="176"/>
      <c r="T39" s="176"/>
      <c r="U39" s="176"/>
      <c r="V39" s="176"/>
      <c r="W39" s="176"/>
      <c r="X39" s="176"/>
      <c r="Y39" s="176"/>
      <c r="Z39" s="177"/>
      <c r="AB39" s="485">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85">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85">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85">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85">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85">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85">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85">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85">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85">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8">
        <f ca="1">IF(OR($D39&lt;&gt;"Serviço",AND(AUTOEVENTO="Manual",$M39=$A$15)),0,
         IF(OFFSET(CRONOPLE!$F$15,$M39-$A$15,AM$13)="",10^12,OFFSET(CRONOPLE!$F$15,$M39-$A$15,AM$13)))</f>
        <v>2</v>
      </c>
      <c r="AN39" s="178">
        <f ca="1">IF(OR($D39&lt;&gt;"Serviço",AND(AUTOEVENTO="Manual",$M39=$A$15)),0,
         IF(OFFSET(CRONOPLE!$F$15,$M39-$A$15,AN$13)="",10^12,OFFSET(CRONOPLE!$F$15,$M39-$A$15,AN$13)))</f>
        <v>1000000000000</v>
      </c>
      <c r="AO39" s="178">
        <f ca="1">IF(OR($D39&lt;&gt;"Serviço",AND(AUTOEVENTO="Manual",$M39=$A$15)),0,
         IF(OFFSET(CRONOPLE!$F$15,$M39-$A$15,AO$13)="",10^12,OFFSET(CRONOPLE!$F$15,$M39-$A$15,AO$13)))</f>
        <v>1000000000000</v>
      </c>
      <c r="AP39" s="178">
        <f ca="1">IF(OR($D39&lt;&gt;"Serviço",AND(AUTOEVENTO="Manual",$M39=$A$15)),0,
         IF(OFFSET(CRONOPLE!$F$15,$M39-$A$15,AP$13)="",10^12,OFFSET(CRONOPLE!$F$15,$M39-$A$15,AP$13)))</f>
        <v>1000000000000</v>
      </c>
      <c r="AQ39" s="178">
        <f ca="1">IF(OR($D39&lt;&gt;"Serviço",AND(AUTOEVENTO="Manual",$M39=$A$15)),0,
         IF(OFFSET(CRONOPLE!$F$15,$M39-$A$15,AQ$13)="",10^12,OFFSET(CRONOPLE!$F$15,$M39-$A$15,AQ$13)))</f>
        <v>1000000000000</v>
      </c>
      <c r="AR39" s="178">
        <f ca="1">IF(OR($D39&lt;&gt;"Serviço",AND(AUTOEVENTO="Manual",$M39=$A$15)),0,
         IF(OFFSET(CRONOPLE!$F$15,$M39-$A$15,AR$13)="",10^12,OFFSET(CRONOPLE!$F$15,$M39-$A$15,AR$13)))</f>
        <v>1000000000000</v>
      </c>
      <c r="AS39" s="178">
        <f ca="1">IF(OR($D39&lt;&gt;"Serviço",AND(AUTOEVENTO="Manual",$M39=$A$15)),0,
         IF(OFFSET(CRONOPLE!$F$15,$M39-$A$15,AS$13)="",10^12,OFFSET(CRONOPLE!$F$15,$M39-$A$15,AS$13)))</f>
        <v>1000000000000</v>
      </c>
      <c r="AT39" s="178">
        <f ca="1">IF(OR($D39&lt;&gt;"Serviço",AND(AUTOEVENTO="Manual",$M39=$A$15)),0,
         IF(OFFSET(CRONOPLE!$F$15,$M39-$A$15,AT$13)="",10^12,OFFSET(CRONOPLE!$F$15,$M39-$A$15,AT$13)))</f>
        <v>1000000000000</v>
      </c>
      <c r="AU39" s="178">
        <f ca="1">IF(OR($D39&lt;&gt;"Serviço",AND(AUTOEVENTO="Manual",$M39=$A$15)),0,
         IF(OFFSET(CRONOPLE!$F$15,$M39-$A$15,AU$13)="",10^12,OFFSET(CRONOPLE!$F$15,$M39-$A$15,AU$13)))</f>
        <v>1000000000000</v>
      </c>
      <c r="AV39" s="178">
        <f ca="1">IF(OR($D39&lt;&gt;"Serviço",AND(AUTOEVENTO="Manual",$M39=$A$15)),0,
         IF(OFFSET(CRONOPLE!$F$15,$M39-$A$15,AV$13)="",10^12,OFFSET(CRONOPLE!$F$15,$M39-$A$15,AV$13)))</f>
        <v>1000000000000</v>
      </c>
      <c r="AX39" s="179">
        <f ca="1">IF(OR($D39&lt;&gt;"Serviço",AND(AUTOEVENTO="Manual",$M39=$A$15),$M39&gt;(ROW(PLE.lastrow)-ROW(PLE.firstrow))),0,
           IF(OFFSET(PLE!$G$15,$M39-$A$15,AX$13)="",10^12,OFFSET(PLE!$G$15,$M39-$A$15,AX$13)))</f>
        <v>1000000000000</v>
      </c>
      <c r="AY39" s="179">
        <f ca="1">IF(OR($D39&lt;&gt;"Serviço",AND(AUTOEVENTO="Manual",$M39=$A$15),$M39&gt;(ROW(PLE.lastrow)-ROW(PLE.firstrow))),0,
           IF(OFFSET(PLE!$G$15,$M39-$A$15,AY$13)="",10^12,OFFSET(PLE!$G$15,$M39-$A$15,AY$13)))</f>
        <v>1000000000000</v>
      </c>
      <c r="AZ39" s="179">
        <f ca="1">IF(OR($D39&lt;&gt;"Serviço",AND(AUTOEVENTO="Manual",$M39=$A$15),$M39&gt;(ROW(PLE.lastrow)-ROW(PLE.firstrow))),0,
           IF(OFFSET(PLE!$G$15,$M39-$A$15,AZ$13)="",10^12,OFFSET(PLE!$G$15,$M39-$A$15,AZ$13)))</f>
        <v>1000000000000</v>
      </c>
      <c r="BA39" s="179">
        <f ca="1">IF(OR($D39&lt;&gt;"Serviço",AND(AUTOEVENTO="Manual",$M39=$A$15),$M39&gt;(ROW(PLE.lastrow)-ROW(PLE.firstrow))),0,
           IF(OFFSET(PLE!$G$15,$M39-$A$15,BA$13)="",10^12,OFFSET(PLE!$G$15,$M39-$A$15,BA$13)))</f>
        <v>1000000000000</v>
      </c>
      <c r="BB39" s="179">
        <f ca="1">IF(OR($D39&lt;&gt;"Serviço",AND(AUTOEVENTO="Manual",$M39=$A$15),$M39&gt;(ROW(PLE.lastrow)-ROW(PLE.firstrow))),0,
           IF(OFFSET(PLE!$G$15,$M39-$A$15,BB$13)="",10^12,OFFSET(PLE!$G$15,$M39-$A$15,BB$13)))</f>
        <v>1000000000000</v>
      </c>
      <c r="BC39" s="179">
        <f ca="1">IF(OR($D39&lt;&gt;"Serviço",AND(AUTOEVENTO="Manual",$M39=$A$15),$M39&gt;(ROW(PLE.lastrow)-ROW(PLE.firstrow))),0,
           IF(OFFSET(PLE!$G$15,$M39-$A$15,BC$13)="",10^12,OFFSET(PLE!$G$15,$M39-$A$15,BC$13)))</f>
        <v>1000000000000</v>
      </c>
      <c r="BD39" s="179">
        <f ca="1">IF(OR($D39&lt;&gt;"Serviço",AND(AUTOEVENTO="Manual",$M39=$A$15),$M39&gt;(ROW(PLE.lastrow)-ROW(PLE.firstrow))),0,
           IF(OFFSET(PLE!$G$15,$M39-$A$15,BD$13)="",10^12,OFFSET(PLE!$G$15,$M39-$A$15,BD$13)))</f>
        <v>1000000000000</v>
      </c>
      <c r="BE39" s="179">
        <f ca="1">IF(OR($D39&lt;&gt;"Serviço",AND(AUTOEVENTO="Manual",$M39=$A$15),$M39&gt;(ROW(PLE.lastrow)-ROW(PLE.firstrow))),0,
           IF(OFFSET(PLE!$G$15,$M39-$A$15,BE$13)="",10^12,OFFSET(PLE!$G$15,$M39-$A$15,BE$13)))</f>
        <v>1000000000000</v>
      </c>
      <c r="BF39" s="179">
        <f ca="1">IF(OR($D39&lt;&gt;"Serviço",AND(AUTOEVENTO="Manual",$M39=$A$15),$M39&gt;(ROW(PLE.lastrow)-ROW(PLE.firstrow))),0,
           IF(OFFSET(PLE!$G$15,$M39-$A$15,BF$13)="",10^12,OFFSET(PLE!$G$15,$M39-$A$15,BF$13)))</f>
        <v>1000000000000</v>
      </c>
      <c r="BG39" s="179">
        <f ca="1">IF(OR($D39&lt;&gt;"Serviço",AND(AUTOEVENTO="Manual",$M39=$A$15),$M39&gt;(ROW(PLE.lastrow)-ROW(PLE.firstrow))),0,
           IF(OFFSET(PLE!$G$15,$M39-$A$15,BG$13)="",10^12,OFFSET(PLE!$G$15,$M39-$A$15,BG$13)))</f>
        <v>1000000000000</v>
      </c>
    </row>
    <row r="40" spans="1:59" ht="38.25" x14ac:dyDescent="0.2">
      <c r="A40" s="7" t="str">
        <f ca="1">IF(AUTOEVENTO="Manual",IF(K40&lt;&gt;"",MIN(VALUE(LEFT(K40,FIND(".",K40)-1)),COUNTA(EVENTOS.Lista)),0),IF(OR($B40&gt;AUTOEVENTO,$B40="S",$B40=0),SUBSTITUTE(OFFSET($A40,-1,0),IF($D40="Serviço",".",""),""),ROW(A40)-ROW($A$15)&amp;"."))</f>
        <v>22</v>
      </c>
      <c r="B40" s="7" t="str">
        <f ca="1">OFFSET(ORÇAMENTO!C$15,ROW(B40)-ROW(B$15),0)</f>
        <v>S</v>
      </c>
      <c r="C40" s="7" t="str">
        <f ca="1">OFFSET(ORÇAMENTO!L$15,ROW(C40)-ROW(C$15),0)</f>
        <v/>
      </c>
      <c r="D40" s="118" t="str">
        <f ca="1">OFFSET(ORÇAMENTO!N$15,ROW(D40)-ROW(D$15),0)</f>
        <v>Serviço</v>
      </c>
      <c r="E40" s="119" t="str">
        <f ca="1">OFFSET(ORÇAMENTO!O$15,ROW(E40)-ROW(E$15),0)</f>
        <v>-</v>
      </c>
      <c r="F40" s="170" t="str">
        <f ca="1">OFFSET(ORÇAMENTO!R$15,ROW(F40)-ROW(F$15),0)</f>
        <v>(abra o arquivo 'Referência 04-2026.xlsm)</v>
      </c>
      <c r="G40" s="171" t="str">
        <f ca="1">IF($D40&lt;&gt;"Serviço","",OFFSET(ORÇAMENTO!S$15,ROW(G40)-ROW(G$15),0))</f>
        <v>-</v>
      </c>
      <c r="H40" s="124" cm="1">
        <f t="array" aca="1" ref="H40" ca="1">IF($D40&lt;&gt;"Serviço",0,IF(_xlfn.SINGLE(ACOMPANHAMENTO)="BM",ROUND(OFFSET(ORÇAMENTO!AJ$15,ROW(H40)-ROW(H$15),0),15-13*ORÇAMENTO!$AF$7),SUMPRODUCT(($Q$1:$AA$1)*ROUND($Q40:$AA40,15-13*ORÇAMENTO!$AF$7))))</f>
        <v>207.9</v>
      </c>
      <c r="I40" s="500" t="s">
        <v>985</v>
      </c>
      <c r="J40" s="633" t="str" cm="1">
        <f t="array" aca="1" ref="J40" ca="1">IF(B40&lt;&gt;"S","",IF(AND(ACOMPANHAMENTO="PLE",AUTOEVENTO="Manual",OR(H40&gt;0,ORÇAMENTO!AC40="QUANT."),OR(K40="",M40=0,N40="")),"►",IF(AND(ACOMPANHAMENTO="PLE",ORÇAMENTO!AC40="QUANT."),"►►",IF(AND(COUNTIF($P$11:$AA$11,"▼")=0,H40&gt;0,I40=""),"◄",""))))</f>
        <v/>
      </c>
      <c r="K40" s="624"/>
      <c r="L40" s="172" t="s">
        <v>253</v>
      </c>
      <c r="M40" s="173">
        <f ca="1">IF($D40&lt;&gt;"Serviço","",
          IF(AUTOEVENTO="manual",$A40,
                IF(ISERROR(MATCH($A40,$A$15:OFFSET($A40,-1,0),0)),MAX($M$15:OFFSET(M40,-1,0))+1,
                      INDEX($M$15:OFFSET(M40,-1,0),MATCH($A40,$A$15:OFFSET($A40,-1,0),0)))))</f>
        <v>4</v>
      </c>
      <c r="N40" s="174" t="str">
        <f ca="1">IF($D40&lt;&gt;"Serviço","",
         IF(AUTOEVENTO="Manual",
                IF($A40=0,"&lt;-- defina o número do agrupador",
                       OFFSET(EVENTOS!$D$15,$A40-$A$15,0)),
                OFFSET($F$15,$A40,0)))</f>
        <v>CONCRETO ARMADO - PILARES</v>
      </c>
      <c r="O40" s="175"/>
      <c r="Q40" s="175">
        <f>0.154*(15*7)/0.15*(0.1+0.5+0.5+0.5+0.1)+0.154*(3*4)/0.15*(0.15+0.15+0.25+0.25+0.1)+0.154*(5*4)/0.15*(0.14+0.14+0.14+0.14+0.1)</f>
        <v>207.9</v>
      </c>
      <c r="R40" s="176"/>
      <c r="S40" s="176"/>
      <c r="T40" s="176"/>
      <c r="U40" s="176"/>
      <c r="V40" s="176"/>
      <c r="W40" s="176"/>
      <c r="X40" s="176"/>
      <c r="Y40" s="176"/>
      <c r="Z40" s="177"/>
      <c r="AB40" s="485">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85">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85">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85">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85">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85">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85">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85">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85">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85">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8">
        <f ca="1">IF(OR($D40&lt;&gt;"Serviço",AND(AUTOEVENTO="Manual",$M40=$A$15)),0,
         IF(OFFSET(CRONOPLE!$F$15,$M40-$A$15,AM$13)="",10^12,OFFSET(CRONOPLE!$F$15,$M40-$A$15,AM$13)))</f>
        <v>2</v>
      </c>
      <c r="AN40" s="178">
        <f ca="1">IF(OR($D40&lt;&gt;"Serviço",AND(AUTOEVENTO="Manual",$M40=$A$15)),0,
         IF(OFFSET(CRONOPLE!$F$15,$M40-$A$15,AN$13)="",10^12,OFFSET(CRONOPLE!$F$15,$M40-$A$15,AN$13)))</f>
        <v>1000000000000</v>
      </c>
      <c r="AO40" s="178">
        <f ca="1">IF(OR($D40&lt;&gt;"Serviço",AND(AUTOEVENTO="Manual",$M40=$A$15)),0,
         IF(OFFSET(CRONOPLE!$F$15,$M40-$A$15,AO$13)="",10^12,OFFSET(CRONOPLE!$F$15,$M40-$A$15,AO$13)))</f>
        <v>1000000000000</v>
      </c>
      <c r="AP40" s="178">
        <f ca="1">IF(OR($D40&lt;&gt;"Serviço",AND(AUTOEVENTO="Manual",$M40=$A$15)),0,
         IF(OFFSET(CRONOPLE!$F$15,$M40-$A$15,AP$13)="",10^12,OFFSET(CRONOPLE!$F$15,$M40-$A$15,AP$13)))</f>
        <v>1000000000000</v>
      </c>
      <c r="AQ40" s="178">
        <f ca="1">IF(OR($D40&lt;&gt;"Serviço",AND(AUTOEVENTO="Manual",$M40=$A$15)),0,
         IF(OFFSET(CRONOPLE!$F$15,$M40-$A$15,AQ$13)="",10^12,OFFSET(CRONOPLE!$F$15,$M40-$A$15,AQ$13)))</f>
        <v>1000000000000</v>
      </c>
      <c r="AR40" s="178">
        <f ca="1">IF(OR($D40&lt;&gt;"Serviço",AND(AUTOEVENTO="Manual",$M40=$A$15)),0,
         IF(OFFSET(CRONOPLE!$F$15,$M40-$A$15,AR$13)="",10^12,OFFSET(CRONOPLE!$F$15,$M40-$A$15,AR$13)))</f>
        <v>1000000000000</v>
      </c>
      <c r="AS40" s="178">
        <f ca="1">IF(OR($D40&lt;&gt;"Serviço",AND(AUTOEVENTO="Manual",$M40=$A$15)),0,
         IF(OFFSET(CRONOPLE!$F$15,$M40-$A$15,AS$13)="",10^12,OFFSET(CRONOPLE!$F$15,$M40-$A$15,AS$13)))</f>
        <v>1000000000000</v>
      </c>
      <c r="AT40" s="178">
        <f ca="1">IF(OR($D40&lt;&gt;"Serviço",AND(AUTOEVENTO="Manual",$M40=$A$15)),0,
         IF(OFFSET(CRONOPLE!$F$15,$M40-$A$15,AT$13)="",10^12,OFFSET(CRONOPLE!$F$15,$M40-$A$15,AT$13)))</f>
        <v>1000000000000</v>
      </c>
      <c r="AU40" s="178">
        <f ca="1">IF(OR($D40&lt;&gt;"Serviço",AND(AUTOEVENTO="Manual",$M40=$A$15)),0,
         IF(OFFSET(CRONOPLE!$F$15,$M40-$A$15,AU$13)="",10^12,OFFSET(CRONOPLE!$F$15,$M40-$A$15,AU$13)))</f>
        <v>1000000000000</v>
      </c>
      <c r="AV40" s="178">
        <f ca="1">IF(OR($D40&lt;&gt;"Serviço",AND(AUTOEVENTO="Manual",$M40=$A$15)),0,
         IF(OFFSET(CRONOPLE!$F$15,$M40-$A$15,AV$13)="",10^12,OFFSET(CRONOPLE!$F$15,$M40-$A$15,AV$13)))</f>
        <v>1000000000000</v>
      </c>
      <c r="AX40" s="179">
        <f ca="1">IF(OR($D40&lt;&gt;"Serviço",AND(AUTOEVENTO="Manual",$M40=$A$15),$M40&gt;(ROW(PLE.lastrow)-ROW(PLE.firstrow))),0,
           IF(OFFSET(PLE!$G$15,$M40-$A$15,AX$13)="",10^12,OFFSET(PLE!$G$15,$M40-$A$15,AX$13)))</f>
        <v>1000000000000</v>
      </c>
      <c r="AY40" s="179">
        <f ca="1">IF(OR($D40&lt;&gt;"Serviço",AND(AUTOEVENTO="Manual",$M40=$A$15),$M40&gt;(ROW(PLE.lastrow)-ROW(PLE.firstrow))),0,
           IF(OFFSET(PLE!$G$15,$M40-$A$15,AY$13)="",10^12,OFFSET(PLE!$G$15,$M40-$A$15,AY$13)))</f>
        <v>1000000000000</v>
      </c>
      <c r="AZ40" s="179">
        <f ca="1">IF(OR($D40&lt;&gt;"Serviço",AND(AUTOEVENTO="Manual",$M40=$A$15),$M40&gt;(ROW(PLE.lastrow)-ROW(PLE.firstrow))),0,
           IF(OFFSET(PLE!$G$15,$M40-$A$15,AZ$13)="",10^12,OFFSET(PLE!$G$15,$M40-$A$15,AZ$13)))</f>
        <v>1000000000000</v>
      </c>
      <c r="BA40" s="179">
        <f ca="1">IF(OR($D40&lt;&gt;"Serviço",AND(AUTOEVENTO="Manual",$M40=$A$15),$M40&gt;(ROW(PLE.lastrow)-ROW(PLE.firstrow))),0,
           IF(OFFSET(PLE!$G$15,$M40-$A$15,BA$13)="",10^12,OFFSET(PLE!$G$15,$M40-$A$15,BA$13)))</f>
        <v>1000000000000</v>
      </c>
      <c r="BB40" s="179">
        <f ca="1">IF(OR($D40&lt;&gt;"Serviço",AND(AUTOEVENTO="Manual",$M40=$A$15),$M40&gt;(ROW(PLE.lastrow)-ROW(PLE.firstrow))),0,
           IF(OFFSET(PLE!$G$15,$M40-$A$15,BB$13)="",10^12,OFFSET(PLE!$G$15,$M40-$A$15,BB$13)))</f>
        <v>1000000000000</v>
      </c>
      <c r="BC40" s="179">
        <f ca="1">IF(OR($D40&lt;&gt;"Serviço",AND(AUTOEVENTO="Manual",$M40=$A$15),$M40&gt;(ROW(PLE.lastrow)-ROW(PLE.firstrow))),0,
           IF(OFFSET(PLE!$G$15,$M40-$A$15,BC$13)="",10^12,OFFSET(PLE!$G$15,$M40-$A$15,BC$13)))</f>
        <v>1000000000000</v>
      </c>
      <c r="BD40" s="179">
        <f ca="1">IF(OR($D40&lt;&gt;"Serviço",AND(AUTOEVENTO="Manual",$M40=$A$15),$M40&gt;(ROW(PLE.lastrow)-ROW(PLE.firstrow))),0,
           IF(OFFSET(PLE!$G$15,$M40-$A$15,BD$13)="",10^12,OFFSET(PLE!$G$15,$M40-$A$15,BD$13)))</f>
        <v>1000000000000</v>
      </c>
      <c r="BE40" s="179">
        <f ca="1">IF(OR($D40&lt;&gt;"Serviço",AND(AUTOEVENTO="Manual",$M40=$A$15),$M40&gt;(ROW(PLE.lastrow)-ROW(PLE.firstrow))),0,
           IF(OFFSET(PLE!$G$15,$M40-$A$15,BE$13)="",10^12,OFFSET(PLE!$G$15,$M40-$A$15,BE$13)))</f>
        <v>1000000000000</v>
      </c>
      <c r="BF40" s="179">
        <f ca="1">IF(OR($D40&lt;&gt;"Serviço",AND(AUTOEVENTO="Manual",$M40=$A$15),$M40&gt;(ROW(PLE.lastrow)-ROW(PLE.firstrow))),0,
           IF(OFFSET(PLE!$G$15,$M40-$A$15,BF$13)="",10^12,OFFSET(PLE!$G$15,$M40-$A$15,BF$13)))</f>
        <v>1000000000000</v>
      </c>
      <c r="BG40" s="179">
        <f ca="1">IF(OR($D40&lt;&gt;"Serviço",AND(AUTOEVENTO="Manual",$M40=$A$15),$M40&gt;(ROW(PLE.lastrow)-ROW(PLE.firstrow))),0,
           IF(OFFSET(PLE!$G$15,$M40-$A$15,BG$13)="",10^12,OFFSET(PLE!$G$15,$M40-$A$15,BG$13)))</f>
        <v>1000000000000</v>
      </c>
    </row>
    <row r="41" spans="1:59" ht="25.5" x14ac:dyDescent="0.2">
      <c r="A41" s="7" t="str">
        <f ca="1">IF(AUTOEVENTO="Manual",IF(K41&lt;&gt;"",MIN(VALUE(LEFT(K41,FIND(".",K41)-1)),COUNTA(EVENTOS.Lista)),0),IF(OR($B41&gt;AUTOEVENTO,$B41="S",$B41=0),SUBSTITUTE(OFFSET($A41,-1,0),IF($D41="Serviço",".",""),""),ROW(A41)-ROW($A$15)&amp;"."))</f>
        <v>22</v>
      </c>
      <c r="B41" s="7" t="str">
        <f ca="1">OFFSET(ORÇAMENTO!C$15,ROW(B41)-ROW(B$15),0)</f>
        <v>S</v>
      </c>
      <c r="C41" s="7" t="str">
        <f ca="1">OFFSET(ORÇAMENTO!L$15,ROW(C41)-ROW(C$15),0)</f>
        <v/>
      </c>
      <c r="D41" s="118" t="str">
        <f ca="1">OFFSET(ORÇAMENTO!N$15,ROW(D41)-ROW(D$15),0)</f>
        <v>Serviço</v>
      </c>
      <c r="E41" s="119" t="str">
        <f ca="1">OFFSET(ORÇAMENTO!O$15,ROW(E41)-ROW(E$15),0)</f>
        <v>-</v>
      </c>
      <c r="F41" s="170" t="str">
        <f ca="1">OFFSET(ORÇAMENTO!R$15,ROW(F41)-ROW(F$15),0)</f>
        <v>(abra o arquivo 'Referência 04-2026.xlsm)</v>
      </c>
      <c r="G41" s="171" t="str">
        <f ca="1">IF($D41&lt;&gt;"Serviço","",OFFSET(ORÇAMENTO!S$15,ROW(G41)-ROW(G$15),0))</f>
        <v>-</v>
      </c>
      <c r="H41" s="124" cm="1">
        <f t="array" aca="1" ref="H41" ca="1">IF($D41&lt;&gt;"Serviço",0,IF(_xlfn.SINGLE(ACOMPANHAMENTO)="BM",ROUND(OFFSET(ORÇAMENTO!AJ$15,ROW(H41)-ROW(H$15),0),15-13*ORÇAMENTO!$AF$7),SUMPRODUCT(($Q$1:$AA$1)*ROUND($Q41:$AA41,15-13*ORÇAMENTO!$AF$7))))</f>
        <v>3.8</v>
      </c>
      <c r="I41" s="500" t="s">
        <v>986</v>
      </c>
      <c r="J41" s="633" t="str" cm="1">
        <f t="array" aca="1" ref="J41" ca="1">IF(B41&lt;&gt;"S","",IF(AND(ACOMPANHAMENTO="PLE",AUTOEVENTO="Manual",OR(H41&gt;0,ORÇAMENTO!AC41="QUANT."),OR(K41="",M41=0,N41="")),"►",IF(AND(ACOMPANHAMENTO="PLE",ORÇAMENTO!AC41="QUANT."),"►►",IF(AND(COUNTIF($P$11:$AA$11,"▼")=0,H41&gt;0,I41=""),"◄",""))))</f>
        <v/>
      </c>
      <c r="K41" s="624"/>
      <c r="L41" s="172" t="s">
        <v>253</v>
      </c>
      <c r="M41" s="173">
        <f ca="1">IF($D41&lt;&gt;"Serviço","",
          IF(AUTOEVENTO="manual",$A41,
                IF(ISERROR(MATCH($A41,$A$15:OFFSET($A41,-1,0),0)),MAX($M$15:OFFSET(M41,-1,0))+1,
                      INDEX($M$15:OFFSET(M41,-1,0),MATCH($A41,$A$15:OFFSET($A41,-1,0),0)))))</f>
        <v>4</v>
      </c>
      <c r="N41" s="174" t="str">
        <f ca="1">IF($D41&lt;&gt;"Serviço","",
         IF(AUTOEVENTO="Manual",
                IF($A41=0,"&lt;-- defina o número do agrupador",
                       OFFSET(EVENTOS!$D$15,$A41-$A$15,0)),
                OFFSET($F$15,$A41,0)))</f>
        <v>CONCRETO ARMADO - PILARES</v>
      </c>
      <c r="O41" s="175"/>
      <c r="Q41" s="175">
        <f>(4*3*0.2*0.3+5*4*0.19*0.19+7*15*0.15*0.15)</f>
        <v>3.8045</v>
      </c>
      <c r="R41" s="176"/>
      <c r="S41" s="176"/>
      <c r="T41" s="176"/>
      <c r="U41" s="176"/>
      <c r="V41" s="176"/>
      <c r="W41" s="176"/>
      <c r="X41" s="176"/>
      <c r="Y41" s="176"/>
      <c r="Z41" s="177"/>
      <c r="AB41" s="485">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85">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85">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85">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85">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85">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85">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85">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85">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85">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8">
        <f ca="1">IF(OR($D41&lt;&gt;"Serviço",AND(AUTOEVENTO="Manual",$M41=$A$15)),0,
         IF(OFFSET(CRONOPLE!$F$15,$M41-$A$15,AM$13)="",10^12,OFFSET(CRONOPLE!$F$15,$M41-$A$15,AM$13)))</f>
        <v>2</v>
      </c>
      <c r="AN41" s="178">
        <f ca="1">IF(OR($D41&lt;&gt;"Serviço",AND(AUTOEVENTO="Manual",$M41=$A$15)),0,
         IF(OFFSET(CRONOPLE!$F$15,$M41-$A$15,AN$13)="",10^12,OFFSET(CRONOPLE!$F$15,$M41-$A$15,AN$13)))</f>
        <v>1000000000000</v>
      </c>
      <c r="AO41" s="178">
        <f ca="1">IF(OR($D41&lt;&gt;"Serviço",AND(AUTOEVENTO="Manual",$M41=$A$15)),0,
         IF(OFFSET(CRONOPLE!$F$15,$M41-$A$15,AO$13)="",10^12,OFFSET(CRONOPLE!$F$15,$M41-$A$15,AO$13)))</f>
        <v>1000000000000</v>
      </c>
      <c r="AP41" s="178">
        <f ca="1">IF(OR($D41&lt;&gt;"Serviço",AND(AUTOEVENTO="Manual",$M41=$A$15)),0,
         IF(OFFSET(CRONOPLE!$F$15,$M41-$A$15,AP$13)="",10^12,OFFSET(CRONOPLE!$F$15,$M41-$A$15,AP$13)))</f>
        <v>1000000000000</v>
      </c>
      <c r="AQ41" s="178">
        <f ca="1">IF(OR($D41&lt;&gt;"Serviço",AND(AUTOEVENTO="Manual",$M41=$A$15)),0,
         IF(OFFSET(CRONOPLE!$F$15,$M41-$A$15,AQ$13)="",10^12,OFFSET(CRONOPLE!$F$15,$M41-$A$15,AQ$13)))</f>
        <v>1000000000000</v>
      </c>
      <c r="AR41" s="178">
        <f ca="1">IF(OR($D41&lt;&gt;"Serviço",AND(AUTOEVENTO="Manual",$M41=$A$15)),0,
         IF(OFFSET(CRONOPLE!$F$15,$M41-$A$15,AR$13)="",10^12,OFFSET(CRONOPLE!$F$15,$M41-$A$15,AR$13)))</f>
        <v>1000000000000</v>
      </c>
      <c r="AS41" s="178">
        <f ca="1">IF(OR($D41&lt;&gt;"Serviço",AND(AUTOEVENTO="Manual",$M41=$A$15)),0,
         IF(OFFSET(CRONOPLE!$F$15,$M41-$A$15,AS$13)="",10^12,OFFSET(CRONOPLE!$F$15,$M41-$A$15,AS$13)))</f>
        <v>1000000000000</v>
      </c>
      <c r="AT41" s="178">
        <f ca="1">IF(OR($D41&lt;&gt;"Serviço",AND(AUTOEVENTO="Manual",$M41=$A$15)),0,
         IF(OFFSET(CRONOPLE!$F$15,$M41-$A$15,AT$13)="",10^12,OFFSET(CRONOPLE!$F$15,$M41-$A$15,AT$13)))</f>
        <v>1000000000000</v>
      </c>
      <c r="AU41" s="178">
        <f ca="1">IF(OR($D41&lt;&gt;"Serviço",AND(AUTOEVENTO="Manual",$M41=$A$15)),0,
         IF(OFFSET(CRONOPLE!$F$15,$M41-$A$15,AU$13)="",10^12,OFFSET(CRONOPLE!$F$15,$M41-$A$15,AU$13)))</f>
        <v>1000000000000</v>
      </c>
      <c r="AV41" s="178">
        <f ca="1">IF(OR($D41&lt;&gt;"Serviço",AND(AUTOEVENTO="Manual",$M41=$A$15)),0,
         IF(OFFSET(CRONOPLE!$F$15,$M41-$A$15,AV$13)="",10^12,OFFSET(CRONOPLE!$F$15,$M41-$A$15,AV$13)))</f>
        <v>1000000000000</v>
      </c>
      <c r="AX41" s="179">
        <f ca="1">IF(OR($D41&lt;&gt;"Serviço",AND(AUTOEVENTO="Manual",$M41=$A$15),$M41&gt;(ROW(PLE.lastrow)-ROW(PLE.firstrow))),0,
           IF(OFFSET(PLE!$G$15,$M41-$A$15,AX$13)="",10^12,OFFSET(PLE!$G$15,$M41-$A$15,AX$13)))</f>
        <v>1000000000000</v>
      </c>
      <c r="AY41" s="179">
        <f ca="1">IF(OR($D41&lt;&gt;"Serviço",AND(AUTOEVENTO="Manual",$M41=$A$15),$M41&gt;(ROW(PLE.lastrow)-ROW(PLE.firstrow))),0,
           IF(OFFSET(PLE!$G$15,$M41-$A$15,AY$13)="",10^12,OFFSET(PLE!$G$15,$M41-$A$15,AY$13)))</f>
        <v>1000000000000</v>
      </c>
      <c r="AZ41" s="179">
        <f ca="1">IF(OR($D41&lt;&gt;"Serviço",AND(AUTOEVENTO="Manual",$M41=$A$15),$M41&gt;(ROW(PLE.lastrow)-ROW(PLE.firstrow))),0,
           IF(OFFSET(PLE!$G$15,$M41-$A$15,AZ$13)="",10^12,OFFSET(PLE!$G$15,$M41-$A$15,AZ$13)))</f>
        <v>1000000000000</v>
      </c>
      <c r="BA41" s="179">
        <f ca="1">IF(OR($D41&lt;&gt;"Serviço",AND(AUTOEVENTO="Manual",$M41=$A$15),$M41&gt;(ROW(PLE.lastrow)-ROW(PLE.firstrow))),0,
           IF(OFFSET(PLE!$G$15,$M41-$A$15,BA$13)="",10^12,OFFSET(PLE!$G$15,$M41-$A$15,BA$13)))</f>
        <v>1000000000000</v>
      </c>
      <c r="BB41" s="179">
        <f ca="1">IF(OR($D41&lt;&gt;"Serviço",AND(AUTOEVENTO="Manual",$M41=$A$15),$M41&gt;(ROW(PLE.lastrow)-ROW(PLE.firstrow))),0,
           IF(OFFSET(PLE!$G$15,$M41-$A$15,BB$13)="",10^12,OFFSET(PLE!$G$15,$M41-$A$15,BB$13)))</f>
        <v>1000000000000</v>
      </c>
      <c r="BC41" s="179">
        <f ca="1">IF(OR($D41&lt;&gt;"Serviço",AND(AUTOEVENTO="Manual",$M41=$A$15),$M41&gt;(ROW(PLE.lastrow)-ROW(PLE.firstrow))),0,
           IF(OFFSET(PLE!$G$15,$M41-$A$15,BC$13)="",10^12,OFFSET(PLE!$G$15,$M41-$A$15,BC$13)))</f>
        <v>1000000000000</v>
      </c>
      <c r="BD41" s="179">
        <f ca="1">IF(OR($D41&lt;&gt;"Serviço",AND(AUTOEVENTO="Manual",$M41=$A$15),$M41&gt;(ROW(PLE.lastrow)-ROW(PLE.firstrow))),0,
           IF(OFFSET(PLE!$G$15,$M41-$A$15,BD$13)="",10^12,OFFSET(PLE!$G$15,$M41-$A$15,BD$13)))</f>
        <v>1000000000000</v>
      </c>
      <c r="BE41" s="179">
        <f ca="1">IF(OR($D41&lt;&gt;"Serviço",AND(AUTOEVENTO="Manual",$M41=$A$15),$M41&gt;(ROW(PLE.lastrow)-ROW(PLE.firstrow))),0,
           IF(OFFSET(PLE!$G$15,$M41-$A$15,BE$13)="",10^12,OFFSET(PLE!$G$15,$M41-$A$15,BE$13)))</f>
        <v>1000000000000</v>
      </c>
      <c r="BF41" s="179">
        <f ca="1">IF(OR($D41&lt;&gt;"Serviço",AND(AUTOEVENTO="Manual",$M41=$A$15),$M41&gt;(ROW(PLE.lastrow)-ROW(PLE.firstrow))),0,
           IF(OFFSET(PLE!$G$15,$M41-$A$15,BF$13)="",10^12,OFFSET(PLE!$G$15,$M41-$A$15,BF$13)))</f>
        <v>1000000000000</v>
      </c>
      <c r="BG41" s="179">
        <f ca="1">IF(OR($D41&lt;&gt;"Serviço",AND(AUTOEVENTO="Manual",$M41=$A$15),$M41&gt;(ROW(PLE.lastrow)-ROW(PLE.firstrow))),0,
           IF(OFFSET(PLE!$G$15,$M41-$A$15,BG$13)="",10^12,OFFSET(PLE!$G$15,$M41-$A$15,BG$13)))</f>
        <v>1000000000000</v>
      </c>
    </row>
    <row r="42" spans="1:59" ht="12.75" x14ac:dyDescent="0.2">
      <c r="A42" s="7" t="str">
        <f ca="1">IF(AUTOEVENTO="Manual",IF(K42&lt;&gt;"",MIN(VALUE(LEFT(K42,FIND(".",K42)-1)),COUNTA(EVENTOS.Lista)),0),IF(OR($B42&gt;AUTOEVENTO,$B42="S",$B42=0),SUBSTITUTE(OFFSET($A42,-1,0),IF($D42="Serviço",".",""),""),ROW(A42)-ROW($A$15)&amp;"."))</f>
        <v>27.</v>
      </c>
      <c r="B42" s="7">
        <f ca="1">OFFSET(ORÇAMENTO!C$15,ROW(B42)-ROW(B$15),0)</f>
        <v>2</v>
      </c>
      <c r="C42" s="7" t="str">
        <f ca="1">OFFSET(ORÇAMENTO!L$15,ROW(C42)-ROW(C$15),0)</f>
        <v>F</v>
      </c>
      <c r="D42" s="118" t="str">
        <f ca="1">OFFSET(ORÇAMENTO!N$15,ROW(D42)-ROW(D$15),0)</f>
        <v>Nível 2</v>
      </c>
      <c r="E42" s="119" t="str">
        <f ca="1">OFFSET(ORÇAMENTO!O$15,ROW(E42)-ROW(E$15),0)</f>
        <v>2.3.</v>
      </c>
      <c r="F42" s="170" t="str">
        <f ca="1">OFFSET(ORÇAMENTO!R$15,ROW(F42)-ROW(F$15),0)</f>
        <v>CONCRETO ARMADO - VIGAS SUPERIORES</v>
      </c>
      <c r="G42" s="171" t="str">
        <f ca="1">IF($D42&lt;&gt;"Serviço","",OFFSET(ORÇAMENTO!S$15,ROW(G42)-ROW(G$15),0))</f>
        <v/>
      </c>
      <c r="H42" s="124" cm="1">
        <f t="array" aca="1" ref="H42" ca="1">IF($D42&lt;&gt;"Serviço",0,IF(_xlfn.SINGLE(ACOMPANHAMENTO)="BM",ROUND(OFFSET(ORÇAMENTO!AJ$15,ROW(H42)-ROW(H$15),0),15-13*ORÇAMENTO!$AF$7),SUMPRODUCT(($Q$1:$AA$1)*ROUND($Q42:$AA42,15-13*ORÇAMENTO!$AF$7))))</f>
        <v>0</v>
      </c>
      <c r="I42" s="500"/>
      <c r="J42" s="633" t="str" cm="1">
        <f t="array" aca="1" ref="J42" ca="1">IF(B42&lt;&gt;"S","",IF(AND(ACOMPANHAMENTO="PLE",AUTOEVENTO="Manual",OR(H42&gt;0,ORÇAMENTO!AC42="QUANT."),OR(K42="",M42=0,N42="")),"►",IF(AND(ACOMPANHAMENTO="PLE",ORÇAMENTO!AC42="QUANT."),"►►",IF(AND(COUNTIF($P$11:$AA$11,"▼")=0,H42&gt;0,I42=""),"◄",""))))</f>
        <v/>
      </c>
      <c r="K42" s="624"/>
      <c r="L42" s="172" t="s">
        <v>253</v>
      </c>
      <c r="M42" s="173" t="str">
        <f ca="1">IF($D42&lt;&gt;"Serviço","",
          IF(AUTOEVENTO="manual",$A42,
                IF(ISERROR(MATCH($A42,$A$15:OFFSET($A42,-1,0),0)),MAX($M$15:OFFSET(M42,-1,0))+1,
                      INDEX($M$15:OFFSET(M42,-1,0),MATCH($A42,$A$15:OFFSET($A42,-1,0),0)))))</f>
        <v/>
      </c>
      <c r="N42" s="174" t="str">
        <f ca="1">IF($D42&lt;&gt;"Serviço","",
         IF(AUTOEVENTO="Manual",
                IF($A42=0,"&lt;-- defina o número do agrupador",
                       OFFSET(EVENTOS!$D$15,$A42-$A$15,0)),
                OFFSET($F$15,$A42,0)))</f>
        <v/>
      </c>
      <c r="O42" s="175"/>
      <c r="Q42" s="175"/>
      <c r="R42" s="176"/>
      <c r="S42" s="176"/>
      <c r="T42" s="176"/>
      <c r="U42" s="176"/>
      <c r="V42" s="176"/>
      <c r="W42" s="176"/>
      <c r="X42" s="176"/>
      <c r="Y42" s="176"/>
      <c r="Z42" s="177"/>
      <c r="AB42" s="485">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85">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85">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85">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85">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85">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85">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85">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85">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85">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8">
        <f ca="1">IF(OR($D42&lt;&gt;"Serviço",AND(AUTOEVENTO="Manual",$M42=$A$15)),0,
         IF(OFFSET(CRONOPLE!$F$15,$M42-$A$15,AM$13)="",10^12,OFFSET(CRONOPLE!$F$15,$M42-$A$15,AM$13)))</f>
        <v>0</v>
      </c>
      <c r="AN42" s="178">
        <f ca="1">IF(OR($D42&lt;&gt;"Serviço",AND(AUTOEVENTO="Manual",$M42=$A$15)),0,
         IF(OFFSET(CRONOPLE!$F$15,$M42-$A$15,AN$13)="",10^12,OFFSET(CRONOPLE!$F$15,$M42-$A$15,AN$13)))</f>
        <v>0</v>
      </c>
      <c r="AO42" s="178">
        <f ca="1">IF(OR($D42&lt;&gt;"Serviço",AND(AUTOEVENTO="Manual",$M42=$A$15)),0,
         IF(OFFSET(CRONOPLE!$F$15,$M42-$A$15,AO$13)="",10^12,OFFSET(CRONOPLE!$F$15,$M42-$A$15,AO$13)))</f>
        <v>0</v>
      </c>
      <c r="AP42" s="178">
        <f ca="1">IF(OR($D42&lt;&gt;"Serviço",AND(AUTOEVENTO="Manual",$M42=$A$15)),0,
         IF(OFFSET(CRONOPLE!$F$15,$M42-$A$15,AP$13)="",10^12,OFFSET(CRONOPLE!$F$15,$M42-$A$15,AP$13)))</f>
        <v>0</v>
      </c>
      <c r="AQ42" s="178">
        <f ca="1">IF(OR($D42&lt;&gt;"Serviço",AND(AUTOEVENTO="Manual",$M42=$A$15)),0,
         IF(OFFSET(CRONOPLE!$F$15,$M42-$A$15,AQ$13)="",10^12,OFFSET(CRONOPLE!$F$15,$M42-$A$15,AQ$13)))</f>
        <v>0</v>
      </c>
      <c r="AR42" s="178">
        <f ca="1">IF(OR($D42&lt;&gt;"Serviço",AND(AUTOEVENTO="Manual",$M42=$A$15)),0,
         IF(OFFSET(CRONOPLE!$F$15,$M42-$A$15,AR$13)="",10^12,OFFSET(CRONOPLE!$F$15,$M42-$A$15,AR$13)))</f>
        <v>0</v>
      </c>
      <c r="AS42" s="178">
        <f ca="1">IF(OR($D42&lt;&gt;"Serviço",AND(AUTOEVENTO="Manual",$M42=$A$15)),0,
         IF(OFFSET(CRONOPLE!$F$15,$M42-$A$15,AS$13)="",10^12,OFFSET(CRONOPLE!$F$15,$M42-$A$15,AS$13)))</f>
        <v>0</v>
      </c>
      <c r="AT42" s="178">
        <f ca="1">IF(OR($D42&lt;&gt;"Serviço",AND(AUTOEVENTO="Manual",$M42=$A$15)),0,
         IF(OFFSET(CRONOPLE!$F$15,$M42-$A$15,AT$13)="",10^12,OFFSET(CRONOPLE!$F$15,$M42-$A$15,AT$13)))</f>
        <v>0</v>
      </c>
      <c r="AU42" s="178">
        <f ca="1">IF(OR($D42&lt;&gt;"Serviço",AND(AUTOEVENTO="Manual",$M42=$A$15)),0,
         IF(OFFSET(CRONOPLE!$F$15,$M42-$A$15,AU$13)="",10^12,OFFSET(CRONOPLE!$F$15,$M42-$A$15,AU$13)))</f>
        <v>0</v>
      </c>
      <c r="AV42" s="178">
        <f ca="1">IF(OR($D42&lt;&gt;"Serviço",AND(AUTOEVENTO="Manual",$M42=$A$15)),0,
         IF(OFFSET(CRONOPLE!$F$15,$M42-$A$15,AV$13)="",10^12,OFFSET(CRONOPLE!$F$15,$M42-$A$15,AV$13)))</f>
        <v>0</v>
      </c>
      <c r="AX42" s="179">
        <f ca="1">IF(OR($D42&lt;&gt;"Serviço",AND(AUTOEVENTO="Manual",$M42=$A$15),$M42&gt;(ROW(PLE.lastrow)-ROW(PLE.firstrow))),0,
           IF(OFFSET(PLE!$G$15,$M42-$A$15,AX$13)="",10^12,OFFSET(PLE!$G$15,$M42-$A$15,AX$13)))</f>
        <v>0</v>
      </c>
      <c r="AY42" s="179">
        <f ca="1">IF(OR($D42&lt;&gt;"Serviço",AND(AUTOEVENTO="Manual",$M42=$A$15),$M42&gt;(ROW(PLE.lastrow)-ROW(PLE.firstrow))),0,
           IF(OFFSET(PLE!$G$15,$M42-$A$15,AY$13)="",10^12,OFFSET(PLE!$G$15,$M42-$A$15,AY$13)))</f>
        <v>0</v>
      </c>
      <c r="AZ42" s="179">
        <f ca="1">IF(OR($D42&lt;&gt;"Serviço",AND(AUTOEVENTO="Manual",$M42=$A$15),$M42&gt;(ROW(PLE.lastrow)-ROW(PLE.firstrow))),0,
           IF(OFFSET(PLE!$G$15,$M42-$A$15,AZ$13)="",10^12,OFFSET(PLE!$G$15,$M42-$A$15,AZ$13)))</f>
        <v>0</v>
      </c>
      <c r="BA42" s="179">
        <f ca="1">IF(OR($D42&lt;&gt;"Serviço",AND(AUTOEVENTO="Manual",$M42=$A$15),$M42&gt;(ROW(PLE.lastrow)-ROW(PLE.firstrow))),0,
           IF(OFFSET(PLE!$G$15,$M42-$A$15,BA$13)="",10^12,OFFSET(PLE!$G$15,$M42-$A$15,BA$13)))</f>
        <v>0</v>
      </c>
      <c r="BB42" s="179">
        <f ca="1">IF(OR($D42&lt;&gt;"Serviço",AND(AUTOEVENTO="Manual",$M42=$A$15),$M42&gt;(ROW(PLE.lastrow)-ROW(PLE.firstrow))),0,
           IF(OFFSET(PLE!$G$15,$M42-$A$15,BB$13)="",10^12,OFFSET(PLE!$G$15,$M42-$A$15,BB$13)))</f>
        <v>0</v>
      </c>
      <c r="BC42" s="179">
        <f ca="1">IF(OR($D42&lt;&gt;"Serviço",AND(AUTOEVENTO="Manual",$M42=$A$15),$M42&gt;(ROW(PLE.lastrow)-ROW(PLE.firstrow))),0,
           IF(OFFSET(PLE!$G$15,$M42-$A$15,BC$13)="",10^12,OFFSET(PLE!$G$15,$M42-$A$15,BC$13)))</f>
        <v>0</v>
      </c>
      <c r="BD42" s="179">
        <f ca="1">IF(OR($D42&lt;&gt;"Serviço",AND(AUTOEVENTO="Manual",$M42=$A$15),$M42&gt;(ROW(PLE.lastrow)-ROW(PLE.firstrow))),0,
           IF(OFFSET(PLE!$G$15,$M42-$A$15,BD$13)="",10^12,OFFSET(PLE!$G$15,$M42-$A$15,BD$13)))</f>
        <v>0</v>
      </c>
      <c r="BE42" s="179">
        <f ca="1">IF(OR($D42&lt;&gt;"Serviço",AND(AUTOEVENTO="Manual",$M42=$A$15),$M42&gt;(ROW(PLE.lastrow)-ROW(PLE.firstrow))),0,
           IF(OFFSET(PLE!$G$15,$M42-$A$15,BE$13)="",10^12,OFFSET(PLE!$G$15,$M42-$A$15,BE$13)))</f>
        <v>0</v>
      </c>
      <c r="BF42" s="179">
        <f ca="1">IF(OR($D42&lt;&gt;"Serviço",AND(AUTOEVENTO="Manual",$M42=$A$15),$M42&gt;(ROW(PLE.lastrow)-ROW(PLE.firstrow))),0,
           IF(OFFSET(PLE!$G$15,$M42-$A$15,BF$13)="",10^12,OFFSET(PLE!$G$15,$M42-$A$15,BF$13)))</f>
        <v>0</v>
      </c>
      <c r="BG42" s="179">
        <f ca="1">IF(OR($D42&lt;&gt;"Serviço",AND(AUTOEVENTO="Manual",$M42=$A$15),$M42&gt;(ROW(PLE.lastrow)-ROW(PLE.firstrow))),0,
           IF(OFFSET(PLE!$G$15,$M42-$A$15,BG$13)="",10^12,OFFSET(PLE!$G$15,$M42-$A$15,BG$13)))</f>
        <v>0</v>
      </c>
    </row>
    <row r="43" spans="1:59" ht="38.25" x14ac:dyDescent="0.2">
      <c r="A43" s="7" t="str">
        <f ca="1">IF(AUTOEVENTO="Manual",IF(K43&lt;&gt;"",MIN(VALUE(LEFT(K43,FIND(".",K43)-1)),COUNTA(EVENTOS.Lista)),0),IF(OR($B43&gt;AUTOEVENTO,$B43="S",$B43=0),SUBSTITUTE(OFFSET($A43,-1,0),IF($D43="Serviço",".",""),""),ROW(A43)-ROW($A$15)&amp;"."))</f>
        <v>27</v>
      </c>
      <c r="B43" s="7" t="str">
        <f ca="1">OFFSET(ORÇAMENTO!C$15,ROW(B43)-ROW(B$15),0)</f>
        <v>S</v>
      </c>
      <c r="C43" s="7" t="str">
        <f ca="1">OFFSET(ORÇAMENTO!L$15,ROW(C43)-ROW(C$15),0)</f>
        <v/>
      </c>
      <c r="D43" s="118" t="str">
        <f ca="1">OFFSET(ORÇAMENTO!N$15,ROW(D43)-ROW(D$15),0)</f>
        <v>Serviço</v>
      </c>
      <c r="E43" s="119" t="str">
        <f ca="1">OFFSET(ORÇAMENTO!O$15,ROW(E43)-ROW(E$15),0)</f>
        <v>-</v>
      </c>
      <c r="F43" s="170" t="str">
        <f ca="1">OFFSET(ORÇAMENTO!R$15,ROW(F43)-ROW(F$15),0)</f>
        <v>(abra o arquivo 'Referência 04-2026.xlsm)</v>
      </c>
      <c r="G43" s="171" t="str">
        <f ca="1">IF($D43&lt;&gt;"Serviço","",OFFSET(ORÇAMENTO!S$15,ROW(G43)-ROW(G$15),0))</f>
        <v>-</v>
      </c>
      <c r="H43" s="124" cm="1">
        <f t="array" aca="1" ref="H43" ca="1">IF($D43&lt;&gt;"Serviço",0,IF(_xlfn.SINGLE(ACOMPANHAMENTO)="BM",ROUND(OFFSET(ORÇAMENTO!AJ$15,ROW(H43)-ROW(H$15),0),15-13*ORÇAMENTO!$AF$7),SUMPRODUCT(($Q$1:$AA$1)*ROUND($Q43:$AA43,15-13*ORÇAMENTO!$AF$7))))</f>
        <v>59.4</v>
      </c>
      <c r="I43" s="500" t="s">
        <v>993</v>
      </c>
      <c r="J43" s="633" t="str" cm="1">
        <f t="array" aca="1" ref="J43" ca="1">IF(B43&lt;&gt;"S","",IF(AND(ACOMPANHAMENTO="PLE",AUTOEVENTO="Manual",OR(H43&gt;0,ORÇAMENTO!AC43="QUANT."),OR(K43="",M43=0,N43="")),"►",IF(AND(ACOMPANHAMENTO="PLE",ORÇAMENTO!AC43="QUANT."),"►►",IF(AND(COUNTIF($P$11:$AA$11,"▼")=0,H43&gt;0,I43=""),"◄",""))))</f>
        <v/>
      </c>
      <c r="K43" s="624"/>
      <c r="L43" s="172" t="s">
        <v>253</v>
      </c>
      <c r="M43" s="173">
        <f ca="1">IF($D43&lt;&gt;"Serviço","",
          IF(AUTOEVENTO="manual",$A43,
                IF(ISERROR(MATCH($A43,$A$15:OFFSET($A43,-1,0),0)),MAX($M$15:OFFSET(M43,-1,0))+1,
                      INDEX($M$15:OFFSET(M43,-1,0),MATCH($A43,$A$15:OFFSET($A43,-1,0),0)))))</f>
        <v>5</v>
      </c>
      <c r="N43" s="174" t="str">
        <f ca="1">IF($D43&lt;&gt;"Serviço","",
         IF(AUTOEVENTO="Manual",
                IF($A43=0,"&lt;-- defina o número do agrupador",
                       OFFSET(EVENTOS!$D$15,$A43-$A$15,0)),
                OFFSET($F$15,$A43,0)))</f>
        <v>CONCRETO ARMADO - VIGAS SUPERIORES</v>
      </c>
      <c r="O43" s="175"/>
      <c r="Q43" s="175">
        <f>(14+2.5+2.5+14)*0.3*2*3</f>
        <v>59.400000000000006</v>
      </c>
      <c r="R43" s="176"/>
      <c r="S43" s="176"/>
      <c r="T43" s="176"/>
      <c r="U43" s="176"/>
      <c r="V43" s="176"/>
      <c r="W43" s="176"/>
      <c r="X43" s="176"/>
      <c r="Y43" s="176"/>
      <c r="Z43" s="177"/>
      <c r="AB43" s="485">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85">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85">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85">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85">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85">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85">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85">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85">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85">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8">
        <f ca="1">IF(OR($D43&lt;&gt;"Serviço",AND(AUTOEVENTO="Manual",$M43=$A$15)),0,
         IF(OFFSET(CRONOPLE!$F$15,$M43-$A$15,AM$13)="",10^12,OFFSET(CRONOPLE!$F$15,$M43-$A$15,AM$13)))</f>
        <v>2</v>
      </c>
      <c r="AN43" s="178">
        <f ca="1">IF(OR($D43&lt;&gt;"Serviço",AND(AUTOEVENTO="Manual",$M43=$A$15)),0,
         IF(OFFSET(CRONOPLE!$F$15,$M43-$A$15,AN$13)="",10^12,OFFSET(CRONOPLE!$F$15,$M43-$A$15,AN$13)))</f>
        <v>1000000000000</v>
      </c>
      <c r="AO43" s="178">
        <f ca="1">IF(OR($D43&lt;&gt;"Serviço",AND(AUTOEVENTO="Manual",$M43=$A$15)),0,
         IF(OFFSET(CRONOPLE!$F$15,$M43-$A$15,AO$13)="",10^12,OFFSET(CRONOPLE!$F$15,$M43-$A$15,AO$13)))</f>
        <v>1000000000000</v>
      </c>
      <c r="AP43" s="178">
        <f ca="1">IF(OR($D43&lt;&gt;"Serviço",AND(AUTOEVENTO="Manual",$M43=$A$15)),0,
         IF(OFFSET(CRONOPLE!$F$15,$M43-$A$15,AP$13)="",10^12,OFFSET(CRONOPLE!$F$15,$M43-$A$15,AP$13)))</f>
        <v>1000000000000</v>
      </c>
      <c r="AQ43" s="178">
        <f ca="1">IF(OR($D43&lt;&gt;"Serviço",AND(AUTOEVENTO="Manual",$M43=$A$15)),0,
         IF(OFFSET(CRONOPLE!$F$15,$M43-$A$15,AQ$13)="",10^12,OFFSET(CRONOPLE!$F$15,$M43-$A$15,AQ$13)))</f>
        <v>1000000000000</v>
      </c>
      <c r="AR43" s="178">
        <f ca="1">IF(OR($D43&lt;&gt;"Serviço",AND(AUTOEVENTO="Manual",$M43=$A$15)),0,
         IF(OFFSET(CRONOPLE!$F$15,$M43-$A$15,AR$13)="",10^12,OFFSET(CRONOPLE!$F$15,$M43-$A$15,AR$13)))</f>
        <v>1000000000000</v>
      </c>
      <c r="AS43" s="178">
        <f ca="1">IF(OR($D43&lt;&gt;"Serviço",AND(AUTOEVENTO="Manual",$M43=$A$15)),0,
         IF(OFFSET(CRONOPLE!$F$15,$M43-$A$15,AS$13)="",10^12,OFFSET(CRONOPLE!$F$15,$M43-$A$15,AS$13)))</f>
        <v>1000000000000</v>
      </c>
      <c r="AT43" s="178">
        <f ca="1">IF(OR($D43&lt;&gt;"Serviço",AND(AUTOEVENTO="Manual",$M43=$A$15)),0,
         IF(OFFSET(CRONOPLE!$F$15,$M43-$A$15,AT$13)="",10^12,OFFSET(CRONOPLE!$F$15,$M43-$A$15,AT$13)))</f>
        <v>1000000000000</v>
      </c>
      <c r="AU43" s="178">
        <f ca="1">IF(OR($D43&lt;&gt;"Serviço",AND(AUTOEVENTO="Manual",$M43=$A$15)),0,
         IF(OFFSET(CRONOPLE!$F$15,$M43-$A$15,AU$13)="",10^12,OFFSET(CRONOPLE!$F$15,$M43-$A$15,AU$13)))</f>
        <v>1000000000000</v>
      </c>
      <c r="AV43" s="178">
        <f ca="1">IF(OR($D43&lt;&gt;"Serviço",AND(AUTOEVENTO="Manual",$M43=$A$15)),0,
         IF(OFFSET(CRONOPLE!$F$15,$M43-$A$15,AV$13)="",10^12,OFFSET(CRONOPLE!$F$15,$M43-$A$15,AV$13)))</f>
        <v>1000000000000</v>
      </c>
      <c r="AX43" s="179">
        <f ca="1">IF(OR($D43&lt;&gt;"Serviço",AND(AUTOEVENTO="Manual",$M43=$A$15),$M43&gt;(ROW(PLE.lastrow)-ROW(PLE.firstrow))),0,
           IF(OFFSET(PLE!$G$15,$M43-$A$15,AX$13)="",10^12,OFFSET(PLE!$G$15,$M43-$A$15,AX$13)))</f>
        <v>1000000000000</v>
      </c>
      <c r="AY43" s="179">
        <f ca="1">IF(OR($D43&lt;&gt;"Serviço",AND(AUTOEVENTO="Manual",$M43=$A$15),$M43&gt;(ROW(PLE.lastrow)-ROW(PLE.firstrow))),0,
           IF(OFFSET(PLE!$G$15,$M43-$A$15,AY$13)="",10^12,OFFSET(PLE!$G$15,$M43-$A$15,AY$13)))</f>
        <v>1000000000000</v>
      </c>
      <c r="AZ43" s="179">
        <f ca="1">IF(OR($D43&lt;&gt;"Serviço",AND(AUTOEVENTO="Manual",$M43=$A$15),$M43&gt;(ROW(PLE.lastrow)-ROW(PLE.firstrow))),0,
           IF(OFFSET(PLE!$G$15,$M43-$A$15,AZ$13)="",10^12,OFFSET(PLE!$G$15,$M43-$A$15,AZ$13)))</f>
        <v>1000000000000</v>
      </c>
      <c r="BA43" s="179">
        <f ca="1">IF(OR($D43&lt;&gt;"Serviço",AND(AUTOEVENTO="Manual",$M43=$A$15),$M43&gt;(ROW(PLE.lastrow)-ROW(PLE.firstrow))),0,
           IF(OFFSET(PLE!$G$15,$M43-$A$15,BA$13)="",10^12,OFFSET(PLE!$G$15,$M43-$A$15,BA$13)))</f>
        <v>1000000000000</v>
      </c>
      <c r="BB43" s="179">
        <f ca="1">IF(OR($D43&lt;&gt;"Serviço",AND(AUTOEVENTO="Manual",$M43=$A$15),$M43&gt;(ROW(PLE.lastrow)-ROW(PLE.firstrow))),0,
           IF(OFFSET(PLE!$G$15,$M43-$A$15,BB$13)="",10^12,OFFSET(PLE!$G$15,$M43-$A$15,BB$13)))</f>
        <v>1000000000000</v>
      </c>
      <c r="BC43" s="179">
        <f ca="1">IF(OR($D43&lt;&gt;"Serviço",AND(AUTOEVENTO="Manual",$M43=$A$15),$M43&gt;(ROW(PLE.lastrow)-ROW(PLE.firstrow))),0,
           IF(OFFSET(PLE!$G$15,$M43-$A$15,BC$13)="",10^12,OFFSET(PLE!$G$15,$M43-$A$15,BC$13)))</f>
        <v>1000000000000</v>
      </c>
      <c r="BD43" s="179">
        <f ca="1">IF(OR($D43&lt;&gt;"Serviço",AND(AUTOEVENTO="Manual",$M43=$A$15),$M43&gt;(ROW(PLE.lastrow)-ROW(PLE.firstrow))),0,
           IF(OFFSET(PLE!$G$15,$M43-$A$15,BD$13)="",10^12,OFFSET(PLE!$G$15,$M43-$A$15,BD$13)))</f>
        <v>1000000000000</v>
      </c>
      <c r="BE43" s="179">
        <f ca="1">IF(OR($D43&lt;&gt;"Serviço",AND(AUTOEVENTO="Manual",$M43=$A$15),$M43&gt;(ROW(PLE.lastrow)-ROW(PLE.firstrow))),0,
           IF(OFFSET(PLE!$G$15,$M43-$A$15,BE$13)="",10^12,OFFSET(PLE!$G$15,$M43-$A$15,BE$13)))</f>
        <v>1000000000000</v>
      </c>
      <c r="BF43" s="179">
        <f ca="1">IF(OR($D43&lt;&gt;"Serviço",AND(AUTOEVENTO="Manual",$M43=$A$15),$M43&gt;(ROW(PLE.lastrow)-ROW(PLE.firstrow))),0,
           IF(OFFSET(PLE!$G$15,$M43-$A$15,BF$13)="",10^12,OFFSET(PLE!$G$15,$M43-$A$15,BF$13)))</f>
        <v>1000000000000</v>
      </c>
      <c r="BG43" s="179">
        <f ca="1">IF(OR($D43&lt;&gt;"Serviço",AND(AUTOEVENTO="Manual",$M43=$A$15),$M43&gt;(ROW(PLE.lastrow)-ROW(PLE.firstrow))),0,
           IF(OFFSET(PLE!$G$15,$M43-$A$15,BG$13)="",10^12,OFFSET(PLE!$G$15,$M43-$A$15,BG$13)))</f>
        <v>1000000000000</v>
      </c>
    </row>
    <row r="44" spans="1:59" ht="38.25" x14ac:dyDescent="0.2">
      <c r="A44" s="7" t="str">
        <f ca="1">IF(AUTOEVENTO="Manual",IF(K44&lt;&gt;"",MIN(VALUE(LEFT(K44,FIND(".",K44)-1)),COUNTA(EVENTOS.Lista)),0),IF(OR($B44&gt;AUTOEVENTO,$B44="S",$B44=0),SUBSTITUTE(OFFSET($A44,-1,0),IF($D44="Serviço",".",""),""),ROW(A44)-ROW($A$15)&amp;"."))</f>
        <v>27</v>
      </c>
      <c r="B44" s="7" t="str">
        <f ca="1">OFFSET(ORÇAMENTO!C$15,ROW(B44)-ROW(B$15),0)</f>
        <v>S</v>
      </c>
      <c r="C44" s="7" t="str">
        <f ca="1">OFFSET(ORÇAMENTO!L$15,ROW(C44)-ROW(C$15),0)</f>
        <v/>
      </c>
      <c r="D44" s="118" t="str">
        <f ca="1">OFFSET(ORÇAMENTO!N$15,ROW(D44)-ROW(D$15),0)</f>
        <v>Serviço</v>
      </c>
      <c r="E44" s="119" t="str">
        <f ca="1">OFFSET(ORÇAMENTO!O$15,ROW(E44)-ROW(E$15),0)</f>
        <v>-</v>
      </c>
      <c r="F44" s="170" t="str">
        <f ca="1">OFFSET(ORÇAMENTO!R$15,ROW(F44)-ROW(F$15),0)</f>
        <v>(abra o arquivo 'Referência 04-2026.xlsm)</v>
      </c>
      <c r="G44" s="171" t="str">
        <f ca="1">IF($D44&lt;&gt;"Serviço","",OFFSET(ORÇAMENTO!S$15,ROW(G44)-ROW(G$15),0))</f>
        <v>-</v>
      </c>
      <c r="H44" s="124" cm="1">
        <f t="array" aca="1" ref="H44" ca="1">IF($D44&lt;&gt;"Serviço",0,IF(_xlfn.SINGLE(ACOMPANHAMENTO)="BM",ROUND(OFFSET(ORÇAMENTO!AJ$15,ROW(H44)-ROW(H$15),0),15-13*ORÇAMENTO!$AF$7),SUMPRODUCT(($Q$1:$AA$1)*ROUND($Q44:$AA44,15-13*ORÇAMENTO!$AF$7))))</f>
        <v>248.43</v>
      </c>
      <c r="I44" s="500" t="s">
        <v>992</v>
      </c>
      <c r="J44" s="633" t="str" cm="1">
        <f t="array" aca="1" ref="J44" ca="1">IF(B44&lt;&gt;"S","",IF(AND(ACOMPANHAMENTO="PLE",AUTOEVENTO="Manual",OR(H44&gt;0,ORÇAMENTO!AC44="QUANT."),OR(K44="",M44=0,N44="")),"►",IF(AND(ACOMPANHAMENTO="PLE",ORÇAMENTO!AC44="QUANT."),"►►",IF(AND(COUNTIF($P$11:$AA$11,"▼")=0,H44&gt;0,I44=""),"◄",""))))</f>
        <v/>
      </c>
      <c r="K44" s="624"/>
      <c r="L44" s="172" t="s">
        <v>253</v>
      </c>
      <c r="M44" s="173">
        <f ca="1">IF($D44&lt;&gt;"Serviço","",
          IF(AUTOEVENTO="manual",$A44,
                IF(ISERROR(MATCH($A44,$A$15:OFFSET($A44,-1,0),0)),MAX($M$15:OFFSET(M44,-1,0))+1,
                      INDEX($M$15:OFFSET(M44,-1,0),MATCH($A44,$A$15:OFFSET($A44,-1,0),0)))))</f>
        <v>5</v>
      </c>
      <c r="N44" s="174" t="str">
        <f ca="1">IF($D44&lt;&gt;"Serviço","",
         IF(AUTOEVENTO="Manual",
                IF($A44=0,"&lt;-- defina o número do agrupador",
                       OFFSET(EVENTOS!$D$15,$A44-$A$15,0)),
                OFFSET($F$15,$A44,0)))</f>
        <v>CONCRETO ARMADO - VIGAS SUPERIORES</v>
      </c>
      <c r="O44" s="175"/>
      <c r="Q44" s="175">
        <f>(14+2.5+2.5+14+2.5)*4*0.386*3+(2.5*2+0.9*2)*4*4*0.386*2</f>
        <v>248.42959999999999</v>
      </c>
      <c r="R44" s="176"/>
      <c r="S44" s="176"/>
      <c r="T44" s="176"/>
      <c r="U44" s="176"/>
      <c r="V44" s="176"/>
      <c r="W44" s="176"/>
      <c r="X44" s="176"/>
      <c r="Y44" s="176"/>
      <c r="Z44" s="177"/>
      <c r="AB44" s="485">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85">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85">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85">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85">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85">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85">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85">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85">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85">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8">
        <f ca="1">IF(OR($D44&lt;&gt;"Serviço",AND(AUTOEVENTO="Manual",$M44=$A$15)),0,
         IF(OFFSET(CRONOPLE!$F$15,$M44-$A$15,AM$13)="",10^12,OFFSET(CRONOPLE!$F$15,$M44-$A$15,AM$13)))</f>
        <v>2</v>
      </c>
      <c r="AN44" s="178">
        <f ca="1">IF(OR($D44&lt;&gt;"Serviço",AND(AUTOEVENTO="Manual",$M44=$A$15)),0,
         IF(OFFSET(CRONOPLE!$F$15,$M44-$A$15,AN$13)="",10^12,OFFSET(CRONOPLE!$F$15,$M44-$A$15,AN$13)))</f>
        <v>1000000000000</v>
      </c>
      <c r="AO44" s="178">
        <f ca="1">IF(OR($D44&lt;&gt;"Serviço",AND(AUTOEVENTO="Manual",$M44=$A$15)),0,
         IF(OFFSET(CRONOPLE!$F$15,$M44-$A$15,AO$13)="",10^12,OFFSET(CRONOPLE!$F$15,$M44-$A$15,AO$13)))</f>
        <v>1000000000000</v>
      </c>
      <c r="AP44" s="178">
        <f ca="1">IF(OR($D44&lt;&gt;"Serviço",AND(AUTOEVENTO="Manual",$M44=$A$15)),0,
         IF(OFFSET(CRONOPLE!$F$15,$M44-$A$15,AP$13)="",10^12,OFFSET(CRONOPLE!$F$15,$M44-$A$15,AP$13)))</f>
        <v>1000000000000</v>
      </c>
      <c r="AQ44" s="178">
        <f ca="1">IF(OR($D44&lt;&gt;"Serviço",AND(AUTOEVENTO="Manual",$M44=$A$15)),0,
         IF(OFFSET(CRONOPLE!$F$15,$M44-$A$15,AQ$13)="",10^12,OFFSET(CRONOPLE!$F$15,$M44-$A$15,AQ$13)))</f>
        <v>1000000000000</v>
      </c>
      <c r="AR44" s="178">
        <f ca="1">IF(OR($D44&lt;&gt;"Serviço",AND(AUTOEVENTO="Manual",$M44=$A$15)),0,
         IF(OFFSET(CRONOPLE!$F$15,$M44-$A$15,AR$13)="",10^12,OFFSET(CRONOPLE!$F$15,$M44-$A$15,AR$13)))</f>
        <v>1000000000000</v>
      </c>
      <c r="AS44" s="178">
        <f ca="1">IF(OR($D44&lt;&gt;"Serviço",AND(AUTOEVENTO="Manual",$M44=$A$15)),0,
         IF(OFFSET(CRONOPLE!$F$15,$M44-$A$15,AS$13)="",10^12,OFFSET(CRONOPLE!$F$15,$M44-$A$15,AS$13)))</f>
        <v>1000000000000</v>
      </c>
      <c r="AT44" s="178">
        <f ca="1">IF(OR($D44&lt;&gt;"Serviço",AND(AUTOEVENTO="Manual",$M44=$A$15)),0,
         IF(OFFSET(CRONOPLE!$F$15,$M44-$A$15,AT$13)="",10^12,OFFSET(CRONOPLE!$F$15,$M44-$A$15,AT$13)))</f>
        <v>1000000000000</v>
      </c>
      <c r="AU44" s="178">
        <f ca="1">IF(OR($D44&lt;&gt;"Serviço",AND(AUTOEVENTO="Manual",$M44=$A$15)),0,
         IF(OFFSET(CRONOPLE!$F$15,$M44-$A$15,AU$13)="",10^12,OFFSET(CRONOPLE!$F$15,$M44-$A$15,AU$13)))</f>
        <v>1000000000000</v>
      </c>
      <c r="AV44" s="178">
        <f ca="1">IF(OR($D44&lt;&gt;"Serviço",AND(AUTOEVENTO="Manual",$M44=$A$15)),0,
         IF(OFFSET(CRONOPLE!$F$15,$M44-$A$15,AV$13)="",10^12,OFFSET(CRONOPLE!$F$15,$M44-$A$15,AV$13)))</f>
        <v>1000000000000</v>
      </c>
      <c r="AX44" s="179">
        <f ca="1">IF(OR($D44&lt;&gt;"Serviço",AND(AUTOEVENTO="Manual",$M44=$A$15),$M44&gt;(ROW(PLE.lastrow)-ROW(PLE.firstrow))),0,
           IF(OFFSET(PLE!$G$15,$M44-$A$15,AX$13)="",10^12,OFFSET(PLE!$G$15,$M44-$A$15,AX$13)))</f>
        <v>1000000000000</v>
      </c>
      <c r="AY44" s="179">
        <f ca="1">IF(OR($D44&lt;&gt;"Serviço",AND(AUTOEVENTO="Manual",$M44=$A$15),$M44&gt;(ROW(PLE.lastrow)-ROW(PLE.firstrow))),0,
           IF(OFFSET(PLE!$G$15,$M44-$A$15,AY$13)="",10^12,OFFSET(PLE!$G$15,$M44-$A$15,AY$13)))</f>
        <v>1000000000000</v>
      </c>
      <c r="AZ44" s="179">
        <f ca="1">IF(OR($D44&lt;&gt;"Serviço",AND(AUTOEVENTO="Manual",$M44=$A$15),$M44&gt;(ROW(PLE.lastrow)-ROW(PLE.firstrow))),0,
           IF(OFFSET(PLE!$G$15,$M44-$A$15,AZ$13)="",10^12,OFFSET(PLE!$G$15,$M44-$A$15,AZ$13)))</f>
        <v>1000000000000</v>
      </c>
      <c r="BA44" s="179">
        <f ca="1">IF(OR($D44&lt;&gt;"Serviço",AND(AUTOEVENTO="Manual",$M44=$A$15),$M44&gt;(ROW(PLE.lastrow)-ROW(PLE.firstrow))),0,
           IF(OFFSET(PLE!$G$15,$M44-$A$15,BA$13)="",10^12,OFFSET(PLE!$G$15,$M44-$A$15,BA$13)))</f>
        <v>1000000000000</v>
      </c>
      <c r="BB44" s="179">
        <f ca="1">IF(OR($D44&lt;&gt;"Serviço",AND(AUTOEVENTO="Manual",$M44=$A$15),$M44&gt;(ROW(PLE.lastrow)-ROW(PLE.firstrow))),0,
           IF(OFFSET(PLE!$G$15,$M44-$A$15,BB$13)="",10^12,OFFSET(PLE!$G$15,$M44-$A$15,BB$13)))</f>
        <v>1000000000000</v>
      </c>
      <c r="BC44" s="179">
        <f ca="1">IF(OR($D44&lt;&gt;"Serviço",AND(AUTOEVENTO="Manual",$M44=$A$15),$M44&gt;(ROW(PLE.lastrow)-ROW(PLE.firstrow))),0,
           IF(OFFSET(PLE!$G$15,$M44-$A$15,BC$13)="",10^12,OFFSET(PLE!$G$15,$M44-$A$15,BC$13)))</f>
        <v>1000000000000</v>
      </c>
      <c r="BD44" s="179">
        <f ca="1">IF(OR($D44&lt;&gt;"Serviço",AND(AUTOEVENTO="Manual",$M44=$A$15),$M44&gt;(ROW(PLE.lastrow)-ROW(PLE.firstrow))),0,
           IF(OFFSET(PLE!$G$15,$M44-$A$15,BD$13)="",10^12,OFFSET(PLE!$G$15,$M44-$A$15,BD$13)))</f>
        <v>1000000000000</v>
      </c>
      <c r="BE44" s="179">
        <f ca="1">IF(OR($D44&lt;&gt;"Serviço",AND(AUTOEVENTO="Manual",$M44=$A$15),$M44&gt;(ROW(PLE.lastrow)-ROW(PLE.firstrow))),0,
           IF(OFFSET(PLE!$G$15,$M44-$A$15,BE$13)="",10^12,OFFSET(PLE!$G$15,$M44-$A$15,BE$13)))</f>
        <v>1000000000000</v>
      </c>
      <c r="BF44" s="179">
        <f ca="1">IF(OR($D44&lt;&gt;"Serviço",AND(AUTOEVENTO="Manual",$M44=$A$15),$M44&gt;(ROW(PLE.lastrow)-ROW(PLE.firstrow))),0,
           IF(OFFSET(PLE!$G$15,$M44-$A$15,BF$13)="",10^12,OFFSET(PLE!$G$15,$M44-$A$15,BF$13)))</f>
        <v>1000000000000</v>
      </c>
      <c r="BG44" s="179">
        <f ca="1">IF(OR($D44&lt;&gt;"Serviço",AND(AUTOEVENTO="Manual",$M44=$A$15),$M44&gt;(ROW(PLE.lastrow)-ROW(PLE.firstrow))),0,
           IF(OFFSET(PLE!$G$15,$M44-$A$15,BG$13)="",10^12,OFFSET(PLE!$G$15,$M44-$A$15,BG$13)))</f>
        <v>1000000000000</v>
      </c>
    </row>
    <row r="45" spans="1:59" ht="38.25" x14ac:dyDescent="0.2">
      <c r="A45" s="7" t="str">
        <f ca="1">IF(AUTOEVENTO="Manual",IF(K45&lt;&gt;"",MIN(VALUE(LEFT(K45,FIND(".",K45)-1)),COUNTA(EVENTOS.Lista)),0),IF(OR($B45&gt;AUTOEVENTO,$B45="S",$B45=0),SUBSTITUTE(OFFSET($A45,-1,0),IF($D45="Serviço",".",""),""),ROW(A45)-ROW($A$15)&amp;"."))</f>
        <v>27</v>
      </c>
      <c r="B45" s="7" t="str">
        <f ca="1">OFFSET(ORÇAMENTO!C$15,ROW(B45)-ROW(B$15),0)</f>
        <v>S</v>
      </c>
      <c r="C45" s="7" t="str">
        <f ca="1">OFFSET(ORÇAMENTO!L$15,ROW(C45)-ROW(C$15),0)</f>
        <v/>
      </c>
      <c r="D45" s="118" t="str">
        <f ca="1">OFFSET(ORÇAMENTO!N$15,ROW(D45)-ROW(D$15),0)</f>
        <v>Serviço</v>
      </c>
      <c r="E45" s="119" t="str">
        <f ca="1">OFFSET(ORÇAMENTO!O$15,ROW(E45)-ROW(E$15),0)</f>
        <v>-</v>
      </c>
      <c r="F45" s="170" t="str">
        <f ca="1">OFFSET(ORÇAMENTO!R$15,ROW(F45)-ROW(F$15),0)</f>
        <v>(abra o arquivo 'Referência 04-2026.xlsm)</v>
      </c>
      <c r="G45" s="171" t="str">
        <f ca="1">IF($D45&lt;&gt;"Serviço","",OFFSET(ORÇAMENTO!S$15,ROW(G45)-ROW(G$15),0))</f>
        <v>-</v>
      </c>
      <c r="H45" s="124" cm="1">
        <f t="array" aca="1" ref="H45" ca="1">IF($D45&lt;&gt;"Serviço",0,IF(_xlfn.SINGLE(ACOMPANHAMENTO)="BM",ROUND(OFFSET(ORÇAMENTO!AJ$15,ROW(H45)-ROW(H$15),0),15-13*ORÇAMENTO!$AF$7),SUMPRODUCT(($Q$1:$AA$1)*ROUND($Q45:$AA45,15-13*ORÇAMENTO!$AF$7))))</f>
        <v>158.47</v>
      </c>
      <c r="I45" s="500" t="s">
        <v>994</v>
      </c>
      <c r="J45" s="633" t="str" cm="1">
        <f t="array" aca="1" ref="J45" ca="1">IF(B45&lt;&gt;"S","",IF(AND(ACOMPANHAMENTO="PLE",AUTOEVENTO="Manual",OR(H45&gt;0,ORÇAMENTO!AC45="QUANT."),OR(K45="",M45=0,N45="")),"►",IF(AND(ACOMPANHAMENTO="PLE",ORÇAMENTO!AC45="QUANT."),"►►",IF(AND(COUNTIF($P$11:$AA$11,"▼")=0,H45&gt;0,I45=""),"◄",""))))</f>
        <v/>
      </c>
      <c r="K45" s="624"/>
      <c r="L45" s="172" t="s">
        <v>253</v>
      </c>
      <c r="M45" s="173">
        <f ca="1">IF($D45&lt;&gt;"Serviço","",
          IF(AUTOEVENTO="manual",$A45,
                IF(ISERROR(MATCH($A45,$A$15:OFFSET($A45,-1,0),0)),MAX($M$15:OFFSET(M45,-1,0))+1,
                      INDEX($M$15:OFFSET(M45,-1,0),MATCH($A45,$A$15:OFFSET($A45,-1,0),0)))))</f>
        <v>5</v>
      </c>
      <c r="N45" s="174" t="str">
        <f ca="1">IF($D45&lt;&gt;"Serviço","",
         IF(AUTOEVENTO="Manual",
                IF($A45=0,"&lt;-- defina o número do agrupador",
                       OFFSET(EVENTOS!$D$15,$A45-$A$15,0)),
                OFFSET($F$15,$A45,0)))</f>
        <v>CONCRETO ARMADO - VIGAS SUPERIORES</v>
      </c>
      <c r="O45" s="175"/>
      <c r="Q45" s="175">
        <f>0.154*(14+2.5+2.5+14+14+2.5)/0.15*(0.15+0.15+0.15+0.15+0.1)*3+0.154*(2*2.5*0.9*2)/0.15*(0.15+0.15+0.15+0.15+0.1)*2*4</f>
        <v>158.46600000000001</v>
      </c>
      <c r="R45" s="176"/>
      <c r="S45" s="176"/>
      <c r="T45" s="176"/>
      <c r="U45" s="176"/>
      <c r="V45" s="176"/>
      <c r="W45" s="176"/>
      <c r="X45" s="176"/>
      <c r="Y45" s="176"/>
      <c r="Z45" s="177"/>
      <c r="AB45" s="485">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85">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85">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85">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85">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85">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85">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85">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85">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85">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8">
        <f ca="1">IF(OR($D45&lt;&gt;"Serviço",AND(AUTOEVENTO="Manual",$M45=$A$15)),0,
         IF(OFFSET(CRONOPLE!$F$15,$M45-$A$15,AM$13)="",10^12,OFFSET(CRONOPLE!$F$15,$M45-$A$15,AM$13)))</f>
        <v>2</v>
      </c>
      <c r="AN45" s="178">
        <f ca="1">IF(OR($D45&lt;&gt;"Serviço",AND(AUTOEVENTO="Manual",$M45=$A$15)),0,
         IF(OFFSET(CRONOPLE!$F$15,$M45-$A$15,AN$13)="",10^12,OFFSET(CRONOPLE!$F$15,$M45-$A$15,AN$13)))</f>
        <v>1000000000000</v>
      </c>
      <c r="AO45" s="178">
        <f ca="1">IF(OR($D45&lt;&gt;"Serviço",AND(AUTOEVENTO="Manual",$M45=$A$15)),0,
         IF(OFFSET(CRONOPLE!$F$15,$M45-$A$15,AO$13)="",10^12,OFFSET(CRONOPLE!$F$15,$M45-$A$15,AO$13)))</f>
        <v>1000000000000</v>
      </c>
      <c r="AP45" s="178">
        <f ca="1">IF(OR($D45&lt;&gt;"Serviço",AND(AUTOEVENTO="Manual",$M45=$A$15)),0,
         IF(OFFSET(CRONOPLE!$F$15,$M45-$A$15,AP$13)="",10^12,OFFSET(CRONOPLE!$F$15,$M45-$A$15,AP$13)))</f>
        <v>1000000000000</v>
      </c>
      <c r="AQ45" s="178">
        <f ca="1">IF(OR($D45&lt;&gt;"Serviço",AND(AUTOEVENTO="Manual",$M45=$A$15)),0,
         IF(OFFSET(CRONOPLE!$F$15,$M45-$A$15,AQ$13)="",10^12,OFFSET(CRONOPLE!$F$15,$M45-$A$15,AQ$13)))</f>
        <v>1000000000000</v>
      </c>
      <c r="AR45" s="178">
        <f ca="1">IF(OR($D45&lt;&gt;"Serviço",AND(AUTOEVENTO="Manual",$M45=$A$15)),0,
         IF(OFFSET(CRONOPLE!$F$15,$M45-$A$15,AR$13)="",10^12,OFFSET(CRONOPLE!$F$15,$M45-$A$15,AR$13)))</f>
        <v>1000000000000</v>
      </c>
      <c r="AS45" s="178">
        <f ca="1">IF(OR($D45&lt;&gt;"Serviço",AND(AUTOEVENTO="Manual",$M45=$A$15)),0,
         IF(OFFSET(CRONOPLE!$F$15,$M45-$A$15,AS$13)="",10^12,OFFSET(CRONOPLE!$F$15,$M45-$A$15,AS$13)))</f>
        <v>1000000000000</v>
      </c>
      <c r="AT45" s="178">
        <f ca="1">IF(OR($D45&lt;&gt;"Serviço",AND(AUTOEVENTO="Manual",$M45=$A$15)),0,
         IF(OFFSET(CRONOPLE!$F$15,$M45-$A$15,AT$13)="",10^12,OFFSET(CRONOPLE!$F$15,$M45-$A$15,AT$13)))</f>
        <v>1000000000000</v>
      </c>
      <c r="AU45" s="178">
        <f ca="1">IF(OR($D45&lt;&gt;"Serviço",AND(AUTOEVENTO="Manual",$M45=$A$15)),0,
         IF(OFFSET(CRONOPLE!$F$15,$M45-$A$15,AU$13)="",10^12,OFFSET(CRONOPLE!$F$15,$M45-$A$15,AU$13)))</f>
        <v>1000000000000</v>
      </c>
      <c r="AV45" s="178">
        <f ca="1">IF(OR($D45&lt;&gt;"Serviço",AND(AUTOEVENTO="Manual",$M45=$A$15)),0,
         IF(OFFSET(CRONOPLE!$F$15,$M45-$A$15,AV$13)="",10^12,OFFSET(CRONOPLE!$F$15,$M45-$A$15,AV$13)))</f>
        <v>1000000000000</v>
      </c>
      <c r="AX45" s="179">
        <f ca="1">IF(OR($D45&lt;&gt;"Serviço",AND(AUTOEVENTO="Manual",$M45=$A$15),$M45&gt;(ROW(PLE.lastrow)-ROW(PLE.firstrow))),0,
           IF(OFFSET(PLE!$G$15,$M45-$A$15,AX$13)="",10^12,OFFSET(PLE!$G$15,$M45-$A$15,AX$13)))</f>
        <v>1000000000000</v>
      </c>
      <c r="AY45" s="179">
        <f ca="1">IF(OR($D45&lt;&gt;"Serviço",AND(AUTOEVENTO="Manual",$M45=$A$15),$M45&gt;(ROW(PLE.lastrow)-ROW(PLE.firstrow))),0,
           IF(OFFSET(PLE!$G$15,$M45-$A$15,AY$13)="",10^12,OFFSET(PLE!$G$15,$M45-$A$15,AY$13)))</f>
        <v>1000000000000</v>
      </c>
      <c r="AZ45" s="179">
        <f ca="1">IF(OR($D45&lt;&gt;"Serviço",AND(AUTOEVENTO="Manual",$M45=$A$15),$M45&gt;(ROW(PLE.lastrow)-ROW(PLE.firstrow))),0,
           IF(OFFSET(PLE!$G$15,$M45-$A$15,AZ$13)="",10^12,OFFSET(PLE!$G$15,$M45-$A$15,AZ$13)))</f>
        <v>1000000000000</v>
      </c>
      <c r="BA45" s="179">
        <f ca="1">IF(OR($D45&lt;&gt;"Serviço",AND(AUTOEVENTO="Manual",$M45=$A$15),$M45&gt;(ROW(PLE.lastrow)-ROW(PLE.firstrow))),0,
           IF(OFFSET(PLE!$G$15,$M45-$A$15,BA$13)="",10^12,OFFSET(PLE!$G$15,$M45-$A$15,BA$13)))</f>
        <v>1000000000000</v>
      </c>
      <c r="BB45" s="179">
        <f ca="1">IF(OR($D45&lt;&gt;"Serviço",AND(AUTOEVENTO="Manual",$M45=$A$15),$M45&gt;(ROW(PLE.lastrow)-ROW(PLE.firstrow))),0,
           IF(OFFSET(PLE!$G$15,$M45-$A$15,BB$13)="",10^12,OFFSET(PLE!$G$15,$M45-$A$15,BB$13)))</f>
        <v>1000000000000</v>
      </c>
      <c r="BC45" s="179">
        <f ca="1">IF(OR($D45&lt;&gt;"Serviço",AND(AUTOEVENTO="Manual",$M45=$A$15),$M45&gt;(ROW(PLE.lastrow)-ROW(PLE.firstrow))),0,
           IF(OFFSET(PLE!$G$15,$M45-$A$15,BC$13)="",10^12,OFFSET(PLE!$G$15,$M45-$A$15,BC$13)))</f>
        <v>1000000000000</v>
      </c>
      <c r="BD45" s="179">
        <f ca="1">IF(OR($D45&lt;&gt;"Serviço",AND(AUTOEVENTO="Manual",$M45=$A$15),$M45&gt;(ROW(PLE.lastrow)-ROW(PLE.firstrow))),0,
           IF(OFFSET(PLE!$G$15,$M45-$A$15,BD$13)="",10^12,OFFSET(PLE!$G$15,$M45-$A$15,BD$13)))</f>
        <v>1000000000000</v>
      </c>
      <c r="BE45" s="179">
        <f ca="1">IF(OR($D45&lt;&gt;"Serviço",AND(AUTOEVENTO="Manual",$M45=$A$15),$M45&gt;(ROW(PLE.lastrow)-ROW(PLE.firstrow))),0,
           IF(OFFSET(PLE!$G$15,$M45-$A$15,BE$13)="",10^12,OFFSET(PLE!$G$15,$M45-$A$15,BE$13)))</f>
        <v>1000000000000</v>
      </c>
      <c r="BF45" s="179">
        <f ca="1">IF(OR($D45&lt;&gt;"Serviço",AND(AUTOEVENTO="Manual",$M45=$A$15),$M45&gt;(ROW(PLE.lastrow)-ROW(PLE.firstrow))),0,
           IF(OFFSET(PLE!$G$15,$M45-$A$15,BF$13)="",10^12,OFFSET(PLE!$G$15,$M45-$A$15,BF$13)))</f>
        <v>1000000000000</v>
      </c>
      <c r="BG45" s="179">
        <f ca="1">IF(OR($D45&lt;&gt;"Serviço",AND(AUTOEVENTO="Manual",$M45=$A$15),$M45&gt;(ROW(PLE.lastrow)-ROW(PLE.firstrow))),0,
           IF(OFFSET(PLE!$G$15,$M45-$A$15,BG$13)="",10^12,OFFSET(PLE!$G$15,$M45-$A$15,BG$13)))</f>
        <v>1000000000000</v>
      </c>
    </row>
    <row r="46" spans="1:59" ht="38.25" x14ac:dyDescent="0.2">
      <c r="A46" s="7" t="str">
        <f ca="1">IF(AUTOEVENTO="Manual",IF(K46&lt;&gt;"",MIN(VALUE(LEFT(K46,FIND(".",K46)-1)),COUNTA(EVENTOS.Lista)),0),IF(OR($B46&gt;AUTOEVENTO,$B46="S",$B46=0),SUBSTITUTE(OFFSET($A46,-1,0),IF($D46="Serviço",".",""),""),ROW(A46)-ROW($A$15)&amp;"."))</f>
        <v>27</v>
      </c>
      <c r="B46" s="7" t="str">
        <f ca="1">OFFSET(ORÇAMENTO!C$15,ROW(B46)-ROW(B$15),0)</f>
        <v>S</v>
      </c>
      <c r="C46" s="7" t="str">
        <f ca="1">OFFSET(ORÇAMENTO!L$15,ROW(C46)-ROW(C$15),0)</f>
        <v/>
      </c>
      <c r="D46" s="118" t="str">
        <f ca="1">OFFSET(ORÇAMENTO!N$15,ROW(D46)-ROW(D$15),0)</f>
        <v>Serviço</v>
      </c>
      <c r="E46" s="119" t="str">
        <f ca="1">OFFSET(ORÇAMENTO!O$15,ROW(E46)-ROW(E$15),0)</f>
        <v>-</v>
      </c>
      <c r="F46" s="170" t="str">
        <f ca="1">OFFSET(ORÇAMENTO!R$15,ROW(F46)-ROW(F$15),0)</f>
        <v>(abra o arquivo 'Referência 04-2026.xlsm)</v>
      </c>
      <c r="G46" s="171" t="str">
        <f ca="1">IF($D46&lt;&gt;"Serviço","",OFFSET(ORÇAMENTO!S$15,ROW(G46)-ROW(G$15),0))</f>
        <v>-</v>
      </c>
      <c r="H46" s="124" cm="1">
        <f t="array" aca="1" ref="H46" ca="1">IF($D46&lt;&gt;"Serviço",0,IF(_xlfn.SINGLE(ACOMPANHAMENTO)="BM",ROUND(OFFSET(ORÇAMENTO!AJ$15,ROW(H46)-ROW(H$15),0),15-13*ORÇAMENTO!$AF$7),SUMPRODUCT(($Q$1:$AA$1)*ROUND($Q46:$AA46,15-13*ORÇAMENTO!$AF$7))))</f>
        <v>6.03</v>
      </c>
      <c r="I46" s="500" t="s">
        <v>995</v>
      </c>
      <c r="J46" s="633" t="str" cm="1">
        <f t="array" aca="1" ref="J46" ca="1">IF(B46&lt;&gt;"S","",IF(AND(ACOMPANHAMENTO="PLE",AUTOEVENTO="Manual",OR(H46&gt;0,ORÇAMENTO!AC46="QUANT."),OR(K46="",M46=0,N46="")),"►",IF(AND(ACOMPANHAMENTO="PLE",ORÇAMENTO!AC46="QUANT."),"►►",IF(AND(COUNTIF($P$11:$AA$11,"▼")=0,H46&gt;0,I46=""),"◄",""))))</f>
        <v/>
      </c>
      <c r="K46" s="624"/>
      <c r="L46" s="172" t="s">
        <v>253</v>
      </c>
      <c r="M46" s="173">
        <f ca="1">IF($D46&lt;&gt;"Serviço","",
          IF(AUTOEVENTO="manual",$A46,
                IF(ISERROR(MATCH($A46,$A$15:OFFSET($A46,-1,0),0)),MAX($M$15:OFFSET(M46,-1,0))+1,
                      INDEX($M$15:OFFSET(M46,-1,0),MATCH($A46,$A$15:OFFSET($A46,-1,0),0)))))</f>
        <v>5</v>
      </c>
      <c r="N46" s="174" t="str">
        <f ca="1">IF($D46&lt;&gt;"Serviço","",
         IF(AUTOEVENTO="Manual",
                IF($A46=0,"&lt;-- defina o número do agrupador",
                       OFFSET(EVENTOS!$D$15,$A46-$A$15,0)),
                OFFSET($F$15,$A46,0)))</f>
        <v>CONCRETO ARMADO - VIGAS SUPERIORES</v>
      </c>
      <c r="O46" s="175"/>
      <c r="Q46" s="175">
        <f>0.15*0.25*(14+2.5+2.5+14+2.5)*3+0.15*0.25*(2.5*2+0.9*2)*2*4</f>
        <v>6.0337500000000004</v>
      </c>
      <c r="R46" s="176"/>
      <c r="S46" s="176"/>
      <c r="T46" s="176"/>
      <c r="U46" s="176"/>
      <c r="V46" s="176"/>
      <c r="W46" s="176"/>
      <c r="X46" s="176"/>
      <c r="Y46" s="176"/>
      <c r="Z46" s="177"/>
      <c r="AB46" s="485">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85">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85">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85">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85">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85">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85">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85">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85">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85">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8">
        <f ca="1">IF(OR($D46&lt;&gt;"Serviço",AND(AUTOEVENTO="Manual",$M46=$A$15)),0,
         IF(OFFSET(CRONOPLE!$F$15,$M46-$A$15,AM$13)="",10^12,OFFSET(CRONOPLE!$F$15,$M46-$A$15,AM$13)))</f>
        <v>2</v>
      </c>
      <c r="AN46" s="178">
        <f ca="1">IF(OR($D46&lt;&gt;"Serviço",AND(AUTOEVENTO="Manual",$M46=$A$15)),0,
         IF(OFFSET(CRONOPLE!$F$15,$M46-$A$15,AN$13)="",10^12,OFFSET(CRONOPLE!$F$15,$M46-$A$15,AN$13)))</f>
        <v>1000000000000</v>
      </c>
      <c r="AO46" s="178">
        <f ca="1">IF(OR($D46&lt;&gt;"Serviço",AND(AUTOEVENTO="Manual",$M46=$A$15)),0,
         IF(OFFSET(CRONOPLE!$F$15,$M46-$A$15,AO$13)="",10^12,OFFSET(CRONOPLE!$F$15,$M46-$A$15,AO$13)))</f>
        <v>1000000000000</v>
      </c>
      <c r="AP46" s="178">
        <f ca="1">IF(OR($D46&lt;&gt;"Serviço",AND(AUTOEVENTO="Manual",$M46=$A$15)),0,
         IF(OFFSET(CRONOPLE!$F$15,$M46-$A$15,AP$13)="",10^12,OFFSET(CRONOPLE!$F$15,$M46-$A$15,AP$13)))</f>
        <v>1000000000000</v>
      </c>
      <c r="AQ46" s="178">
        <f ca="1">IF(OR($D46&lt;&gt;"Serviço",AND(AUTOEVENTO="Manual",$M46=$A$15)),0,
         IF(OFFSET(CRONOPLE!$F$15,$M46-$A$15,AQ$13)="",10^12,OFFSET(CRONOPLE!$F$15,$M46-$A$15,AQ$13)))</f>
        <v>1000000000000</v>
      </c>
      <c r="AR46" s="178">
        <f ca="1">IF(OR($D46&lt;&gt;"Serviço",AND(AUTOEVENTO="Manual",$M46=$A$15)),0,
         IF(OFFSET(CRONOPLE!$F$15,$M46-$A$15,AR$13)="",10^12,OFFSET(CRONOPLE!$F$15,$M46-$A$15,AR$13)))</f>
        <v>1000000000000</v>
      </c>
      <c r="AS46" s="178">
        <f ca="1">IF(OR($D46&lt;&gt;"Serviço",AND(AUTOEVENTO="Manual",$M46=$A$15)),0,
         IF(OFFSET(CRONOPLE!$F$15,$M46-$A$15,AS$13)="",10^12,OFFSET(CRONOPLE!$F$15,$M46-$A$15,AS$13)))</f>
        <v>1000000000000</v>
      </c>
      <c r="AT46" s="178">
        <f ca="1">IF(OR($D46&lt;&gt;"Serviço",AND(AUTOEVENTO="Manual",$M46=$A$15)),0,
         IF(OFFSET(CRONOPLE!$F$15,$M46-$A$15,AT$13)="",10^12,OFFSET(CRONOPLE!$F$15,$M46-$A$15,AT$13)))</f>
        <v>1000000000000</v>
      </c>
      <c r="AU46" s="178">
        <f ca="1">IF(OR($D46&lt;&gt;"Serviço",AND(AUTOEVENTO="Manual",$M46=$A$15)),0,
         IF(OFFSET(CRONOPLE!$F$15,$M46-$A$15,AU$13)="",10^12,OFFSET(CRONOPLE!$F$15,$M46-$A$15,AU$13)))</f>
        <v>1000000000000</v>
      </c>
      <c r="AV46" s="178">
        <f ca="1">IF(OR($D46&lt;&gt;"Serviço",AND(AUTOEVENTO="Manual",$M46=$A$15)),0,
         IF(OFFSET(CRONOPLE!$F$15,$M46-$A$15,AV$13)="",10^12,OFFSET(CRONOPLE!$F$15,$M46-$A$15,AV$13)))</f>
        <v>1000000000000</v>
      </c>
      <c r="AX46" s="179">
        <f ca="1">IF(OR($D46&lt;&gt;"Serviço",AND(AUTOEVENTO="Manual",$M46=$A$15),$M46&gt;(ROW(PLE.lastrow)-ROW(PLE.firstrow))),0,
           IF(OFFSET(PLE!$G$15,$M46-$A$15,AX$13)="",10^12,OFFSET(PLE!$G$15,$M46-$A$15,AX$13)))</f>
        <v>1000000000000</v>
      </c>
      <c r="AY46" s="179">
        <f ca="1">IF(OR($D46&lt;&gt;"Serviço",AND(AUTOEVENTO="Manual",$M46=$A$15),$M46&gt;(ROW(PLE.lastrow)-ROW(PLE.firstrow))),0,
           IF(OFFSET(PLE!$G$15,$M46-$A$15,AY$13)="",10^12,OFFSET(PLE!$G$15,$M46-$A$15,AY$13)))</f>
        <v>1000000000000</v>
      </c>
      <c r="AZ46" s="179">
        <f ca="1">IF(OR($D46&lt;&gt;"Serviço",AND(AUTOEVENTO="Manual",$M46=$A$15),$M46&gt;(ROW(PLE.lastrow)-ROW(PLE.firstrow))),0,
           IF(OFFSET(PLE!$G$15,$M46-$A$15,AZ$13)="",10^12,OFFSET(PLE!$G$15,$M46-$A$15,AZ$13)))</f>
        <v>1000000000000</v>
      </c>
      <c r="BA46" s="179">
        <f ca="1">IF(OR($D46&lt;&gt;"Serviço",AND(AUTOEVENTO="Manual",$M46=$A$15),$M46&gt;(ROW(PLE.lastrow)-ROW(PLE.firstrow))),0,
           IF(OFFSET(PLE!$G$15,$M46-$A$15,BA$13)="",10^12,OFFSET(PLE!$G$15,$M46-$A$15,BA$13)))</f>
        <v>1000000000000</v>
      </c>
      <c r="BB46" s="179">
        <f ca="1">IF(OR($D46&lt;&gt;"Serviço",AND(AUTOEVENTO="Manual",$M46=$A$15),$M46&gt;(ROW(PLE.lastrow)-ROW(PLE.firstrow))),0,
           IF(OFFSET(PLE!$G$15,$M46-$A$15,BB$13)="",10^12,OFFSET(PLE!$G$15,$M46-$A$15,BB$13)))</f>
        <v>1000000000000</v>
      </c>
      <c r="BC46" s="179">
        <f ca="1">IF(OR($D46&lt;&gt;"Serviço",AND(AUTOEVENTO="Manual",$M46=$A$15),$M46&gt;(ROW(PLE.lastrow)-ROW(PLE.firstrow))),0,
           IF(OFFSET(PLE!$G$15,$M46-$A$15,BC$13)="",10^12,OFFSET(PLE!$G$15,$M46-$A$15,BC$13)))</f>
        <v>1000000000000</v>
      </c>
      <c r="BD46" s="179">
        <f ca="1">IF(OR($D46&lt;&gt;"Serviço",AND(AUTOEVENTO="Manual",$M46=$A$15),$M46&gt;(ROW(PLE.lastrow)-ROW(PLE.firstrow))),0,
           IF(OFFSET(PLE!$G$15,$M46-$A$15,BD$13)="",10^12,OFFSET(PLE!$G$15,$M46-$A$15,BD$13)))</f>
        <v>1000000000000</v>
      </c>
      <c r="BE46" s="179">
        <f ca="1">IF(OR($D46&lt;&gt;"Serviço",AND(AUTOEVENTO="Manual",$M46=$A$15),$M46&gt;(ROW(PLE.lastrow)-ROW(PLE.firstrow))),0,
           IF(OFFSET(PLE!$G$15,$M46-$A$15,BE$13)="",10^12,OFFSET(PLE!$G$15,$M46-$A$15,BE$13)))</f>
        <v>1000000000000</v>
      </c>
      <c r="BF46" s="179">
        <f ca="1">IF(OR($D46&lt;&gt;"Serviço",AND(AUTOEVENTO="Manual",$M46=$A$15),$M46&gt;(ROW(PLE.lastrow)-ROW(PLE.firstrow))),0,
           IF(OFFSET(PLE!$G$15,$M46-$A$15,BF$13)="",10^12,OFFSET(PLE!$G$15,$M46-$A$15,BF$13)))</f>
        <v>1000000000000</v>
      </c>
      <c r="BG46" s="179">
        <f ca="1">IF(OR($D46&lt;&gt;"Serviço",AND(AUTOEVENTO="Manual",$M46=$A$15),$M46&gt;(ROW(PLE.lastrow)-ROW(PLE.firstrow))),0,
           IF(OFFSET(PLE!$G$15,$M46-$A$15,BG$13)="",10^12,OFFSET(PLE!$G$15,$M46-$A$15,BG$13)))</f>
        <v>1000000000000</v>
      </c>
    </row>
    <row r="47" spans="1:59" ht="12.75" x14ac:dyDescent="0.2">
      <c r="A47" s="7" t="str">
        <f ca="1">IF(AUTOEVENTO="Manual",IF(K47&lt;&gt;"",MIN(VALUE(LEFT(K47,FIND(".",K47)-1)),COUNTA(EVENTOS.Lista)),0),IF(OR($B47&gt;AUTOEVENTO,$B47="S",$B47=0),SUBSTITUTE(OFFSET($A47,-1,0),IF($D47="Serviço",".",""),""),ROW(A47)-ROW($A$15)&amp;"."))</f>
        <v>32.</v>
      </c>
      <c r="B47" s="7">
        <f ca="1">OFFSET(ORÇAMENTO!C$15,ROW(B47)-ROW(B$15),0)</f>
        <v>2</v>
      </c>
      <c r="C47" s="7" t="str">
        <f ca="1">OFFSET(ORÇAMENTO!L$15,ROW(C47)-ROW(C$15),0)</f>
        <v>F</v>
      </c>
      <c r="D47" s="118" t="str">
        <f ca="1">OFFSET(ORÇAMENTO!N$15,ROW(D47)-ROW(D$15),0)</f>
        <v>Nível 2</v>
      </c>
      <c r="E47" s="119" t="str">
        <f ca="1">OFFSET(ORÇAMENTO!O$15,ROW(E47)-ROW(E$15),0)</f>
        <v>2.4.</v>
      </c>
      <c r="F47" s="170" t="str">
        <f ca="1">OFFSET(ORÇAMENTO!R$15,ROW(F47)-ROW(F$15),0)</f>
        <v xml:space="preserve">PAREDES </v>
      </c>
      <c r="G47" s="171" t="str">
        <f ca="1">IF($D47&lt;&gt;"Serviço","",OFFSET(ORÇAMENTO!S$15,ROW(G47)-ROW(G$15),0))</f>
        <v/>
      </c>
      <c r="H47" s="124" cm="1">
        <f t="array" aca="1" ref="H47" ca="1">IF($D47&lt;&gt;"Serviço",0,IF(_xlfn.SINGLE(ACOMPANHAMENTO)="BM",ROUND(OFFSET(ORÇAMENTO!AJ$15,ROW(H47)-ROW(H$15),0),15-13*ORÇAMENTO!$AF$7),SUMPRODUCT(($Q$1:$AA$1)*ROUND($Q47:$AA47,15-13*ORÇAMENTO!$AF$7))))</f>
        <v>0</v>
      </c>
      <c r="I47" s="500"/>
      <c r="J47" s="633" t="str" cm="1">
        <f t="array" aca="1" ref="J47" ca="1">IF(B47&lt;&gt;"S","",IF(AND(ACOMPANHAMENTO="PLE",AUTOEVENTO="Manual",OR(H47&gt;0,ORÇAMENTO!AC47="QUANT."),OR(K47="",M47=0,N47="")),"►",IF(AND(ACOMPANHAMENTO="PLE",ORÇAMENTO!AC47="QUANT."),"►►",IF(AND(COUNTIF($P$11:$AA$11,"▼")=0,H47&gt;0,I47=""),"◄",""))))</f>
        <v/>
      </c>
      <c r="K47" s="624"/>
      <c r="L47" s="172" t="s">
        <v>253</v>
      </c>
      <c r="M47" s="173" t="str">
        <f ca="1">IF($D47&lt;&gt;"Serviço","",
          IF(AUTOEVENTO="manual",$A47,
                IF(ISERROR(MATCH($A47,$A$15:OFFSET($A47,-1,0),0)),MAX($M$15:OFFSET(M47,-1,0))+1,
                      INDEX($M$15:OFFSET(M47,-1,0),MATCH($A47,$A$15:OFFSET($A47,-1,0),0)))))</f>
        <v/>
      </c>
      <c r="N47" s="174" t="str">
        <f ca="1">IF($D47&lt;&gt;"Serviço","",
         IF(AUTOEVENTO="Manual",
                IF($A47=0,"&lt;-- defina o número do agrupador",
                       OFFSET(EVENTOS!$D$15,$A47-$A$15,0)),
                OFFSET($F$15,$A47,0)))</f>
        <v/>
      </c>
      <c r="O47" s="175"/>
      <c r="Q47" s="175"/>
      <c r="R47" s="176"/>
      <c r="S47" s="176"/>
      <c r="T47" s="176"/>
      <c r="U47" s="176"/>
      <c r="V47" s="176"/>
      <c r="W47" s="176"/>
      <c r="X47" s="176"/>
      <c r="Y47" s="176"/>
      <c r="Z47" s="177"/>
      <c r="AB47" s="485">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85">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85">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85">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85">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85">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85">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85">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85">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85">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8">
        <f ca="1">IF(OR($D47&lt;&gt;"Serviço",AND(AUTOEVENTO="Manual",$M47=$A$15)),0,
         IF(OFFSET(CRONOPLE!$F$15,$M47-$A$15,AM$13)="",10^12,OFFSET(CRONOPLE!$F$15,$M47-$A$15,AM$13)))</f>
        <v>0</v>
      </c>
      <c r="AN47" s="178">
        <f ca="1">IF(OR($D47&lt;&gt;"Serviço",AND(AUTOEVENTO="Manual",$M47=$A$15)),0,
         IF(OFFSET(CRONOPLE!$F$15,$M47-$A$15,AN$13)="",10^12,OFFSET(CRONOPLE!$F$15,$M47-$A$15,AN$13)))</f>
        <v>0</v>
      </c>
      <c r="AO47" s="178">
        <f ca="1">IF(OR($D47&lt;&gt;"Serviço",AND(AUTOEVENTO="Manual",$M47=$A$15)),0,
         IF(OFFSET(CRONOPLE!$F$15,$M47-$A$15,AO$13)="",10^12,OFFSET(CRONOPLE!$F$15,$M47-$A$15,AO$13)))</f>
        <v>0</v>
      </c>
      <c r="AP47" s="178">
        <f ca="1">IF(OR($D47&lt;&gt;"Serviço",AND(AUTOEVENTO="Manual",$M47=$A$15)),0,
         IF(OFFSET(CRONOPLE!$F$15,$M47-$A$15,AP$13)="",10^12,OFFSET(CRONOPLE!$F$15,$M47-$A$15,AP$13)))</f>
        <v>0</v>
      </c>
      <c r="AQ47" s="178">
        <f ca="1">IF(OR($D47&lt;&gt;"Serviço",AND(AUTOEVENTO="Manual",$M47=$A$15)),0,
         IF(OFFSET(CRONOPLE!$F$15,$M47-$A$15,AQ$13)="",10^12,OFFSET(CRONOPLE!$F$15,$M47-$A$15,AQ$13)))</f>
        <v>0</v>
      </c>
      <c r="AR47" s="178">
        <f ca="1">IF(OR($D47&lt;&gt;"Serviço",AND(AUTOEVENTO="Manual",$M47=$A$15)),0,
         IF(OFFSET(CRONOPLE!$F$15,$M47-$A$15,AR$13)="",10^12,OFFSET(CRONOPLE!$F$15,$M47-$A$15,AR$13)))</f>
        <v>0</v>
      </c>
      <c r="AS47" s="178">
        <f ca="1">IF(OR($D47&lt;&gt;"Serviço",AND(AUTOEVENTO="Manual",$M47=$A$15)),0,
         IF(OFFSET(CRONOPLE!$F$15,$M47-$A$15,AS$13)="",10^12,OFFSET(CRONOPLE!$F$15,$M47-$A$15,AS$13)))</f>
        <v>0</v>
      </c>
      <c r="AT47" s="178">
        <f ca="1">IF(OR($D47&lt;&gt;"Serviço",AND(AUTOEVENTO="Manual",$M47=$A$15)),0,
         IF(OFFSET(CRONOPLE!$F$15,$M47-$A$15,AT$13)="",10^12,OFFSET(CRONOPLE!$F$15,$M47-$A$15,AT$13)))</f>
        <v>0</v>
      </c>
      <c r="AU47" s="178">
        <f ca="1">IF(OR($D47&lt;&gt;"Serviço",AND(AUTOEVENTO="Manual",$M47=$A$15)),0,
         IF(OFFSET(CRONOPLE!$F$15,$M47-$A$15,AU$13)="",10^12,OFFSET(CRONOPLE!$F$15,$M47-$A$15,AU$13)))</f>
        <v>0</v>
      </c>
      <c r="AV47" s="178">
        <f ca="1">IF(OR($D47&lt;&gt;"Serviço",AND(AUTOEVENTO="Manual",$M47=$A$15)),0,
         IF(OFFSET(CRONOPLE!$F$15,$M47-$A$15,AV$13)="",10^12,OFFSET(CRONOPLE!$F$15,$M47-$A$15,AV$13)))</f>
        <v>0</v>
      </c>
      <c r="AX47" s="179">
        <f ca="1">IF(OR($D47&lt;&gt;"Serviço",AND(AUTOEVENTO="Manual",$M47=$A$15),$M47&gt;(ROW(PLE.lastrow)-ROW(PLE.firstrow))),0,
           IF(OFFSET(PLE!$G$15,$M47-$A$15,AX$13)="",10^12,OFFSET(PLE!$G$15,$M47-$A$15,AX$13)))</f>
        <v>0</v>
      </c>
      <c r="AY47" s="179">
        <f ca="1">IF(OR($D47&lt;&gt;"Serviço",AND(AUTOEVENTO="Manual",$M47=$A$15),$M47&gt;(ROW(PLE.lastrow)-ROW(PLE.firstrow))),0,
           IF(OFFSET(PLE!$G$15,$M47-$A$15,AY$13)="",10^12,OFFSET(PLE!$G$15,$M47-$A$15,AY$13)))</f>
        <v>0</v>
      </c>
      <c r="AZ47" s="179">
        <f ca="1">IF(OR($D47&lt;&gt;"Serviço",AND(AUTOEVENTO="Manual",$M47=$A$15),$M47&gt;(ROW(PLE.lastrow)-ROW(PLE.firstrow))),0,
           IF(OFFSET(PLE!$G$15,$M47-$A$15,AZ$13)="",10^12,OFFSET(PLE!$G$15,$M47-$A$15,AZ$13)))</f>
        <v>0</v>
      </c>
      <c r="BA47" s="179">
        <f ca="1">IF(OR($D47&lt;&gt;"Serviço",AND(AUTOEVENTO="Manual",$M47=$A$15),$M47&gt;(ROW(PLE.lastrow)-ROW(PLE.firstrow))),0,
           IF(OFFSET(PLE!$G$15,$M47-$A$15,BA$13)="",10^12,OFFSET(PLE!$G$15,$M47-$A$15,BA$13)))</f>
        <v>0</v>
      </c>
      <c r="BB47" s="179">
        <f ca="1">IF(OR($D47&lt;&gt;"Serviço",AND(AUTOEVENTO="Manual",$M47=$A$15),$M47&gt;(ROW(PLE.lastrow)-ROW(PLE.firstrow))),0,
           IF(OFFSET(PLE!$G$15,$M47-$A$15,BB$13)="",10^12,OFFSET(PLE!$G$15,$M47-$A$15,BB$13)))</f>
        <v>0</v>
      </c>
      <c r="BC47" s="179">
        <f ca="1">IF(OR($D47&lt;&gt;"Serviço",AND(AUTOEVENTO="Manual",$M47=$A$15),$M47&gt;(ROW(PLE.lastrow)-ROW(PLE.firstrow))),0,
           IF(OFFSET(PLE!$G$15,$M47-$A$15,BC$13)="",10^12,OFFSET(PLE!$G$15,$M47-$A$15,BC$13)))</f>
        <v>0</v>
      </c>
      <c r="BD47" s="179">
        <f ca="1">IF(OR($D47&lt;&gt;"Serviço",AND(AUTOEVENTO="Manual",$M47=$A$15),$M47&gt;(ROW(PLE.lastrow)-ROW(PLE.firstrow))),0,
           IF(OFFSET(PLE!$G$15,$M47-$A$15,BD$13)="",10^12,OFFSET(PLE!$G$15,$M47-$A$15,BD$13)))</f>
        <v>0</v>
      </c>
      <c r="BE47" s="179">
        <f ca="1">IF(OR($D47&lt;&gt;"Serviço",AND(AUTOEVENTO="Manual",$M47=$A$15),$M47&gt;(ROW(PLE.lastrow)-ROW(PLE.firstrow))),0,
           IF(OFFSET(PLE!$G$15,$M47-$A$15,BE$13)="",10^12,OFFSET(PLE!$G$15,$M47-$A$15,BE$13)))</f>
        <v>0</v>
      </c>
      <c r="BF47" s="179">
        <f ca="1">IF(OR($D47&lt;&gt;"Serviço",AND(AUTOEVENTO="Manual",$M47=$A$15),$M47&gt;(ROW(PLE.lastrow)-ROW(PLE.firstrow))),0,
           IF(OFFSET(PLE!$G$15,$M47-$A$15,BF$13)="",10^12,OFFSET(PLE!$G$15,$M47-$A$15,BF$13)))</f>
        <v>0</v>
      </c>
      <c r="BG47" s="179">
        <f ca="1">IF(OR($D47&lt;&gt;"Serviço",AND(AUTOEVENTO="Manual",$M47=$A$15),$M47&gt;(ROW(PLE.lastrow)-ROW(PLE.firstrow))),0,
           IF(OFFSET(PLE!$G$15,$M47-$A$15,BG$13)="",10^12,OFFSET(PLE!$G$15,$M47-$A$15,BG$13)))</f>
        <v>0</v>
      </c>
    </row>
    <row r="48" spans="1:59" ht="38.25" x14ac:dyDescent="0.2">
      <c r="A48" s="7" t="str">
        <f ca="1">IF(AUTOEVENTO="Manual",IF(K48&lt;&gt;"",MIN(VALUE(LEFT(K48,FIND(".",K48)-1)),COUNTA(EVENTOS.Lista)),0),IF(OR($B48&gt;AUTOEVENTO,$B48="S",$B48=0),SUBSTITUTE(OFFSET($A48,-1,0),IF($D48="Serviço",".",""),""),ROW(A48)-ROW($A$15)&amp;"."))</f>
        <v>32</v>
      </c>
      <c r="B48" s="7" t="str">
        <f ca="1">OFFSET(ORÇAMENTO!C$15,ROW(B48)-ROW(B$15),0)</f>
        <v>S</v>
      </c>
      <c r="C48" s="7" t="str">
        <f ca="1">OFFSET(ORÇAMENTO!L$15,ROW(C48)-ROW(C$15),0)</f>
        <v/>
      </c>
      <c r="D48" s="118" t="str">
        <f ca="1">OFFSET(ORÇAMENTO!N$15,ROW(D48)-ROW(D$15),0)</f>
        <v>Serviço</v>
      </c>
      <c r="E48" s="119" t="str">
        <f ca="1">OFFSET(ORÇAMENTO!O$15,ROW(E48)-ROW(E$15),0)</f>
        <v>-</v>
      </c>
      <c r="F48" s="170" t="str">
        <f ca="1">OFFSET(ORÇAMENTO!R$15,ROW(F48)-ROW(F$15),0)</f>
        <v>(abra o arquivo 'Referência 04-2026.xlsm)</v>
      </c>
      <c r="G48" s="171" t="str">
        <f ca="1">IF($D48&lt;&gt;"Serviço","",OFFSET(ORÇAMENTO!S$15,ROW(G48)-ROW(G$15),0))</f>
        <v>-</v>
      </c>
      <c r="H48" s="124" cm="1">
        <f t="array" aca="1" ref="H48" ca="1">IF($D48&lt;&gt;"Serviço",0,IF(_xlfn.SINGLE(ACOMPANHAMENTO)="BM",ROUND(OFFSET(ORÇAMENTO!AJ$15,ROW(H48)-ROW(H$15),0),15-13*ORÇAMENTO!$AF$7),SUMPRODUCT(($Q$1:$AA$1)*ROUND($Q48:$AA48,15-13*ORÇAMENTO!$AF$7))))</f>
        <v>190</v>
      </c>
      <c r="I48" s="500" t="s">
        <v>1015</v>
      </c>
      <c r="J48" s="633" t="str" cm="1">
        <f t="array" aca="1" ref="J48" ca="1">IF(B48&lt;&gt;"S","",IF(AND(ACOMPANHAMENTO="PLE",AUTOEVENTO="Manual",OR(H48&gt;0,ORÇAMENTO!AC48="QUANT."),OR(K48="",M48=0,N48="")),"►",IF(AND(ACOMPANHAMENTO="PLE",ORÇAMENTO!AC48="QUANT."),"►►",IF(AND(COUNTIF($P$11:$AA$11,"▼")=0,H48&gt;0,I48=""),"◄",""))))</f>
        <v/>
      </c>
      <c r="K48" s="624"/>
      <c r="L48" s="172" t="s">
        <v>253</v>
      </c>
      <c r="M48" s="173">
        <f ca="1">IF($D48&lt;&gt;"Serviço","",
          IF(AUTOEVENTO="manual",$A48,
                IF(ISERROR(MATCH($A48,$A$15:OFFSET($A48,-1,0),0)),MAX($M$15:OFFSET(M48,-1,0))+1,
                      INDEX($M$15:OFFSET(M48,-1,0),MATCH($A48,$A$15:OFFSET($A48,-1,0),0)))))</f>
        <v>6</v>
      </c>
      <c r="N48" s="174" t="str">
        <f ca="1">IF($D48&lt;&gt;"Serviço","",
         IF(AUTOEVENTO="Manual",
                IF($A48=0,"&lt;-- defina o número do agrupador",
                       OFFSET(EVENTOS!$D$15,$A48-$A$15,0)),
                OFFSET($F$15,$A48,0)))</f>
        <v xml:space="preserve">PAREDES </v>
      </c>
      <c r="O48" s="175"/>
      <c r="Q48" s="175">
        <v>190</v>
      </c>
      <c r="R48" s="176"/>
      <c r="S48" s="176"/>
      <c r="T48" s="176"/>
      <c r="U48" s="176"/>
      <c r="V48" s="176"/>
      <c r="W48" s="176"/>
      <c r="X48" s="176"/>
      <c r="Y48" s="176"/>
      <c r="Z48" s="177"/>
      <c r="AB48" s="485">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85">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85">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85">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85">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85">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85">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85">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85">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85">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8">
        <f ca="1">IF(OR($D48&lt;&gt;"Serviço",AND(AUTOEVENTO="Manual",$M48=$A$15)),0,
         IF(OFFSET(CRONOPLE!$F$15,$M48-$A$15,AM$13)="",10^12,OFFSET(CRONOPLE!$F$15,$M48-$A$15,AM$13)))</f>
        <v>2</v>
      </c>
      <c r="AN48" s="178">
        <f ca="1">IF(OR($D48&lt;&gt;"Serviço",AND(AUTOEVENTO="Manual",$M48=$A$15)),0,
         IF(OFFSET(CRONOPLE!$F$15,$M48-$A$15,AN$13)="",10^12,OFFSET(CRONOPLE!$F$15,$M48-$A$15,AN$13)))</f>
        <v>1000000000000</v>
      </c>
      <c r="AO48" s="178">
        <f ca="1">IF(OR($D48&lt;&gt;"Serviço",AND(AUTOEVENTO="Manual",$M48=$A$15)),0,
         IF(OFFSET(CRONOPLE!$F$15,$M48-$A$15,AO$13)="",10^12,OFFSET(CRONOPLE!$F$15,$M48-$A$15,AO$13)))</f>
        <v>1000000000000</v>
      </c>
      <c r="AP48" s="178">
        <f ca="1">IF(OR($D48&lt;&gt;"Serviço",AND(AUTOEVENTO="Manual",$M48=$A$15)),0,
         IF(OFFSET(CRONOPLE!$F$15,$M48-$A$15,AP$13)="",10^12,OFFSET(CRONOPLE!$F$15,$M48-$A$15,AP$13)))</f>
        <v>1000000000000</v>
      </c>
      <c r="AQ48" s="178">
        <f ca="1">IF(OR($D48&lt;&gt;"Serviço",AND(AUTOEVENTO="Manual",$M48=$A$15)),0,
         IF(OFFSET(CRONOPLE!$F$15,$M48-$A$15,AQ$13)="",10^12,OFFSET(CRONOPLE!$F$15,$M48-$A$15,AQ$13)))</f>
        <v>1000000000000</v>
      </c>
      <c r="AR48" s="178">
        <f ca="1">IF(OR($D48&lt;&gt;"Serviço",AND(AUTOEVENTO="Manual",$M48=$A$15)),0,
         IF(OFFSET(CRONOPLE!$F$15,$M48-$A$15,AR$13)="",10^12,OFFSET(CRONOPLE!$F$15,$M48-$A$15,AR$13)))</f>
        <v>1000000000000</v>
      </c>
      <c r="AS48" s="178">
        <f ca="1">IF(OR($D48&lt;&gt;"Serviço",AND(AUTOEVENTO="Manual",$M48=$A$15)),0,
         IF(OFFSET(CRONOPLE!$F$15,$M48-$A$15,AS$13)="",10^12,OFFSET(CRONOPLE!$F$15,$M48-$A$15,AS$13)))</f>
        <v>1000000000000</v>
      </c>
      <c r="AT48" s="178">
        <f ca="1">IF(OR($D48&lt;&gt;"Serviço",AND(AUTOEVENTO="Manual",$M48=$A$15)),0,
         IF(OFFSET(CRONOPLE!$F$15,$M48-$A$15,AT$13)="",10^12,OFFSET(CRONOPLE!$F$15,$M48-$A$15,AT$13)))</f>
        <v>1000000000000</v>
      </c>
      <c r="AU48" s="178">
        <f ca="1">IF(OR($D48&lt;&gt;"Serviço",AND(AUTOEVENTO="Manual",$M48=$A$15)),0,
         IF(OFFSET(CRONOPLE!$F$15,$M48-$A$15,AU$13)="",10^12,OFFSET(CRONOPLE!$F$15,$M48-$A$15,AU$13)))</f>
        <v>1000000000000</v>
      </c>
      <c r="AV48" s="178">
        <f ca="1">IF(OR($D48&lt;&gt;"Serviço",AND(AUTOEVENTO="Manual",$M48=$A$15)),0,
         IF(OFFSET(CRONOPLE!$F$15,$M48-$A$15,AV$13)="",10^12,OFFSET(CRONOPLE!$F$15,$M48-$A$15,AV$13)))</f>
        <v>1000000000000</v>
      </c>
      <c r="AX48" s="179">
        <f ca="1">IF(OR($D48&lt;&gt;"Serviço",AND(AUTOEVENTO="Manual",$M48=$A$15),$M48&gt;(ROW(PLE.lastrow)-ROW(PLE.firstrow))),0,
           IF(OFFSET(PLE!$G$15,$M48-$A$15,AX$13)="",10^12,OFFSET(PLE!$G$15,$M48-$A$15,AX$13)))</f>
        <v>1000000000000</v>
      </c>
      <c r="AY48" s="179">
        <f ca="1">IF(OR($D48&lt;&gt;"Serviço",AND(AUTOEVENTO="Manual",$M48=$A$15),$M48&gt;(ROW(PLE.lastrow)-ROW(PLE.firstrow))),0,
           IF(OFFSET(PLE!$G$15,$M48-$A$15,AY$13)="",10^12,OFFSET(PLE!$G$15,$M48-$A$15,AY$13)))</f>
        <v>1000000000000</v>
      </c>
      <c r="AZ48" s="179">
        <f ca="1">IF(OR($D48&lt;&gt;"Serviço",AND(AUTOEVENTO="Manual",$M48=$A$15),$M48&gt;(ROW(PLE.lastrow)-ROW(PLE.firstrow))),0,
           IF(OFFSET(PLE!$G$15,$M48-$A$15,AZ$13)="",10^12,OFFSET(PLE!$G$15,$M48-$A$15,AZ$13)))</f>
        <v>1000000000000</v>
      </c>
      <c r="BA48" s="179">
        <f ca="1">IF(OR($D48&lt;&gt;"Serviço",AND(AUTOEVENTO="Manual",$M48=$A$15),$M48&gt;(ROW(PLE.lastrow)-ROW(PLE.firstrow))),0,
           IF(OFFSET(PLE!$G$15,$M48-$A$15,BA$13)="",10^12,OFFSET(PLE!$G$15,$M48-$A$15,BA$13)))</f>
        <v>1000000000000</v>
      </c>
      <c r="BB48" s="179">
        <f ca="1">IF(OR($D48&lt;&gt;"Serviço",AND(AUTOEVENTO="Manual",$M48=$A$15),$M48&gt;(ROW(PLE.lastrow)-ROW(PLE.firstrow))),0,
           IF(OFFSET(PLE!$G$15,$M48-$A$15,BB$13)="",10^12,OFFSET(PLE!$G$15,$M48-$A$15,BB$13)))</f>
        <v>1000000000000</v>
      </c>
      <c r="BC48" s="179">
        <f ca="1">IF(OR($D48&lt;&gt;"Serviço",AND(AUTOEVENTO="Manual",$M48=$A$15),$M48&gt;(ROW(PLE.lastrow)-ROW(PLE.firstrow))),0,
           IF(OFFSET(PLE!$G$15,$M48-$A$15,BC$13)="",10^12,OFFSET(PLE!$G$15,$M48-$A$15,BC$13)))</f>
        <v>1000000000000</v>
      </c>
      <c r="BD48" s="179">
        <f ca="1">IF(OR($D48&lt;&gt;"Serviço",AND(AUTOEVENTO="Manual",$M48=$A$15),$M48&gt;(ROW(PLE.lastrow)-ROW(PLE.firstrow))),0,
           IF(OFFSET(PLE!$G$15,$M48-$A$15,BD$13)="",10^12,OFFSET(PLE!$G$15,$M48-$A$15,BD$13)))</f>
        <v>1000000000000</v>
      </c>
      <c r="BE48" s="179">
        <f ca="1">IF(OR($D48&lt;&gt;"Serviço",AND(AUTOEVENTO="Manual",$M48=$A$15),$M48&gt;(ROW(PLE.lastrow)-ROW(PLE.firstrow))),0,
           IF(OFFSET(PLE!$G$15,$M48-$A$15,BE$13)="",10^12,OFFSET(PLE!$G$15,$M48-$A$15,BE$13)))</f>
        <v>1000000000000</v>
      </c>
      <c r="BF48" s="179">
        <f ca="1">IF(OR($D48&lt;&gt;"Serviço",AND(AUTOEVENTO="Manual",$M48=$A$15),$M48&gt;(ROW(PLE.lastrow)-ROW(PLE.firstrow))),0,
           IF(OFFSET(PLE!$G$15,$M48-$A$15,BF$13)="",10^12,OFFSET(PLE!$G$15,$M48-$A$15,BF$13)))</f>
        <v>1000000000000</v>
      </c>
      <c r="BG48" s="179">
        <f ca="1">IF(OR($D48&lt;&gt;"Serviço",AND(AUTOEVENTO="Manual",$M48=$A$15),$M48&gt;(ROW(PLE.lastrow)-ROW(PLE.firstrow))),0,
           IF(OFFSET(PLE!$G$15,$M48-$A$15,BG$13)="",10^12,OFFSET(PLE!$G$15,$M48-$A$15,BG$13)))</f>
        <v>1000000000000</v>
      </c>
    </row>
    <row r="49" spans="1:59" ht="51" x14ac:dyDescent="0.2">
      <c r="A49" s="7" t="str">
        <f ca="1">IF(AUTOEVENTO="Manual",IF(K49&lt;&gt;"",MIN(VALUE(LEFT(K49,FIND(".",K49)-1)),COUNTA(EVENTOS.Lista)),0),IF(OR($B49&gt;AUTOEVENTO,$B49="S",$B49=0),SUBSTITUTE(OFFSET($A49,-1,0),IF($D49="Serviço",".",""),""),ROW(A49)-ROW($A$15)&amp;"."))</f>
        <v>32</v>
      </c>
      <c r="B49" s="7" t="str">
        <f ca="1">OFFSET(ORÇAMENTO!C$15,ROW(B49)-ROW(B$15),0)</f>
        <v>S</v>
      </c>
      <c r="C49" s="7" t="str">
        <f ca="1">OFFSET(ORÇAMENTO!L$15,ROW(C49)-ROW(C$15),0)</f>
        <v/>
      </c>
      <c r="D49" s="118" t="str">
        <f ca="1">OFFSET(ORÇAMENTO!N$15,ROW(D49)-ROW(D$15),0)</f>
        <v>Serviço</v>
      </c>
      <c r="E49" s="119" t="str">
        <f ca="1">OFFSET(ORÇAMENTO!O$15,ROW(E49)-ROW(E$15),0)</f>
        <v>-</v>
      </c>
      <c r="F49" s="170" t="str">
        <f ca="1">OFFSET(ORÇAMENTO!R$15,ROW(F49)-ROW(F$15),0)</f>
        <v>(abra o arquivo 'Referência 04-2026.xlsm)</v>
      </c>
      <c r="G49" s="171" t="str">
        <f ca="1">IF($D49&lt;&gt;"Serviço","",OFFSET(ORÇAMENTO!S$15,ROW(G49)-ROW(G$15),0))</f>
        <v>-</v>
      </c>
      <c r="H49" s="124" cm="1">
        <f t="array" aca="1" ref="H49" ca="1">IF($D49&lt;&gt;"Serviço",0,IF(_xlfn.SINGLE(ACOMPANHAMENTO)="BM",ROUND(OFFSET(ORÇAMENTO!AJ$15,ROW(H49)-ROW(H$15),0),15-13*ORÇAMENTO!$AF$7),SUMPRODUCT(($Q$1:$AA$1)*ROUND($Q49:$AA49,15-13*ORÇAMENTO!$AF$7))))</f>
        <v>145</v>
      </c>
      <c r="I49" s="500" t="s">
        <v>1016</v>
      </c>
      <c r="J49" s="633" t="str" cm="1">
        <f t="array" aca="1" ref="J49" ca="1">IF(B49&lt;&gt;"S","",IF(AND(ACOMPANHAMENTO="PLE",AUTOEVENTO="Manual",OR(H49&gt;0,ORÇAMENTO!AC49="QUANT."),OR(K49="",M49=0,N49="")),"►",IF(AND(ACOMPANHAMENTO="PLE",ORÇAMENTO!AC49="QUANT."),"►►",IF(AND(COUNTIF($P$11:$AA$11,"▼")=0,H49&gt;0,I49=""),"◄",""))))</f>
        <v/>
      </c>
      <c r="K49" s="624"/>
      <c r="L49" s="172" t="s">
        <v>253</v>
      </c>
      <c r="M49" s="173">
        <f ca="1">IF($D49&lt;&gt;"Serviço","",
          IF(AUTOEVENTO="manual",$A49,
                IF(ISERROR(MATCH($A49,$A$15:OFFSET($A49,-1,0),0)),MAX($M$15:OFFSET(M49,-1,0))+1,
                      INDEX($M$15:OFFSET(M49,-1,0),MATCH($A49,$A$15:OFFSET($A49,-1,0),0)))))</f>
        <v>6</v>
      </c>
      <c r="N49" s="174" t="str">
        <f ca="1">IF($D49&lt;&gt;"Serviço","",
         IF(AUTOEVENTO="Manual",
                IF($A49=0,"&lt;-- defina o número do agrupador",
                       OFFSET(EVENTOS!$D$15,$A49-$A$15,0)),
                OFFSET($F$15,$A49,0)))</f>
        <v xml:space="preserve">PAREDES </v>
      </c>
      <c r="O49" s="175"/>
      <c r="Q49" s="175">
        <v>145</v>
      </c>
      <c r="R49" s="176"/>
      <c r="S49" s="176"/>
      <c r="T49" s="176"/>
      <c r="U49" s="176"/>
      <c r="V49" s="176"/>
      <c r="W49" s="176"/>
      <c r="X49" s="176"/>
      <c r="Y49" s="176"/>
      <c r="Z49" s="177"/>
      <c r="AB49" s="485">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85">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85">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85">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85">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85">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85">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85">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85">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85">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8">
        <f ca="1">IF(OR($D49&lt;&gt;"Serviço",AND(AUTOEVENTO="Manual",$M49=$A$15)),0,
         IF(OFFSET(CRONOPLE!$F$15,$M49-$A$15,AM$13)="",10^12,OFFSET(CRONOPLE!$F$15,$M49-$A$15,AM$13)))</f>
        <v>2</v>
      </c>
      <c r="AN49" s="178">
        <f ca="1">IF(OR($D49&lt;&gt;"Serviço",AND(AUTOEVENTO="Manual",$M49=$A$15)),0,
         IF(OFFSET(CRONOPLE!$F$15,$M49-$A$15,AN$13)="",10^12,OFFSET(CRONOPLE!$F$15,$M49-$A$15,AN$13)))</f>
        <v>1000000000000</v>
      </c>
      <c r="AO49" s="178">
        <f ca="1">IF(OR($D49&lt;&gt;"Serviço",AND(AUTOEVENTO="Manual",$M49=$A$15)),0,
         IF(OFFSET(CRONOPLE!$F$15,$M49-$A$15,AO$13)="",10^12,OFFSET(CRONOPLE!$F$15,$M49-$A$15,AO$13)))</f>
        <v>1000000000000</v>
      </c>
      <c r="AP49" s="178">
        <f ca="1">IF(OR($D49&lt;&gt;"Serviço",AND(AUTOEVENTO="Manual",$M49=$A$15)),0,
         IF(OFFSET(CRONOPLE!$F$15,$M49-$A$15,AP$13)="",10^12,OFFSET(CRONOPLE!$F$15,$M49-$A$15,AP$13)))</f>
        <v>1000000000000</v>
      </c>
      <c r="AQ49" s="178">
        <f ca="1">IF(OR($D49&lt;&gt;"Serviço",AND(AUTOEVENTO="Manual",$M49=$A$15)),0,
         IF(OFFSET(CRONOPLE!$F$15,$M49-$A$15,AQ$13)="",10^12,OFFSET(CRONOPLE!$F$15,$M49-$A$15,AQ$13)))</f>
        <v>1000000000000</v>
      </c>
      <c r="AR49" s="178">
        <f ca="1">IF(OR($D49&lt;&gt;"Serviço",AND(AUTOEVENTO="Manual",$M49=$A$15)),0,
         IF(OFFSET(CRONOPLE!$F$15,$M49-$A$15,AR$13)="",10^12,OFFSET(CRONOPLE!$F$15,$M49-$A$15,AR$13)))</f>
        <v>1000000000000</v>
      </c>
      <c r="AS49" s="178">
        <f ca="1">IF(OR($D49&lt;&gt;"Serviço",AND(AUTOEVENTO="Manual",$M49=$A$15)),0,
         IF(OFFSET(CRONOPLE!$F$15,$M49-$A$15,AS$13)="",10^12,OFFSET(CRONOPLE!$F$15,$M49-$A$15,AS$13)))</f>
        <v>1000000000000</v>
      </c>
      <c r="AT49" s="178">
        <f ca="1">IF(OR($D49&lt;&gt;"Serviço",AND(AUTOEVENTO="Manual",$M49=$A$15)),0,
         IF(OFFSET(CRONOPLE!$F$15,$M49-$A$15,AT$13)="",10^12,OFFSET(CRONOPLE!$F$15,$M49-$A$15,AT$13)))</f>
        <v>1000000000000</v>
      </c>
      <c r="AU49" s="178">
        <f ca="1">IF(OR($D49&lt;&gt;"Serviço",AND(AUTOEVENTO="Manual",$M49=$A$15)),0,
         IF(OFFSET(CRONOPLE!$F$15,$M49-$A$15,AU$13)="",10^12,OFFSET(CRONOPLE!$F$15,$M49-$A$15,AU$13)))</f>
        <v>1000000000000</v>
      </c>
      <c r="AV49" s="178">
        <f ca="1">IF(OR($D49&lt;&gt;"Serviço",AND(AUTOEVENTO="Manual",$M49=$A$15)),0,
         IF(OFFSET(CRONOPLE!$F$15,$M49-$A$15,AV$13)="",10^12,OFFSET(CRONOPLE!$F$15,$M49-$A$15,AV$13)))</f>
        <v>1000000000000</v>
      </c>
      <c r="AX49" s="179">
        <f ca="1">IF(OR($D49&lt;&gt;"Serviço",AND(AUTOEVENTO="Manual",$M49=$A$15),$M49&gt;(ROW(PLE.lastrow)-ROW(PLE.firstrow))),0,
           IF(OFFSET(PLE!$G$15,$M49-$A$15,AX$13)="",10^12,OFFSET(PLE!$G$15,$M49-$A$15,AX$13)))</f>
        <v>1000000000000</v>
      </c>
      <c r="AY49" s="179">
        <f ca="1">IF(OR($D49&lt;&gt;"Serviço",AND(AUTOEVENTO="Manual",$M49=$A$15),$M49&gt;(ROW(PLE.lastrow)-ROW(PLE.firstrow))),0,
           IF(OFFSET(PLE!$G$15,$M49-$A$15,AY$13)="",10^12,OFFSET(PLE!$G$15,$M49-$A$15,AY$13)))</f>
        <v>1000000000000</v>
      </c>
      <c r="AZ49" s="179">
        <f ca="1">IF(OR($D49&lt;&gt;"Serviço",AND(AUTOEVENTO="Manual",$M49=$A$15),$M49&gt;(ROW(PLE.lastrow)-ROW(PLE.firstrow))),0,
           IF(OFFSET(PLE!$G$15,$M49-$A$15,AZ$13)="",10^12,OFFSET(PLE!$G$15,$M49-$A$15,AZ$13)))</f>
        <v>1000000000000</v>
      </c>
      <c r="BA49" s="179">
        <f ca="1">IF(OR($D49&lt;&gt;"Serviço",AND(AUTOEVENTO="Manual",$M49=$A$15),$M49&gt;(ROW(PLE.lastrow)-ROW(PLE.firstrow))),0,
           IF(OFFSET(PLE!$G$15,$M49-$A$15,BA$13)="",10^12,OFFSET(PLE!$G$15,$M49-$A$15,BA$13)))</f>
        <v>1000000000000</v>
      </c>
      <c r="BB49" s="179">
        <f ca="1">IF(OR($D49&lt;&gt;"Serviço",AND(AUTOEVENTO="Manual",$M49=$A$15),$M49&gt;(ROW(PLE.lastrow)-ROW(PLE.firstrow))),0,
           IF(OFFSET(PLE!$G$15,$M49-$A$15,BB$13)="",10^12,OFFSET(PLE!$G$15,$M49-$A$15,BB$13)))</f>
        <v>1000000000000</v>
      </c>
      <c r="BC49" s="179">
        <f ca="1">IF(OR($D49&lt;&gt;"Serviço",AND(AUTOEVENTO="Manual",$M49=$A$15),$M49&gt;(ROW(PLE.lastrow)-ROW(PLE.firstrow))),0,
           IF(OFFSET(PLE!$G$15,$M49-$A$15,BC$13)="",10^12,OFFSET(PLE!$G$15,$M49-$A$15,BC$13)))</f>
        <v>1000000000000</v>
      </c>
      <c r="BD49" s="179">
        <f ca="1">IF(OR($D49&lt;&gt;"Serviço",AND(AUTOEVENTO="Manual",$M49=$A$15),$M49&gt;(ROW(PLE.lastrow)-ROW(PLE.firstrow))),0,
           IF(OFFSET(PLE!$G$15,$M49-$A$15,BD$13)="",10^12,OFFSET(PLE!$G$15,$M49-$A$15,BD$13)))</f>
        <v>1000000000000</v>
      </c>
      <c r="BE49" s="179">
        <f ca="1">IF(OR($D49&lt;&gt;"Serviço",AND(AUTOEVENTO="Manual",$M49=$A$15),$M49&gt;(ROW(PLE.lastrow)-ROW(PLE.firstrow))),0,
           IF(OFFSET(PLE!$G$15,$M49-$A$15,BE$13)="",10^12,OFFSET(PLE!$G$15,$M49-$A$15,BE$13)))</f>
        <v>1000000000000</v>
      </c>
      <c r="BF49" s="179">
        <f ca="1">IF(OR($D49&lt;&gt;"Serviço",AND(AUTOEVENTO="Manual",$M49=$A$15),$M49&gt;(ROW(PLE.lastrow)-ROW(PLE.firstrow))),0,
           IF(OFFSET(PLE!$G$15,$M49-$A$15,BF$13)="",10^12,OFFSET(PLE!$G$15,$M49-$A$15,BF$13)))</f>
        <v>1000000000000</v>
      </c>
      <c r="BG49" s="179">
        <f ca="1">IF(OR($D49&lt;&gt;"Serviço",AND(AUTOEVENTO="Manual",$M49=$A$15),$M49&gt;(ROW(PLE.lastrow)-ROW(PLE.firstrow))),0,
           IF(OFFSET(PLE!$G$15,$M49-$A$15,BG$13)="",10^12,OFFSET(PLE!$G$15,$M49-$A$15,BG$13)))</f>
        <v>1000000000000</v>
      </c>
    </row>
    <row r="50" spans="1:59" ht="25.5" x14ac:dyDescent="0.2">
      <c r="A50" s="7" t="str">
        <f ca="1">IF(AUTOEVENTO="Manual",IF(K50&lt;&gt;"",MIN(VALUE(LEFT(K50,FIND(".",K50)-1)),COUNTA(EVENTOS.Lista)),0),IF(OR($B50&gt;AUTOEVENTO,$B50="S",$B50=0),SUBSTITUTE(OFFSET($A50,-1,0),IF($D50="Serviço",".",""),""),ROW(A50)-ROW($A$15)&amp;"."))</f>
        <v>32</v>
      </c>
      <c r="B50" s="7" t="str">
        <f ca="1">OFFSET(ORÇAMENTO!C$15,ROW(B50)-ROW(B$15),0)</f>
        <v>S</v>
      </c>
      <c r="C50" s="7" t="str">
        <f ca="1">OFFSET(ORÇAMENTO!L$15,ROW(C50)-ROW(C$15),0)</f>
        <v/>
      </c>
      <c r="D50" s="118" t="str">
        <f ca="1">OFFSET(ORÇAMENTO!N$15,ROW(D50)-ROW(D$15),0)</f>
        <v>Serviço</v>
      </c>
      <c r="E50" s="119" t="str">
        <f ca="1">OFFSET(ORÇAMENTO!O$15,ROW(E50)-ROW(E$15),0)</f>
        <v>-</v>
      </c>
      <c r="F50" s="170" t="str">
        <f ca="1">OFFSET(ORÇAMENTO!R$15,ROW(F50)-ROW(F$15),0)</f>
        <v>(abra o arquivo 'Referência 04-2026.xlsm)</v>
      </c>
      <c r="G50" s="171" t="str">
        <f ca="1">IF($D50&lt;&gt;"Serviço","",OFFSET(ORÇAMENTO!S$15,ROW(G50)-ROW(G$15),0))</f>
        <v>-</v>
      </c>
      <c r="H50" s="124" cm="1">
        <f t="array" aca="1" ref="H50" ca="1">IF($D50&lt;&gt;"Serviço",0,IF(_xlfn.SINGLE(ACOMPANHAMENTO)="BM",ROUND(OFFSET(ORÇAMENTO!AJ$15,ROW(H50)-ROW(H$15),0),15-13*ORÇAMENTO!$AF$7),SUMPRODUCT(($Q$1:$AA$1)*ROUND($Q50:$AA50,15-13*ORÇAMENTO!$AF$7))))</f>
        <v>1103.19</v>
      </c>
      <c r="I50" s="500" t="s">
        <v>999</v>
      </c>
      <c r="J50" s="633" t="str" cm="1">
        <f t="array" aca="1" ref="J50" ca="1">IF(B50&lt;&gt;"S","",IF(AND(ACOMPANHAMENTO="PLE",AUTOEVENTO="Manual",OR(H50&gt;0,ORÇAMENTO!AC50="QUANT."),OR(K50="",M50=0,N50="")),"►",IF(AND(ACOMPANHAMENTO="PLE",ORÇAMENTO!AC50="QUANT."),"►►",IF(AND(COUNTIF($P$11:$AA$11,"▼")=0,H50&gt;0,I50=""),"◄",""))))</f>
        <v/>
      </c>
      <c r="K50" s="624"/>
      <c r="L50" s="172" t="s">
        <v>253</v>
      </c>
      <c r="M50" s="173">
        <f ca="1">IF($D50&lt;&gt;"Serviço","",
          IF(AUTOEVENTO="manual",$A50,
                IF(ISERROR(MATCH($A50,$A$15:OFFSET($A50,-1,0),0)),MAX($M$15:OFFSET(M50,-1,0))+1,
                      INDEX($M$15:OFFSET(M50,-1,0),MATCH($A50,$A$15:OFFSET($A50,-1,0),0)))))</f>
        <v>6</v>
      </c>
      <c r="N50" s="174" t="str">
        <f ca="1">IF($D50&lt;&gt;"Serviço","",
         IF(AUTOEVENTO="Manual",
                IF($A50=0,"&lt;-- defina o número do agrupador",
                       OFFSET(EVENTOS!$D$15,$A50-$A$15,0)),
                OFFSET($F$15,$A50,0)))</f>
        <v xml:space="preserve">PAREDES </v>
      </c>
      <c r="O50" s="175"/>
      <c r="Q50" s="175">
        <f>(14*4+4)*0.4/(0.114*0.229)*1.2</f>
        <v>1103.1946678924385</v>
      </c>
      <c r="R50" s="176"/>
      <c r="S50" s="176"/>
      <c r="T50" s="176"/>
      <c r="U50" s="176"/>
      <c r="V50" s="176"/>
      <c r="W50" s="176"/>
      <c r="X50" s="176"/>
      <c r="Y50" s="176"/>
      <c r="Z50" s="177"/>
      <c r="AB50" s="485">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85">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85">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85">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85">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85">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85">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85">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85">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85">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8">
        <f ca="1">IF(OR($D50&lt;&gt;"Serviço",AND(AUTOEVENTO="Manual",$M50=$A$15)),0,
         IF(OFFSET(CRONOPLE!$F$15,$M50-$A$15,AM$13)="",10^12,OFFSET(CRONOPLE!$F$15,$M50-$A$15,AM$13)))</f>
        <v>2</v>
      </c>
      <c r="AN50" s="178">
        <f ca="1">IF(OR($D50&lt;&gt;"Serviço",AND(AUTOEVENTO="Manual",$M50=$A$15)),0,
         IF(OFFSET(CRONOPLE!$F$15,$M50-$A$15,AN$13)="",10^12,OFFSET(CRONOPLE!$F$15,$M50-$A$15,AN$13)))</f>
        <v>1000000000000</v>
      </c>
      <c r="AO50" s="178">
        <f ca="1">IF(OR($D50&lt;&gt;"Serviço",AND(AUTOEVENTO="Manual",$M50=$A$15)),0,
         IF(OFFSET(CRONOPLE!$F$15,$M50-$A$15,AO$13)="",10^12,OFFSET(CRONOPLE!$F$15,$M50-$A$15,AO$13)))</f>
        <v>1000000000000</v>
      </c>
      <c r="AP50" s="178">
        <f ca="1">IF(OR($D50&lt;&gt;"Serviço",AND(AUTOEVENTO="Manual",$M50=$A$15)),0,
         IF(OFFSET(CRONOPLE!$F$15,$M50-$A$15,AP$13)="",10^12,OFFSET(CRONOPLE!$F$15,$M50-$A$15,AP$13)))</f>
        <v>1000000000000</v>
      </c>
      <c r="AQ50" s="178">
        <f ca="1">IF(OR($D50&lt;&gt;"Serviço",AND(AUTOEVENTO="Manual",$M50=$A$15)),0,
         IF(OFFSET(CRONOPLE!$F$15,$M50-$A$15,AQ$13)="",10^12,OFFSET(CRONOPLE!$F$15,$M50-$A$15,AQ$13)))</f>
        <v>1000000000000</v>
      </c>
      <c r="AR50" s="178">
        <f ca="1">IF(OR($D50&lt;&gt;"Serviço",AND(AUTOEVENTO="Manual",$M50=$A$15)),0,
         IF(OFFSET(CRONOPLE!$F$15,$M50-$A$15,AR$13)="",10^12,OFFSET(CRONOPLE!$F$15,$M50-$A$15,AR$13)))</f>
        <v>1000000000000</v>
      </c>
      <c r="AS50" s="178">
        <f ca="1">IF(OR($D50&lt;&gt;"Serviço",AND(AUTOEVENTO="Manual",$M50=$A$15)),0,
         IF(OFFSET(CRONOPLE!$F$15,$M50-$A$15,AS$13)="",10^12,OFFSET(CRONOPLE!$F$15,$M50-$A$15,AS$13)))</f>
        <v>1000000000000</v>
      </c>
      <c r="AT50" s="178">
        <f ca="1">IF(OR($D50&lt;&gt;"Serviço",AND(AUTOEVENTO="Manual",$M50=$A$15)),0,
         IF(OFFSET(CRONOPLE!$F$15,$M50-$A$15,AT$13)="",10^12,OFFSET(CRONOPLE!$F$15,$M50-$A$15,AT$13)))</f>
        <v>1000000000000</v>
      </c>
      <c r="AU50" s="178">
        <f ca="1">IF(OR($D50&lt;&gt;"Serviço",AND(AUTOEVENTO="Manual",$M50=$A$15)),0,
         IF(OFFSET(CRONOPLE!$F$15,$M50-$A$15,AU$13)="",10^12,OFFSET(CRONOPLE!$F$15,$M50-$A$15,AU$13)))</f>
        <v>1000000000000</v>
      </c>
      <c r="AV50" s="178">
        <f ca="1">IF(OR($D50&lt;&gt;"Serviço",AND(AUTOEVENTO="Manual",$M50=$A$15)),0,
         IF(OFFSET(CRONOPLE!$F$15,$M50-$A$15,AV$13)="",10^12,OFFSET(CRONOPLE!$F$15,$M50-$A$15,AV$13)))</f>
        <v>1000000000000</v>
      </c>
      <c r="AX50" s="179">
        <f ca="1">IF(OR($D50&lt;&gt;"Serviço",AND(AUTOEVENTO="Manual",$M50=$A$15),$M50&gt;(ROW(PLE.lastrow)-ROW(PLE.firstrow))),0,
           IF(OFFSET(PLE!$G$15,$M50-$A$15,AX$13)="",10^12,OFFSET(PLE!$G$15,$M50-$A$15,AX$13)))</f>
        <v>1000000000000</v>
      </c>
      <c r="AY50" s="179">
        <f ca="1">IF(OR($D50&lt;&gt;"Serviço",AND(AUTOEVENTO="Manual",$M50=$A$15),$M50&gt;(ROW(PLE.lastrow)-ROW(PLE.firstrow))),0,
           IF(OFFSET(PLE!$G$15,$M50-$A$15,AY$13)="",10^12,OFFSET(PLE!$G$15,$M50-$A$15,AY$13)))</f>
        <v>1000000000000</v>
      </c>
      <c r="AZ50" s="179">
        <f ca="1">IF(OR($D50&lt;&gt;"Serviço",AND(AUTOEVENTO="Manual",$M50=$A$15),$M50&gt;(ROW(PLE.lastrow)-ROW(PLE.firstrow))),0,
           IF(OFFSET(PLE!$G$15,$M50-$A$15,AZ$13)="",10^12,OFFSET(PLE!$G$15,$M50-$A$15,AZ$13)))</f>
        <v>1000000000000</v>
      </c>
      <c r="BA50" s="179">
        <f ca="1">IF(OR($D50&lt;&gt;"Serviço",AND(AUTOEVENTO="Manual",$M50=$A$15),$M50&gt;(ROW(PLE.lastrow)-ROW(PLE.firstrow))),0,
           IF(OFFSET(PLE!$G$15,$M50-$A$15,BA$13)="",10^12,OFFSET(PLE!$G$15,$M50-$A$15,BA$13)))</f>
        <v>1000000000000</v>
      </c>
      <c r="BB50" s="179">
        <f ca="1">IF(OR($D50&lt;&gt;"Serviço",AND(AUTOEVENTO="Manual",$M50=$A$15),$M50&gt;(ROW(PLE.lastrow)-ROW(PLE.firstrow))),0,
           IF(OFFSET(PLE!$G$15,$M50-$A$15,BB$13)="",10^12,OFFSET(PLE!$G$15,$M50-$A$15,BB$13)))</f>
        <v>1000000000000</v>
      </c>
      <c r="BC50" s="179">
        <f ca="1">IF(OR($D50&lt;&gt;"Serviço",AND(AUTOEVENTO="Manual",$M50=$A$15),$M50&gt;(ROW(PLE.lastrow)-ROW(PLE.firstrow))),0,
           IF(OFFSET(PLE!$G$15,$M50-$A$15,BC$13)="",10^12,OFFSET(PLE!$G$15,$M50-$A$15,BC$13)))</f>
        <v>1000000000000</v>
      </c>
      <c r="BD50" s="179">
        <f ca="1">IF(OR($D50&lt;&gt;"Serviço",AND(AUTOEVENTO="Manual",$M50=$A$15),$M50&gt;(ROW(PLE.lastrow)-ROW(PLE.firstrow))),0,
           IF(OFFSET(PLE!$G$15,$M50-$A$15,BD$13)="",10^12,OFFSET(PLE!$G$15,$M50-$A$15,BD$13)))</f>
        <v>1000000000000</v>
      </c>
      <c r="BE50" s="179">
        <f ca="1">IF(OR($D50&lt;&gt;"Serviço",AND(AUTOEVENTO="Manual",$M50=$A$15),$M50&gt;(ROW(PLE.lastrow)-ROW(PLE.firstrow))),0,
           IF(OFFSET(PLE!$G$15,$M50-$A$15,BE$13)="",10^12,OFFSET(PLE!$G$15,$M50-$A$15,BE$13)))</f>
        <v>1000000000000</v>
      </c>
      <c r="BF50" s="179">
        <f ca="1">IF(OR($D50&lt;&gt;"Serviço",AND(AUTOEVENTO="Manual",$M50=$A$15),$M50&gt;(ROW(PLE.lastrow)-ROW(PLE.firstrow))),0,
           IF(OFFSET(PLE!$G$15,$M50-$A$15,BF$13)="",10^12,OFFSET(PLE!$G$15,$M50-$A$15,BF$13)))</f>
        <v>1000000000000</v>
      </c>
      <c r="BG50" s="179">
        <f ca="1">IF(OR($D50&lt;&gt;"Serviço",AND(AUTOEVENTO="Manual",$M50=$A$15),$M50&gt;(ROW(PLE.lastrow)-ROW(PLE.firstrow))),0,
           IF(OFFSET(PLE!$G$15,$M50-$A$15,BG$13)="",10^12,OFFSET(PLE!$G$15,$M50-$A$15,BG$13)))</f>
        <v>1000000000000</v>
      </c>
    </row>
    <row r="51" spans="1:59" ht="25.5" x14ac:dyDescent="0.2">
      <c r="A51" s="7" t="str">
        <f ca="1">IF(AUTOEVENTO="Manual",IF(K51&lt;&gt;"",MIN(VALUE(LEFT(K51,FIND(".",K51)-1)),COUNTA(EVENTOS.Lista)),0),IF(OR($B51&gt;AUTOEVENTO,$B51="S",$B51=0),SUBSTITUTE(OFFSET($A51,-1,0),IF($D51="Serviço",".",""),""),ROW(A51)-ROW($A$15)&amp;"."))</f>
        <v>32</v>
      </c>
      <c r="B51" s="7" t="str">
        <f ca="1">OFFSET(ORÇAMENTO!C$15,ROW(B51)-ROW(B$15),0)</f>
        <v>S</v>
      </c>
      <c r="C51" s="7" t="str">
        <f ca="1">OFFSET(ORÇAMENTO!L$15,ROW(C51)-ROW(C$15),0)</f>
        <v/>
      </c>
      <c r="D51" s="118" t="str">
        <f ca="1">OFFSET(ORÇAMENTO!N$15,ROW(D51)-ROW(D$15),0)</f>
        <v>Serviço</v>
      </c>
      <c r="E51" s="119" t="str">
        <f ca="1">OFFSET(ORÇAMENTO!O$15,ROW(E51)-ROW(E$15),0)</f>
        <v>-</v>
      </c>
      <c r="F51" s="170" t="str">
        <f ca="1">OFFSET(ORÇAMENTO!R$15,ROW(F51)-ROW(F$15),0)</f>
        <v>(abra o arquivo 'Referência 04-2026.xlsm)</v>
      </c>
      <c r="G51" s="171" t="str">
        <f ca="1">IF($D51&lt;&gt;"Serviço","",OFFSET(ORÇAMENTO!S$15,ROW(G51)-ROW(G$15),0))</f>
        <v>-</v>
      </c>
      <c r="H51" s="124" cm="1">
        <f t="array" aca="1" ref="H51" ca="1">IF($D51&lt;&gt;"Serviço",0,IF(_xlfn.SINGLE(ACOMPANHAMENTO)="BM",ROUND(OFFSET(ORÇAMENTO!AJ$15,ROW(H51)-ROW(H$15),0),15-13*ORÇAMENTO!$AF$7),SUMPRODUCT(($Q$1:$AA$1)*ROUND($Q51:$AA51,15-13*ORÇAMENTO!$AF$7))))</f>
        <v>16.8</v>
      </c>
      <c r="I51" s="500" t="s">
        <v>1001</v>
      </c>
      <c r="J51" s="633" t="str" cm="1">
        <f t="array" aca="1" ref="J51" ca="1">IF(B51&lt;&gt;"S","",IF(AND(ACOMPANHAMENTO="PLE",AUTOEVENTO="Manual",OR(H51&gt;0,ORÇAMENTO!AC51="QUANT."),OR(K51="",M51=0,N51="")),"►",IF(AND(ACOMPANHAMENTO="PLE",ORÇAMENTO!AC51="QUANT."),"►►",IF(AND(COUNTIF($P$11:$AA$11,"▼")=0,H51&gt;0,I51=""),"◄",""))))</f>
        <v/>
      </c>
      <c r="K51" s="624"/>
      <c r="L51" s="172" t="s">
        <v>253</v>
      </c>
      <c r="M51" s="173">
        <f ca="1">IF($D51&lt;&gt;"Serviço","",
          IF(AUTOEVENTO="manual",$A51,
                IF(ISERROR(MATCH($A51,$A$15:OFFSET($A51,-1,0),0)),MAX($M$15:OFFSET(M51,-1,0))+1,
                      INDEX($M$15:OFFSET(M51,-1,0),MATCH($A51,$A$15:OFFSET($A51,-1,0),0)))))</f>
        <v>6</v>
      </c>
      <c r="N51" s="174" t="str">
        <f ca="1">IF($D51&lt;&gt;"Serviço","",
         IF(AUTOEVENTO="Manual",
                IF($A51=0,"&lt;-- defina o número do agrupador",
                       OFFSET(EVENTOS!$D$15,$A51-$A$15,0)),
                OFFSET($F$15,$A51,0)))</f>
        <v xml:space="preserve">PAREDES </v>
      </c>
      <c r="O51" s="175"/>
      <c r="Q51" s="175">
        <f>28*0.6</f>
        <v>16.8</v>
      </c>
      <c r="R51" s="176"/>
      <c r="S51" s="176"/>
      <c r="T51" s="176"/>
      <c r="U51" s="176"/>
      <c r="V51" s="176"/>
      <c r="W51" s="176"/>
      <c r="X51" s="176"/>
      <c r="Y51" s="176"/>
      <c r="Z51" s="177"/>
      <c r="AB51" s="485">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85">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85">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85">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85">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85">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85">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85">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85">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85">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8">
        <f ca="1">IF(OR($D51&lt;&gt;"Serviço",AND(AUTOEVENTO="Manual",$M51=$A$15)),0,
         IF(OFFSET(CRONOPLE!$F$15,$M51-$A$15,AM$13)="",10^12,OFFSET(CRONOPLE!$F$15,$M51-$A$15,AM$13)))</f>
        <v>2</v>
      </c>
      <c r="AN51" s="178">
        <f ca="1">IF(OR($D51&lt;&gt;"Serviço",AND(AUTOEVENTO="Manual",$M51=$A$15)),0,
         IF(OFFSET(CRONOPLE!$F$15,$M51-$A$15,AN$13)="",10^12,OFFSET(CRONOPLE!$F$15,$M51-$A$15,AN$13)))</f>
        <v>1000000000000</v>
      </c>
      <c r="AO51" s="178">
        <f ca="1">IF(OR($D51&lt;&gt;"Serviço",AND(AUTOEVENTO="Manual",$M51=$A$15)),0,
         IF(OFFSET(CRONOPLE!$F$15,$M51-$A$15,AO$13)="",10^12,OFFSET(CRONOPLE!$F$15,$M51-$A$15,AO$13)))</f>
        <v>1000000000000</v>
      </c>
      <c r="AP51" s="178">
        <f ca="1">IF(OR($D51&lt;&gt;"Serviço",AND(AUTOEVENTO="Manual",$M51=$A$15)),0,
         IF(OFFSET(CRONOPLE!$F$15,$M51-$A$15,AP$13)="",10^12,OFFSET(CRONOPLE!$F$15,$M51-$A$15,AP$13)))</f>
        <v>1000000000000</v>
      </c>
      <c r="AQ51" s="178">
        <f ca="1">IF(OR($D51&lt;&gt;"Serviço",AND(AUTOEVENTO="Manual",$M51=$A$15)),0,
         IF(OFFSET(CRONOPLE!$F$15,$M51-$A$15,AQ$13)="",10^12,OFFSET(CRONOPLE!$F$15,$M51-$A$15,AQ$13)))</f>
        <v>1000000000000</v>
      </c>
      <c r="AR51" s="178">
        <f ca="1">IF(OR($D51&lt;&gt;"Serviço",AND(AUTOEVENTO="Manual",$M51=$A$15)),0,
         IF(OFFSET(CRONOPLE!$F$15,$M51-$A$15,AR$13)="",10^12,OFFSET(CRONOPLE!$F$15,$M51-$A$15,AR$13)))</f>
        <v>1000000000000</v>
      </c>
      <c r="AS51" s="178">
        <f ca="1">IF(OR($D51&lt;&gt;"Serviço",AND(AUTOEVENTO="Manual",$M51=$A$15)),0,
         IF(OFFSET(CRONOPLE!$F$15,$M51-$A$15,AS$13)="",10^12,OFFSET(CRONOPLE!$F$15,$M51-$A$15,AS$13)))</f>
        <v>1000000000000</v>
      </c>
      <c r="AT51" s="178">
        <f ca="1">IF(OR($D51&lt;&gt;"Serviço",AND(AUTOEVENTO="Manual",$M51=$A$15)),0,
         IF(OFFSET(CRONOPLE!$F$15,$M51-$A$15,AT$13)="",10^12,OFFSET(CRONOPLE!$F$15,$M51-$A$15,AT$13)))</f>
        <v>1000000000000</v>
      </c>
      <c r="AU51" s="178">
        <f ca="1">IF(OR($D51&lt;&gt;"Serviço",AND(AUTOEVENTO="Manual",$M51=$A$15)),0,
         IF(OFFSET(CRONOPLE!$F$15,$M51-$A$15,AU$13)="",10^12,OFFSET(CRONOPLE!$F$15,$M51-$A$15,AU$13)))</f>
        <v>1000000000000</v>
      </c>
      <c r="AV51" s="178">
        <f ca="1">IF(OR($D51&lt;&gt;"Serviço",AND(AUTOEVENTO="Manual",$M51=$A$15)),0,
         IF(OFFSET(CRONOPLE!$F$15,$M51-$A$15,AV$13)="",10^12,OFFSET(CRONOPLE!$F$15,$M51-$A$15,AV$13)))</f>
        <v>1000000000000</v>
      </c>
      <c r="AX51" s="179">
        <f ca="1">IF(OR($D51&lt;&gt;"Serviço",AND(AUTOEVENTO="Manual",$M51=$A$15),$M51&gt;(ROW(PLE.lastrow)-ROW(PLE.firstrow))),0,
           IF(OFFSET(PLE!$G$15,$M51-$A$15,AX$13)="",10^12,OFFSET(PLE!$G$15,$M51-$A$15,AX$13)))</f>
        <v>1000000000000</v>
      </c>
      <c r="AY51" s="179">
        <f ca="1">IF(OR($D51&lt;&gt;"Serviço",AND(AUTOEVENTO="Manual",$M51=$A$15),$M51&gt;(ROW(PLE.lastrow)-ROW(PLE.firstrow))),0,
           IF(OFFSET(PLE!$G$15,$M51-$A$15,AY$13)="",10^12,OFFSET(PLE!$G$15,$M51-$A$15,AY$13)))</f>
        <v>1000000000000</v>
      </c>
      <c r="AZ51" s="179">
        <f ca="1">IF(OR($D51&lt;&gt;"Serviço",AND(AUTOEVENTO="Manual",$M51=$A$15),$M51&gt;(ROW(PLE.lastrow)-ROW(PLE.firstrow))),0,
           IF(OFFSET(PLE!$G$15,$M51-$A$15,AZ$13)="",10^12,OFFSET(PLE!$G$15,$M51-$A$15,AZ$13)))</f>
        <v>1000000000000</v>
      </c>
      <c r="BA51" s="179">
        <f ca="1">IF(OR($D51&lt;&gt;"Serviço",AND(AUTOEVENTO="Manual",$M51=$A$15),$M51&gt;(ROW(PLE.lastrow)-ROW(PLE.firstrow))),0,
           IF(OFFSET(PLE!$G$15,$M51-$A$15,BA$13)="",10^12,OFFSET(PLE!$G$15,$M51-$A$15,BA$13)))</f>
        <v>1000000000000</v>
      </c>
      <c r="BB51" s="179">
        <f ca="1">IF(OR($D51&lt;&gt;"Serviço",AND(AUTOEVENTO="Manual",$M51=$A$15),$M51&gt;(ROW(PLE.lastrow)-ROW(PLE.firstrow))),0,
           IF(OFFSET(PLE!$G$15,$M51-$A$15,BB$13)="",10^12,OFFSET(PLE!$G$15,$M51-$A$15,BB$13)))</f>
        <v>1000000000000</v>
      </c>
      <c r="BC51" s="179">
        <f ca="1">IF(OR($D51&lt;&gt;"Serviço",AND(AUTOEVENTO="Manual",$M51=$A$15),$M51&gt;(ROW(PLE.lastrow)-ROW(PLE.firstrow))),0,
           IF(OFFSET(PLE!$G$15,$M51-$A$15,BC$13)="",10^12,OFFSET(PLE!$G$15,$M51-$A$15,BC$13)))</f>
        <v>1000000000000</v>
      </c>
      <c r="BD51" s="179">
        <f ca="1">IF(OR($D51&lt;&gt;"Serviço",AND(AUTOEVENTO="Manual",$M51=$A$15),$M51&gt;(ROW(PLE.lastrow)-ROW(PLE.firstrow))),0,
           IF(OFFSET(PLE!$G$15,$M51-$A$15,BD$13)="",10^12,OFFSET(PLE!$G$15,$M51-$A$15,BD$13)))</f>
        <v>1000000000000</v>
      </c>
      <c r="BE51" s="179">
        <f ca="1">IF(OR($D51&lt;&gt;"Serviço",AND(AUTOEVENTO="Manual",$M51=$A$15),$M51&gt;(ROW(PLE.lastrow)-ROW(PLE.firstrow))),0,
           IF(OFFSET(PLE!$G$15,$M51-$A$15,BE$13)="",10^12,OFFSET(PLE!$G$15,$M51-$A$15,BE$13)))</f>
        <v>1000000000000</v>
      </c>
      <c r="BF51" s="179">
        <f ca="1">IF(OR($D51&lt;&gt;"Serviço",AND(AUTOEVENTO="Manual",$M51=$A$15),$M51&gt;(ROW(PLE.lastrow)-ROW(PLE.firstrow))),0,
           IF(OFFSET(PLE!$G$15,$M51-$A$15,BF$13)="",10^12,OFFSET(PLE!$G$15,$M51-$A$15,BF$13)))</f>
        <v>1000000000000</v>
      </c>
      <c r="BG51" s="179">
        <f ca="1">IF(OR($D51&lt;&gt;"Serviço",AND(AUTOEVENTO="Manual",$M51=$A$15),$M51&gt;(ROW(PLE.lastrow)-ROW(PLE.firstrow))),0,
           IF(OFFSET(PLE!$G$15,$M51-$A$15,BG$13)="",10^12,OFFSET(PLE!$G$15,$M51-$A$15,BG$13)))</f>
        <v>1000000000000</v>
      </c>
    </row>
    <row r="52" spans="1:59" ht="12.75" x14ac:dyDescent="0.2">
      <c r="A52" s="7" t="str">
        <f ca="1">IF(AUTOEVENTO="Manual",IF(K52&lt;&gt;"",MIN(VALUE(LEFT(K52,FIND(".",K52)-1)),COUNTA(EVENTOS.Lista)),0),IF(OR($B52&gt;AUTOEVENTO,$B52="S",$B52=0),SUBSTITUTE(OFFSET($A52,-1,0),IF($D52="Serviço",".",""),""),ROW(A52)-ROW($A$15)&amp;"."))</f>
        <v>37.</v>
      </c>
      <c r="B52" s="7">
        <f ca="1">OFFSET(ORÇAMENTO!C$15,ROW(B52)-ROW(B$15),0)</f>
        <v>2</v>
      </c>
      <c r="C52" s="7" t="str">
        <f ca="1">OFFSET(ORÇAMENTO!L$15,ROW(C52)-ROW(C$15),0)</f>
        <v>F</v>
      </c>
      <c r="D52" s="118" t="str">
        <f ca="1">OFFSET(ORÇAMENTO!N$15,ROW(D52)-ROW(D$15),0)</f>
        <v>Nível 2</v>
      </c>
      <c r="E52" s="119" t="str">
        <f ca="1">OFFSET(ORÇAMENTO!O$15,ROW(E52)-ROW(E$15),0)</f>
        <v>2.5.</v>
      </c>
      <c r="F52" s="170" t="str">
        <f ca="1">OFFSET(ORÇAMENTO!R$15,ROW(F52)-ROW(F$15),0)</f>
        <v>PISO DE CONCRETO CHURRASQUEIRA</v>
      </c>
      <c r="G52" s="171" t="str">
        <f ca="1">IF($D52&lt;&gt;"Serviço","",OFFSET(ORÇAMENTO!S$15,ROW(G52)-ROW(G$15),0))</f>
        <v/>
      </c>
      <c r="H52" s="124" cm="1">
        <f t="array" aca="1" ref="H52" ca="1">IF($D52&lt;&gt;"Serviço",0,IF(_xlfn.SINGLE(ACOMPANHAMENTO)="BM",ROUND(OFFSET(ORÇAMENTO!AJ$15,ROW(H52)-ROW(H$15),0),15-13*ORÇAMENTO!$AF$7),SUMPRODUCT(($Q$1:$AA$1)*ROUND($Q52:$AA52,15-13*ORÇAMENTO!$AF$7))))</f>
        <v>0</v>
      </c>
      <c r="I52" s="500"/>
      <c r="J52" s="633" t="str" cm="1">
        <f t="array" aca="1" ref="J52" ca="1">IF(B52&lt;&gt;"S","",IF(AND(ACOMPANHAMENTO="PLE",AUTOEVENTO="Manual",OR(H52&gt;0,ORÇAMENTO!AC52="QUANT."),OR(K52="",M52=0,N52="")),"►",IF(AND(ACOMPANHAMENTO="PLE",ORÇAMENTO!AC52="QUANT."),"►►",IF(AND(COUNTIF($P$11:$AA$11,"▼")=0,H52&gt;0,I52=""),"◄",""))))</f>
        <v/>
      </c>
      <c r="K52" s="624"/>
      <c r="L52" s="172" t="s">
        <v>253</v>
      </c>
      <c r="M52" s="173" t="str">
        <f ca="1">IF($D52&lt;&gt;"Serviço","",
          IF(AUTOEVENTO="manual",$A52,
                IF(ISERROR(MATCH($A52,$A$15:OFFSET($A52,-1,0),0)),MAX($M$15:OFFSET(M52,-1,0))+1,
                      INDEX($M$15:OFFSET(M52,-1,0),MATCH($A52,$A$15:OFFSET($A52,-1,0),0)))))</f>
        <v/>
      </c>
      <c r="N52" s="174" t="str">
        <f ca="1">IF($D52&lt;&gt;"Serviço","",
         IF(AUTOEVENTO="Manual",
                IF($A52=0,"&lt;-- defina o número do agrupador",
                       OFFSET(EVENTOS!$D$15,$A52-$A$15,0)),
                OFFSET($F$15,$A52,0)))</f>
        <v/>
      </c>
      <c r="O52" s="175"/>
      <c r="Q52" s="175"/>
      <c r="R52" s="176"/>
      <c r="S52" s="176"/>
      <c r="T52" s="176"/>
      <c r="U52" s="176"/>
      <c r="V52" s="176"/>
      <c r="W52" s="176"/>
      <c r="X52" s="176"/>
      <c r="Y52" s="176"/>
      <c r="Z52" s="177"/>
      <c r="AB52" s="485">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85">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85">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85">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85">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85">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85">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85">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85">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85">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8">
        <f ca="1">IF(OR($D52&lt;&gt;"Serviço",AND(AUTOEVENTO="Manual",$M52=$A$15)),0,
         IF(OFFSET(CRONOPLE!$F$15,$M52-$A$15,AM$13)="",10^12,OFFSET(CRONOPLE!$F$15,$M52-$A$15,AM$13)))</f>
        <v>0</v>
      </c>
      <c r="AN52" s="178">
        <f ca="1">IF(OR($D52&lt;&gt;"Serviço",AND(AUTOEVENTO="Manual",$M52=$A$15)),0,
         IF(OFFSET(CRONOPLE!$F$15,$M52-$A$15,AN$13)="",10^12,OFFSET(CRONOPLE!$F$15,$M52-$A$15,AN$13)))</f>
        <v>0</v>
      </c>
      <c r="AO52" s="178">
        <f ca="1">IF(OR($D52&lt;&gt;"Serviço",AND(AUTOEVENTO="Manual",$M52=$A$15)),0,
         IF(OFFSET(CRONOPLE!$F$15,$M52-$A$15,AO$13)="",10^12,OFFSET(CRONOPLE!$F$15,$M52-$A$15,AO$13)))</f>
        <v>0</v>
      </c>
      <c r="AP52" s="178">
        <f ca="1">IF(OR($D52&lt;&gt;"Serviço",AND(AUTOEVENTO="Manual",$M52=$A$15)),0,
         IF(OFFSET(CRONOPLE!$F$15,$M52-$A$15,AP$13)="",10^12,OFFSET(CRONOPLE!$F$15,$M52-$A$15,AP$13)))</f>
        <v>0</v>
      </c>
      <c r="AQ52" s="178">
        <f ca="1">IF(OR($D52&lt;&gt;"Serviço",AND(AUTOEVENTO="Manual",$M52=$A$15)),0,
         IF(OFFSET(CRONOPLE!$F$15,$M52-$A$15,AQ$13)="",10^12,OFFSET(CRONOPLE!$F$15,$M52-$A$15,AQ$13)))</f>
        <v>0</v>
      </c>
      <c r="AR52" s="178">
        <f ca="1">IF(OR($D52&lt;&gt;"Serviço",AND(AUTOEVENTO="Manual",$M52=$A$15)),0,
         IF(OFFSET(CRONOPLE!$F$15,$M52-$A$15,AR$13)="",10^12,OFFSET(CRONOPLE!$F$15,$M52-$A$15,AR$13)))</f>
        <v>0</v>
      </c>
      <c r="AS52" s="178">
        <f ca="1">IF(OR($D52&lt;&gt;"Serviço",AND(AUTOEVENTO="Manual",$M52=$A$15)),0,
         IF(OFFSET(CRONOPLE!$F$15,$M52-$A$15,AS$13)="",10^12,OFFSET(CRONOPLE!$F$15,$M52-$A$15,AS$13)))</f>
        <v>0</v>
      </c>
      <c r="AT52" s="178">
        <f ca="1">IF(OR($D52&lt;&gt;"Serviço",AND(AUTOEVENTO="Manual",$M52=$A$15)),0,
         IF(OFFSET(CRONOPLE!$F$15,$M52-$A$15,AT$13)="",10^12,OFFSET(CRONOPLE!$F$15,$M52-$A$15,AT$13)))</f>
        <v>0</v>
      </c>
      <c r="AU52" s="178">
        <f ca="1">IF(OR($D52&lt;&gt;"Serviço",AND(AUTOEVENTO="Manual",$M52=$A$15)),0,
         IF(OFFSET(CRONOPLE!$F$15,$M52-$A$15,AU$13)="",10^12,OFFSET(CRONOPLE!$F$15,$M52-$A$15,AU$13)))</f>
        <v>0</v>
      </c>
      <c r="AV52" s="178">
        <f ca="1">IF(OR($D52&lt;&gt;"Serviço",AND(AUTOEVENTO="Manual",$M52=$A$15)),0,
         IF(OFFSET(CRONOPLE!$F$15,$M52-$A$15,AV$13)="",10^12,OFFSET(CRONOPLE!$F$15,$M52-$A$15,AV$13)))</f>
        <v>0</v>
      </c>
      <c r="AX52" s="179">
        <f ca="1">IF(OR($D52&lt;&gt;"Serviço",AND(AUTOEVENTO="Manual",$M52=$A$15),$M52&gt;(ROW(PLE.lastrow)-ROW(PLE.firstrow))),0,
           IF(OFFSET(PLE!$G$15,$M52-$A$15,AX$13)="",10^12,OFFSET(PLE!$G$15,$M52-$A$15,AX$13)))</f>
        <v>0</v>
      </c>
      <c r="AY52" s="179">
        <f ca="1">IF(OR($D52&lt;&gt;"Serviço",AND(AUTOEVENTO="Manual",$M52=$A$15),$M52&gt;(ROW(PLE.lastrow)-ROW(PLE.firstrow))),0,
           IF(OFFSET(PLE!$G$15,$M52-$A$15,AY$13)="",10^12,OFFSET(PLE!$G$15,$M52-$A$15,AY$13)))</f>
        <v>0</v>
      </c>
      <c r="AZ52" s="179">
        <f ca="1">IF(OR($D52&lt;&gt;"Serviço",AND(AUTOEVENTO="Manual",$M52=$A$15),$M52&gt;(ROW(PLE.lastrow)-ROW(PLE.firstrow))),0,
           IF(OFFSET(PLE!$G$15,$M52-$A$15,AZ$13)="",10^12,OFFSET(PLE!$G$15,$M52-$A$15,AZ$13)))</f>
        <v>0</v>
      </c>
      <c r="BA52" s="179">
        <f ca="1">IF(OR($D52&lt;&gt;"Serviço",AND(AUTOEVENTO="Manual",$M52=$A$15),$M52&gt;(ROW(PLE.lastrow)-ROW(PLE.firstrow))),0,
           IF(OFFSET(PLE!$G$15,$M52-$A$15,BA$13)="",10^12,OFFSET(PLE!$G$15,$M52-$A$15,BA$13)))</f>
        <v>0</v>
      </c>
      <c r="BB52" s="179">
        <f ca="1">IF(OR($D52&lt;&gt;"Serviço",AND(AUTOEVENTO="Manual",$M52=$A$15),$M52&gt;(ROW(PLE.lastrow)-ROW(PLE.firstrow))),0,
           IF(OFFSET(PLE!$G$15,$M52-$A$15,BB$13)="",10^12,OFFSET(PLE!$G$15,$M52-$A$15,BB$13)))</f>
        <v>0</v>
      </c>
      <c r="BC52" s="179">
        <f ca="1">IF(OR($D52&lt;&gt;"Serviço",AND(AUTOEVENTO="Manual",$M52=$A$15),$M52&gt;(ROW(PLE.lastrow)-ROW(PLE.firstrow))),0,
           IF(OFFSET(PLE!$G$15,$M52-$A$15,BC$13)="",10^12,OFFSET(PLE!$G$15,$M52-$A$15,BC$13)))</f>
        <v>0</v>
      </c>
      <c r="BD52" s="179">
        <f ca="1">IF(OR($D52&lt;&gt;"Serviço",AND(AUTOEVENTO="Manual",$M52=$A$15),$M52&gt;(ROW(PLE.lastrow)-ROW(PLE.firstrow))),0,
           IF(OFFSET(PLE!$G$15,$M52-$A$15,BD$13)="",10^12,OFFSET(PLE!$G$15,$M52-$A$15,BD$13)))</f>
        <v>0</v>
      </c>
      <c r="BE52" s="179">
        <f ca="1">IF(OR($D52&lt;&gt;"Serviço",AND(AUTOEVENTO="Manual",$M52=$A$15),$M52&gt;(ROW(PLE.lastrow)-ROW(PLE.firstrow))),0,
           IF(OFFSET(PLE!$G$15,$M52-$A$15,BE$13)="",10^12,OFFSET(PLE!$G$15,$M52-$A$15,BE$13)))</f>
        <v>0</v>
      </c>
      <c r="BF52" s="179">
        <f ca="1">IF(OR($D52&lt;&gt;"Serviço",AND(AUTOEVENTO="Manual",$M52=$A$15),$M52&gt;(ROW(PLE.lastrow)-ROW(PLE.firstrow))),0,
           IF(OFFSET(PLE!$G$15,$M52-$A$15,BF$13)="",10^12,OFFSET(PLE!$G$15,$M52-$A$15,BF$13)))</f>
        <v>0</v>
      </c>
      <c r="BG52" s="179">
        <f ca="1">IF(OR($D52&lt;&gt;"Serviço",AND(AUTOEVENTO="Manual",$M52=$A$15),$M52&gt;(ROW(PLE.lastrow)-ROW(PLE.firstrow))),0,
           IF(OFFSET(PLE!$G$15,$M52-$A$15,BG$13)="",10^12,OFFSET(PLE!$G$15,$M52-$A$15,BG$13)))</f>
        <v>0</v>
      </c>
    </row>
    <row r="53" spans="1:59" ht="25.5" x14ac:dyDescent="0.2">
      <c r="A53" s="7" t="str">
        <f ca="1">IF(AUTOEVENTO="Manual",IF(K53&lt;&gt;"",MIN(VALUE(LEFT(K53,FIND(".",K53)-1)),COUNTA(EVENTOS.Lista)),0),IF(OR($B53&gt;AUTOEVENTO,$B53="S",$B53=0),SUBSTITUTE(OFFSET($A53,-1,0),IF($D53="Serviço",".",""),""),ROW(A53)-ROW($A$15)&amp;"."))</f>
        <v>37</v>
      </c>
      <c r="B53" s="7" t="str">
        <f ca="1">OFFSET(ORÇAMENTO!C$15,ROW(B53)-ROW(B$15),0)</f>
        <v>S</v>
      </c>
      <c r="C53" s="7" t="str">
        <f ca="1">OFFSET(ORÇAMENTO!L$15,ROW(C53)-ROW(C$15),0)</f>
        <v/>
      </c>
      <c r="D53" s="118" t="str">
        <f ca="1">OFFSET(ORÇAMENTO!N$15,ROW(D53)-ROW(D$15),0)</f>
        <v>Serviço</v>
      </c>
      <c r="E53" s="119" t="str">
        <f ca="1">OFFSET(ORÇAMENTO!O$15,ROW(E53)-ROW(E$15),0)</f>
        <v>-</v>
      </c>
      <c r="F53" s="170" t="str">
        <f ca="1">OFFSET(ORÇAMENTO!R$15,ROW(F53)-ROW(F$15),0)</f>
        <v>(abra o arquivo 'Referência 04-2026.xlsm)</v>
      </c>
      <c r="G53" s="171" t="str">
        <f ca="1">IF($D53&lt;&gt;"Serviço","",OFFSET(ORÇAMENTO!S$15,ROW(G53)-ROW(G$15),0))</f>
        <v>-</v>
      </c>
      <c r="H53" s="124" cm="1">
        <f t="array" aca="1" ref="H53" ca="1">IF($D53&lt;&gt;"Serviço",0,IF(_xlfn.SINGLE(ACOMPANHAMENTO)="BM",ROUND(OFFSET(ORÇAMENTO!AJ$15,ROW(H53)-ROW(H$15),0),15-13*ORÇAMENTO!$AF$7),SUMPRODUCT(($Q$1:$AA$1)*ROUND($Q53:$AA53,15-13*ORÇAMENTO!$AF$7))))</f>
        <v>132</v>
      </c>
      <c r="I53" s="500" t="s">
        <v>1021</v>
      </c>
      <c r="J53" s="633" t="str" cm="1">
        <f t="array" aca="1" ref="J53" ca="1">IF(B53&lt;&gt;"S","",IF(AND(ACOMPANHAMENTO="PLE",AUTOEVENTO="Manual",OR(H53&gt;0,ORÇAMENTO!AC53="QUANT."),OR(K53="",M53=0,N53="")),"►",IF(AND(ACOMPANHAMENTO="PLE",ORÇAMENTO!AC53="QUANT."),"►►",IF(AND(COUNTIF($P$11:$AA$11,"▼")=0,H53&gt;0,I53=""),"◄",""))))</f>
        <v/>
      </c>
      <c r="K53" s="624"/>
      <c r="L53" s="172" t="s">
        <v>253</v>
      </c>
      <c r="M53" s="173">
        <f ca="1">IF($D53&lt;&gt;"Serviço","",
          IF(AUTOEVENTO="manual",$A53,
                IF(ISERROR(MATCH($A53,$A$15:OFFSET($A53,-1,0),0)),MAX($M$15:OFFSET(M53,-1,0))+1,
                      INDEX($M$15:OFFSET(M53,-1,0),MATCH($A53,$A$15:OFFSET($A53,-1,0),0)))))</f>
        <v>7</v>
      </c>
      <c r="N53" s="174" t="str">
        <f ca="1">IF($D53&lt;&gt;"Serviço","",
         IF(AUTOEVENTO="Manual",
                IF($A53=0,"&lt;-- defina o número do agrupador",
                       OFFSET(EVENTOS!$D$15,$A53-$A$15,0)),
                OFFSET($F$15,$A53,0)))</f>
        <v>PISO DE CONCRETO CHURRASQUEIRA</v>
      </c>
      <c r="O53" s="175"/>
      <c r="Q53" s="175">
        <f>90+42</f>
        <v>132</v>
      </c>
      <c r="R53" s="176"/>
      <c r="S53" s="176"/>
      <c r="T53" s="176"/>
      <c r="U53" s="176"/>
      <c r="V53" s="176"/>
      <c r="W53" s="176"/>
      <c r="X53" s="176"/>
      <c r="Y53" s="176"/>
      <c r="Z53" s="177"/>
      <c r="AB53" s="485">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85">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85">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85">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85">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85">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85">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85">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85">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85">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8">
        <f ca="1">IF(OR($D53&lt;&gt;"Serviço",AND(AUTOEVENTO="Manual",$M53=$A$15)),0,
         IF(OFFSET(CRONOPLE!$F$15,$M53-$A$15,AM$13)="",10^12,OFFSET(CRONOPLE!$F$15,$M53-$A$15,AM$13)))</f>
        <v>3</v>
      </c>
      <c r="AN53" s="178">
        <f ca="1">IF(OR($D53&lt;&gt;"Serviço",AND(AUTOEVENTO="Manual",$M53=$A$15)),0,
         IF(OFFSET(CRONOPLE!$F$15,$M53-$A$15,AN$13)="",10^12,OFFSET(CRONOPLE!$F$15,$M53-$A$15,AN$13)))</f>
        <v>1000000000000</v>
      </c>
      <c r="AO53" s="178">
        <f ca="1">IF(OR($D53&lt;&gt;"Serviço",AND(AUTOEVENTO="Manual",$M53=$A$15)),0,
         IF(OFFSET(CRONOPLE!$F$15,$M53-$A$15,AO$13)="",10^12,OFFSET(CRONOPLE!$F$15,$M53-$A$15,AO$13)))</f>
        <v>1000000000000</v>
      </c>
      <c r="AP53" s="178">
        <f ca="1">IF(OR($D53&lt;&gt;"Serviço",AND(AUTOEVENTO="Manual",$M53=$A$15)),0,
         IF(OFFSET(CRONOPLE!$F$15,$M53-$A$15,AP$13)="",10^12,OFFSET(CRONOPLE!$F$15,$M53-$A$15,AP$13)))</f>
        <v>1000000000000</v>
      </c>
      <c r="AQ53" s="178">
        <f ca="1">IF(OR($D53&lt;&gt;"Serviço",AND(AUTOEVENTO="Manual",$M53=$A$15)),0,
         IF(OFFSET(CRONOPLE!$F$15,$M53-$A$15,AQ$13)="",10^12,OFFSET(CRONOPLE!$F$15,$M53-$A$15,AQ$13)))</f>
        <v>1000000000000</v>
      </c>
      <c r="AR53" s="178">
        <f ca="1">IF(OR($D53&lt;&gt;"Serviço",AND(AUTOEVENTO="Manual",$M53=$A$15)),0,
         IF(OFFSET(CRONOPLE!$F$15,$M53-$A$15,AR$13)="",10^12,OFFSET(CRONOPLE!$F$15,$M53-$A$15,AR$13)))</f>
        <v>1000000000000</v>
      </c>
      <c r="AS53" s="178">
        <f ca="1">IF(OR($D53&lt;&gt;"Serviço",AND(AUTOEVENTO="Manual",$M53=$A$15)),0,
         IF(OFFSET(CRONOPLE!$F$15,$M53-$A$15,AS$13)="",10^12,OFFSET(CRONOPLE!$F$15,$M53-$A$15,AS$13)))</f>
        <v>1000000000000</v>
      </c>
      <c r="AT53" s="178">
        <f ca="1">IF(OR($D53&lt;&gt;"Serviço",AND(AUTOEVENTO="Manual",$M53=$A$15)),0,
         IF(OFFSET(CRONOPLE!$F$15,$M53-$A$15,AT$13)="",10^12,OFFSET(CRONOPLE!$F$15,$M53-$A$15,AT$13)))</f>
        <v>1000000000000</v>
      </c>
      <c r="AU53" s="178">
        <f ca="1">IF(OR($D53&lt;&gt;"Serviço",AND(AUTOEVENTO="Manual",$M53=$A$15)),0,
         IF(OFFSET(CRONOPLE!$F$15,$M53-$A$15,AU$13)="",10^12,OFFSET(CRONOPLE!$F$15,$M53-$A$15,AU$13)))</f>
        <v>1000000000000</v>
      </c>
      <c r="AV53" s="178">
        <f ca="1">IF(OR($D53&lt;&gt;"Serviço",AND(AUTOEVENTO="Manual",$M53=$A$15)),0,
         IF(OFFSET(CRONOPLE!$F$15,$M53-$A$15,AV$13)="",10^12,OFFSET(CRONOPLE!$F$15,$M53-$A$15,AV$13)))</f>
        <v>1000000000000</v>
      </c>
      <c r="AX53" s="179">
        <f ca="1">IF(OR($D53&lt;&gt;"Serviço",AND(AUTOEVENTO="Manual",$M53=$A$15),$M53&gt;(ROW(PLE.lastrow)-ROW(PLE.firstrow))),0,
           IF(OFFSET(PLE!$G$15,$M53-$A$15,AX$13)="",10^12,OFFSET(PLE!$G$15,$M53-$A$15,AX$13)))</f>
        <v>1000000000000</v>
      </c>
      <c r="AY53" s="179">
        <f ca="1">IF(OR($D53&lt;&gt;"Serviço",AND(AUTOEVENTO="Manual",$M53=$A$15),$M53&gt;(ROW(PLE.lastrow)-ROW(PLE.firstrow))),0,
           IF(OFFSET(PLE!$G$15,$M53-$A$15,AY$13)="",10^12,OFFSET(PLE!$G$15,$M53-$A$15,AY$13)))</f>
        <v>1000000000000</v>
      </c>
      <c r="AZ53" s="179">
        <f ca="1">IF(OR($D53&lt;&gt;"Serviço",AND(AUTOEVENTO="Manual",$M53=$A$15),$M53&gt;(ROW(PLE.lastrow)-ROW(PLE.firstrow))),0,
           IF(OFFSET(PLE!$G$15,$M53-$A$15,AZ$13)="",10^12,OFFSET(PLE!$G$15,$M53-$A$15,AZ$13)))</f>
        <v>1000000000000</v>
      </c>
      <c r="BA53" s="179">
        <f ca="1">IF(OR($D53&lt;&gt;"Serviço",AND(AUTOEVENTO="Manual",$M53=$A$15),$M53&gt;(ROW(PLE.lastrow)-ROW(PLE.firstrow))),0,
           IF(OFFSET(PLE!$G$15,$M53-$A$15,BA$13)="",10^12,OFFSET(PLE!$G$15,$M53-$A$15,BA$13)))</f>
        <v>1000000000000</v>
      </c>
      <c r="BB53" s="179">
        <f ca="1">IF(OR($D53&lt;&gt;"Serviço",AND(AUTOEVENTO="Manual",$M53=$A$15),$M53&gt;(ROW(PLE.lastrow)-ROW(PLE.firstrow))),0,
           IF(OFFSET(PLE!$G$15,$M53-$A$15,BB$13)="",10^12,OFFSET(PLE!$G$15,$M53-$A$15,BB$13)))</f>
        <v>1000000000000</v>
      </c>
      <c r="BC53" s="179">
        <f ca="1">IF(OR($D53&lt;&gt;"Serviço",AND(AUTOEVENTO="Manual",$M53=$A$15),$M53&gt;(ROW(PLE.lastrow)-ROW(PLE.firstrow))),0,
           IF(OFFSET(PLE!$G$15,$M53-$A$15,BC$13)="",10^12,OFFSET(PLE!$G$15,$M53-$A$15,BC$13)))</f>
        <v>1000000000000</v>
      </c>
      <c r="BD53" s="179">
        <f ca="1">IF(OR($D53&lt;&gt;"Serviço",AND(AUTOEVENTO="Manual",$M53=$A$15),$M53&gt;(ROW(PLE.lastrow)-ROW(PLE.firstrow))),0,
           IF(OFFSET(PLE!$G$15,$M53-$A$15,BD$13)="",10^12,OFFSET(PLE!$G$15,$M53-$A$15,BD$13)))</f>
        <v>1000000000000</v>
      </c>
      <c r="BE53" s="179">
        <f ca="1">IF(OR($D53&lt;&gt;"Serviço",AND(AUTOEVENTO="Manual",$M53=$A$15),$M53&gt;(ROW(PLE.lastrow)-ROW(PLE.firstrow))),0,
           IF(OFFSET(PLE!$G$15,$M53-$A$15,BE$13)="",10^12,OFFSET(PLE!$G$15,$M53-$A$15,BE$13)))</f>
        <v>1000000000000</v>
      </c>
      <c r="BF53" s="179">
        <f ca="1">IF(OR($D53&lt;&gt;"Serviço",AND(AUTOEVENTO="Manual",$M53=$A$15),$M53&gt;(ROW(PLE.lastrow)-ROW(PLE.firstrow))),0,
           IF(OFFSET(PLE!$G$15,$M53-$A$15,BF$13)="",10^12,OFFSET(PLE!$G$15,$M53-$A$15,BF$13)))</f>
        <v>1000000000000</v>
      </c>
      <c r="BG53" s="179">
        <f ca="1">IF(OR($D53&lt;&gt;"Serviço",AND(AUTOEVENTO="Manual",$M53=$A$15),$M53&gt;(ROW(PLE.lastrow)-ROW(PLE.firstrow))),0,
           IF(OFFSET(PLE!$G$15,$M53-$A$15,BG$13)="",10^12,OFFSET(PLE!$G$15,$M53-$A$15,BG$13)))</f>
        <v>1000000000000</v>
      </c>
    </row>
    <row r="54" spans="1:59" ht="25.5" x14ac:dyDescent="0.2">
      <c r="A54" s="7" t="str">
        <f ca="1">IF(AUTOEVENTO="Manual",IF(K54&lt;&gt;"",MIN(VALUE(LEFT(K54,FIND(".",K54)-1)),COUNTA(EVENTOS.Lista)),0),IF(OR($B54&gt;AUTOEVENTO,$B54="S",$B54=0),SUBSTITUTE(OFFSET($A54,-1,0),IF($D54="Serviço",".",""),""),ROW(A54)-ROW($A$15)&amp;"."))</f>
        <v>37</v>
      </c>
      <c r="B54" s="7" t="str">
        <f ca="1">OFFSET(ORÇAMENTO!C$15,ROW(B54)-ROW(B$15),0)</f>
        <v>S</v>
      </c>
      <c r="C54" s="7" t="str">
        <f ca="1">OFFSET(ORÇAMENTO!L$15,ROW(C54)-ROW(C$15),0)</f>
        <v/>
      </c>
      <c r="D54" s="118" t="str">
        <f ca="1">OFFSET(ORÇAMENTO!N$15,ROW(D54)-ROW(D$15),0)</f>
        <v>Serviço</v>
      </c>
      <c r="E54" s="119" t="str">
        <f ca="1">OFFSET(ORÇAMENTO!O$15,ROW(E54)-ROW(E$15),0)</f>
        <v>-</v>
      </c>
      <c r="F54" s="170" t="str">
        <f ca="1">OFFSET(ORÇAMENTO!R$15,ROW(F54)-ROW(F$15),0)</f>
        <v>(abra o arquivo 'Referência 04-2026.xlsm)</v>
      </c>
      <c r="G54" s="171" t="str">
        <f ca="1">IF($D54&lt;&gt;"Serviço","",OFFSET(ORÇAMENTO!S$15,ROW(G54)-ROW(G$15),0))</f>
        <v>-</v>
      </c>
      <c r="H54" s="124" cm="1">
        <f t="array" aca="1" ref="H54" ca="1">IF($D54&lt;&gt;"Serviço",0,IF(_xlfn.SINGLE(ACOMPANHAMENTO)="BM",ROUND(OFFSET(ORÇAMENTO!AJ$15,ROW(H54)-ROW(H$15),0),15-13*ORÇAMENTO!$AF$7),SUMPRODUCT(($Q$1:$AA$1)*ROUND($Q54:$AA54,15-13*ORÇAMENTO!$AF$7))))</f>
        <v>6.6</v>
      </c>
      <c r="I54" s="500" t="s">
        <v>998</v>
      </c>
      <c r="J54" s="633" t="str" cm="1">
        <f t="array" aca="1" ref="J54" ca="1">IF(B54&lt;&gt;"S","",IF(AND(ACOMPANHAMENTO="PLE",AUTOEVENTO="Manual",OR(H54&gt;0,ORÇAMENTO!AC54="QUANT."),OR(K54="",M54=0,N54="")),"►",IF(AND(ACOMPANHAMENTO="PLE",ORÇAMENTO!AC54="QUANT."),"►►",IF(AND(COUNTIF($P$11:$AA$11,"▼")=0,H54&gt;0,I54=""),"◄",""))))</f>
        <v/>
      </c>
      <c r="K54" s="624"/>
      <c r="L54" s="172" t="s">
        <v>253</v>
      </c>
      <c r="M54" s="173">
        <f ca="1">IF($D54&lt;&gt;"Serviço","",
          IF(AUTOEVENTO="manual",$A54,
                IF(ISERROR(MATCH($A54,$A$15:OFFSET($A54,-1,0),0)),MAX($M$15:OFFSET(M54,-1,0))+1,
                      INDEX($M$15:OFFSET(M54,-1,0),MATCH($A54,$A$15:OFFSET($A54,-1,0),0)))))</f>
        <v>7</v>
      </c>
      <c r="N54" s="174" t="str">
        <f ca="1">IF($D54&lt;&gt;"Serviço","",
         IF(AUTOEVENTO="Manual",
                IF($A54=0,"&lt;-- defina o número do agrupador",
                       OFFSET(EVENTOS!$D$15,$A54-$A$15,0)),
                OFFSET($F$15,$A54,0)))</f>
        <v>PISO DE CONCRETO CHURRASQUEIRA</v>
      </c>
      <c r="O54" s="175"/>
      <c r="Q54" s="175">
        <f>0.05*(90+42)</f>
        <v>6.6000000000000005</v>
      </c>
      <c r="R54" s="176"/>
      <c r="S54" s="176"/>
      <c r="T54" s="176"/>
      <c r="U54" s="176"/>
      <c r="V54" s="176"/>
      <c r="W54" s="176"/>
      <c r="X54" s="176"/>
      <c r="Y54" s="176"/>
      <c r="Z54" s="177"/>
      <c r="AB54" s="485">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85">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85">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85">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85">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85">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85">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85">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85">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85">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8">
        <f ca="1">IF(OR($D54&lt;&gt;"Serviço",AND(AUTOEVENTO="Manual",$M54=$A$15)),0,
         IF(OFFSET(CRONOPLE!$F$15,$M54-$A$15,AM$13)="",10^12,OFFSET(CRONOPLE!$F$15,$M54-$A$15,AM$13)))</f>
        <v>3</v>
      </c>
      <c r="AN54" s="178">
        <f ca="1">IF(OR($D54&lt;&gt;"Serviço",AND(AUTOEVENTO="Manual",$M54=$A$15)),0,
         IF(OFFSET(CRONOPLE!$F$15,$M54-$A$15,AN$13)="",10^12,OFFSET(CRONOPLE!$F$15,$M54-$A$15,AN$13)))</f>
        <v>1000000000000</v>
      </c>
      <c r="AO54" s="178">
        <f ca="1">IF(OR($D54&lt;&gt;"Serviço",AND(AUTOEVENTO="Manual",$M54=$A$15)),0,
         IF(OFFSET(CRONOPLE!$F$15,$M54-$A$15,AO$13)="",10^12,OFFSET(CRONOPLE!$F$15,$M54-$A$15,AO$13)))</f>
        <v>1000000000000</v>
      </c>
      <c r="AP54" s="178">
        <f ca="1">IF(OR($D54&lt;&gt;"Serviço",AND(AUTOEVENTO="Manual",$M54=$A$15)),0,
         IF(OFFSET(CRONOPLE!$F$15,$M54-$A$15,AP$13)="",10^12,OFFSET(CRONOPLE!$F$15,$M54-$A$15,AP$13)))</f>
        <v>1000000000000</v>
      </c>
      <c r="AQ54" s="178">
        <f ca="1">IF(OR($D54&lt;&gt;"Serviço",AND(AUTOEVENTO="Manual",$M54=$A$15)),0,
         IF(OFFSET(CRONOPLE!$F$15,$M54-$A$15,AQ$13)="",10^12,OFFSET(CRONOPLE!$F$15,$M54-$A$15,AQ$13)))</f>
        <v>1000000000000</v>
      </c>
      <c r="AR54" s="178">
        <f ca="1">IF(OR($D54&lt;&gt;"Serviço",AND(AUTOEVENTO="Manual",$M54=$A$15)),0,
         IF(OFFSET(CRONOPLE!$F$15,$M54-$A$15,AR$13)="",10^12,OFFSET(CRONOPLE!$F$15,$M54-$A$15,AR$13)))</f>
        <v>1000000000000</v>
      </c>
      <c r="AS54" s="178">
        <f ca="1">IF(OR($D54&lt;&gt;"Serviço",AND(AUTOEVENTO="Manual",$M54=$A$15)),0,
         IF(OFFSET(CRONOPLE!$F$15,$M54-$A$15,AS$13)="",10^12,OFFSET(CRONOPLE!$F$15,$M54-$A$15,AS$13)))</f>
        <v>1000000000000</v>
      </c>
      <c r="AT54" s="178">
        <f ca="1">IF(OR($D54&lt;&gt;"Serviço",AND(AUTOEVENTO="Manual",$M54=$A$15)),0,
         IF(OFFSET(CRONOPLE!$F$15,$M54-$A$15,AT$13)="",10^12,OFFSET(CRONOPLE!$F$15,$M54-$A$15,AT$13)))</f>
        <v>1000000000000</v>
      </c>
      <c r="AU54" s="178">
        <f ca="1">IF(OR($D54&lt;&gt;"Serviço",AND(AUTOEVENTO="Manual",$M54=$A$15)),0,
         IF(OFFSET(CRONOPLE!$F$15,$M54-$A$15,AU$13)="",10^12,OFFSET(CRONOPLE!$F$15,$M54-$A$15,AU$13)))</f>
        <v>1000000000000</v>
      </c>
      <c r="AV54" s="178">
        <f ca="1">IF(OR($D54&lt;&gt;"Serviço",AND(AUTOEVENTO="Manual",$M54=$A$15)),0,
         IF(OFFSET(CRONOPLE!$F$15,$M54-$A$15,AV$13)="",10^12,OFFSET(CRONOPLE!$F$15,$M54-$A$15,AV$13)))</f>
        <v>1000000000000</v>
      </c>
      <c r="AX54" s="179">
        <f ca="1">IF(OR($D54&lt;&gt;"Serviço",AND(AUTOEVENTO="Manual",$M54=$A$15),$M54&gt;(ROW(PLE.lastrow)-ROW(PLE.firstrow))),0,
           IF(OFFSET(PLE!$G$15,$M54-$A$15,AX$13)="",10^12,OFFSET(PLE!$G$15,$M54-$A$15,AX$13)))</f>
        <v>1000000000000</v>
      </c>
      <c r="AY54" s="179">
        <f ca="1">IF(OR($D54&lt;&gt;"Serviço",AND(AUTOEVENTO="Manual",$M54=$A$15),$M54&gt;(ROW(PLE.lastrow)-ROW(PLE.firstrow))),0,
           IF(OFFSET(PLE!$G$15,$M54-$A$15,AY$13)="",10^12,OFFSET(PLE!$G$15,$M54-$A$15,AY$13)))</f>
        <v>1000000000000</v>
      </c>
      <c r="AZ54" s="179">
        <f ca="1">IF(OR($D54&lt;&gt;"Serviço",AND(AUTOEVENTO="Manual",$M54=$A$15),$M54&gt;(ROW(PLE.lastrow)-ROW(PLE.firstrow))),0,
           IF(OFFSET(PLE!$G$15,$M54-$A$15,AZ$13)="",10^12,OFFSET(PLE!$G$15,$M54-$A$15,AZ$13)))</f>
        <v>1000000000000</v>
      </c>
      <c r="BA54" s="179">
        <f ca="1">IF(OR($D54&lt;&gt;"Serviço",AND(AUTOEVENTO="Manual",$M54=$A$15),$M54&gt;(ROW(PLE.lastrow)-ROW(PLE.firstrow))),0,
           IF(OFFSET(PLE!$G$15,$M54-$A$15,BA$13)="",10^12,OFFSET(PLE!$G$15,$M54-$A$15,BA$13)))</f>
        <v>1000000000000</v>
      </c>
      <c r="BB54" s="179">
        <f ca="1">IF(OR($D54&lt;&gt;"Serviço",AND(AUTOEVENTO="Manual",$M54=$A$15),$M54&gt;(ROW(PLE.lastrow)-ROW(PLE.firstrow))),0,
           IF(OFFSET(PLE!$G$15,$M54-$A$15,BB$13)="",10^12,OFFSET(PLE!$G$15,$M54-$A$15,BB$13)))</f>
        <v>1000000000000</v>
      </c>
      <c r="BC54" s="179">
        <f ca="1">IF(OR($D54&lt;&gt;"Serviço",AND(AUTOEVENTO="Manual",$M54=$A$15),$M54&gt;(ROW(PLE.lastrow)-ROW(PLE.firstrow))),0,
           IF(OFFSET(PLE!$G$15,$M54-$A$15,BC$13)="",10^12,OFFSET(PLE!$G$15,$M54-$A$15,BC$13)))</f>
        <v>1000000000000</v>
      </c>
      <c r="BD54" s="179">
        <f ca="1">IF(OR($D54&lt;&gt;"Serviço",AND(AUTOEVENTO="Manual",$M54=$A$15),$M54&gt;(ROW(PLE.lastrow)-ROW(PLE.firstrow))),0,
           IF(OFFSET(PLE!$G$15,$M54-$A$15,BD$13)="",10^12,OFFSET(PLE!$G$15,$M54-$A$15,BD$13)))</f>
        <v>1000000000000</v>
      </c>
      <c r="BE54" s="179">
        <f ca="1">IF(OR($D54&lt;&gt;"Serviço",AND(AUTOEVENTO="Manual",$M54=$A$15),$M54&gt;(ROW(PLE.lastrow)-ROW(PLE.firstrow))),0,
           IF(OFFSET(PLE!$G$15,$M54-$A$15,BE$13)="",10^12,OFFSET(PLE!$G$15,$M54-$A$15,BE$13)))</f>
        <v>1000000000000</v>
      </c>
      <c r="BF54" s="179">
        <f ca="1">IF(OR($D54&lt;&gt;"Serviço",AND(AUTOEVENTO="Manual",$M54=$A$15),$M54&gt;(ROW(PLE.lastrow)-ROW(PLE.firstrow))),0,
           IF(OFFSET(PLE!$G$15,$M54-$A$15,BF$13)="",10^12,OFFSET(PLE!$G$15,$M54-$A$15,BF$13)))</f>
        <v>1000000000000</v>
      </c>
      <c r="BG54" s="179">
        <f ca="1">IF(OR($D54&lt;&gt;"Serviço",AND(AUTOEVENTO="Manual",$M54=$A$15),$M54&gt;(ROW(PLE.lastrow)-ROW(PLE.firstrow))),0,
           IF(OFFSET(PLE!$G$15,$M54-$A$15,BG$13)="",10^12,OFFSET(PLE!$G$15,$M54-$A$15,BG$13)))</f>
        <v>1000000000000</v>
      </c>
    </row>
    <row r="55" spans="1:59" ht="38.25" x14ac:dyDescent="0.2">
      <c r="A55" s="7" t="str">
        <f ca="1">IF(AUTOEVENTO="Manual",IF(K55&lt;&gt;"",MIN(VALUE(LEFT(K55,FIND(".",K55)-1)),COUNTA(EVENTOS.Lista)),0),IF(OR($B55&gt;AUTOEVENTO,$B55="S",$B55=0),SUBSTITUTE(OFFSET($A55,-1,0),IF($D55="Serviço",".",""),""),ROW(A55)-ROW($A$15)&amp;"."))</f>
        <v>37</v>
      </c>
      <c r="B55" s="7" t="str">
        <f ca="1">OFFSET(ORÇAMENTO!C$15,ROW(B55)-ROW(B$15),0)</f>
        <v>S</v>
      </c>
      <c r="C55" s="7" t="str">
        <f ca="1">OFFSET(ORÇAMENTO!L$15,ROW(C55)-ROW(C$15),0)</f>
        <v/>
      </c>
      <c r="D55" s="118" t="str">
        <f ca="1">OFFSET(ORÇAMENTO!N$15,ROW(D55)-ROW(D$15),0)</f>
        <v>Serviço</v>
      </c>
      <c r="E55" s="119" t="str">
        <f ca="1">OFFSET(ORÇAMENTO!O$15,ROW(E55)-ROW(E$15),0)</f>
        <v>-</v>
      </c>
      <c r="F55" s="170" t="str">
        <f ca="1">OFFSET(ORÇAMENTO!R$15,ROW(F55)-ROW(F$15),0)</f>
        <v>(abra o arquivo 'Referência 04-2026.xlsm)</v>
      </c>
      <c r="G55" s="171" t="str">
        <f ca="1">IF($D55&lt;&gt;"Serviço","",OFFSET(ORÇAMENTO!S$15,ROW(G55)-ROW(G$15),0))</f>
        <v>-</v>
      </c>
      <c r="H55" s="124" cm="1">
        <f t="array" aca="1" ref="H55" ca="1">IF($D55&lt;&gt;"Serviço",0,IF(_xlfn.SINGLE(ACOMPANHAMENTO)="BM",ROUND(OFFSET(ORÇAMENTO!AJ$15,ROW(H55)-ROW(H$15),0),15-13*ORÇAMENTO!$AF$7),SUMPRODUCT(($Q$1:$AA$1)*ROUND($Q55:$AA55,15-13*ORÇAMENTO!$AF$7))))</f>
        <v>3.15</v>
      </c>
      <c r="I55" s="500" t="s">
        <v>977</v>
      </c>
      <c r="J55" s="633" t="str" cm="1">
        <f t="array" aca="1" ref="J55" ca="1">IF(B55&lt;&gt;"S","",IF(AND(ACOMPANHAMENTO="PLE",AUTOEVENTO="Manual",OR(H55&gt;0,ORÇAMENTO!AC55="QUANT."),OR(K55="",M55=0,N55="")),"►",IF(AND(ACOMPANHAMENTO="PLE",ORÇAMENTO!AC55="QUANT."),"►►",IF(AND(COUNTIF($P$11:$AA$11,"▼")=0,H55&gt;0,I55=""),"◄",""))))</f>
        <v/>
      </c>
      <c r="K55" s="624"/>
      <c r="L55" s="172" t="s">
        <v>253</v>
      </c>
      <c r="M55" s="173">
        <f ca="1">IF($D55&lt;&gt;"Serviço","",
          IF(AUTOEVENTO="manual",$A55,
                IF(ISERROR(MATCH($A55,$A$15:OFFSET($A55,-1,0),0)),MAX($M$15:OFFSET(M55,-1,0))+1,
                      INDEX($M$15:OFFSET(M55,-1,0),MATCH($A55,$A$15:OFFSET($A55,-1,0),0)))))</f>
        <v>7</v>
      </c>
      <c r="N55" s="174" t="str">
        <f ca="1">IF($D55&lt;&gt;"Serviço","",
         IF(AUTOEVENTO="Manual",
                IF($A55=0,"&lt;-- defina o número do agrupador",
                       OFFSET(EVENTOS!$D$15,$A55-$A$15,0)),
                OFFSET($F$15,$A55,0)))</f>
        <v>PISO DE CONCRETO CHURRASQUEIRA</v>
      </c>
      <c r="O55" s="175"/>
      <c r="Q55" s="175">
        <f>21*0.15</f>
        <v>3.15</v>
      </c>
      <c r="R55" s="176"/>
      <c r="S55" s="176"/>
      <c r="T55" s="176"/>
      <c r="U55" s="176"/>
      <c r="V55" s="176"/>
      <c r="W55" s="176"/>
      <c r="X55" s="176"/>
      <c r="Y55" s="176"/>
      <c r="Z55" s="177"/>
      <c r="AB55" s="485">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85">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85">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85">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85">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85">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85">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85">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85">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85">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8">
        <f ca="1">IF(OR($D55&lt;&gt;"Serviço",AND(AUTOEVENTO="Manual",$M55=$A$15)),0,
         IF(OFFSET(CRONOPLE!$F$15,$M55-$A$15,AM$13)="",10^12,OFFSET(CRONOPLE!$F$15,$M55-$A$15,AM$13)))</f>
        <v>3</v>
      </c>
      <c r="AN55" s="178">
        <f ca="1">IF(OR($D55&lt;&gt;"Serviço",AND(AUTOEVENTO="Manual",$M55=$A$15)),0,
         IF(OFFSET(CRONOPLE!$F$15,$M55-$A$15,AN$13)="",10^12,OFFSET(CRONOPLE!$F$15,$M55-$A$15,AN$13)))</f>
        <v>1000000000000</v>
      </c>
      <c r="AO55" s="178">
        <f ca="1">IF(OR($D55&lt;&gt;"Serviço",AND(AUTOEVENTO="Manual",$M55=$A$15)),0,
         IF(OFFSET(CRONOPLE!$F$15,$M55-$A$15,AO$13)="",10^12,OFFSET(CRONOPLE!$F$15,$M55-$A$15,AO$13)))</f>
        <v>1000000000000</v>
      </c>
      <c r="AP55" s="178">
        <f ca="1">IF(OR($D55&lt;&gt;"Serviço",AND(AUTOEVENTO="Manual",$M55=$A$15)),0,
         IF(OFFSET(CRONOPLE!$F$15,$M55-$A$15,AP$13)="",10^12,OFFSET(CRONOPLE!$F$15,$M55-$A$15,AP$13)))</f>
        <v>1000000000000</v>
      </c>
      <c r="AQ55" s="178">
        <f ca="1">IF(OR($D55&lt;&gt;"Serviço",AND(AUTOEVENTO="Manual",$M55=$A$15)),0,
         IF(OFFSET(CRONOPLE!$F$15,$M55-$A$15,AQ$13)="",10^12,OFFSET(CRONOPLE!$F$15,$M55-$A$15,AQ$13)))</f>
        <v>1000000000000</v>
      </c>
      <c r="AR55" s="178">
        <f ca="1">IF(OR($D55&lt;&gt;"Serviço",AND(AUTOEVENTO="Manual",$M55=$A$15)),0,
         IF(OFFSET(CRONOPLE!$F$15,$M55-$A$15,AR$13)="",10^12,OFFSET(CRONOPLE!$F$15,$M55-$A$15,AR$13)))</f>
        <v>1000000000000</v>
      </c>
      <c r="AS55" s="178">
        <f ca="1">IF(OR($D55&lt;&gt;"Serviço",AND(AUTOEVENTO="Manual",$M55=$A$15)),0,
         IF(OFFSET(CRONOPLE!$F$15,$M55-$A$15,AS$13)="",10^12,OFFSET(CRONOPLE!$F$15,$M55-$A$15,AS$13)))</f>
        <v>1000000000000</v>
      </c>
      <c r="AT55" s="178">
        <f ca="1">IF(OR($D55&lt;&gt;"Serviço",AND(AUTOEVENTO="Manual",$M55=$A$15)),0,
         IF(OFFSET(CRONOPLE!$F$15,$M55-$A$15,AT$13)="",10^12,OFFSET(CRONOPLE!$F$15,$M55-$A$15,AT$13)))</f>
        <v>1000000000000</v>
      </c>
      <c r="AU55" s="178">
        <f ca="1">IF(OR($D55&lt;&gt;"Serviço",AND(AUTOEVENTO="Manual",$M55=$A$15)),0,
         IF(OFFSET(CRONOPLE!$F$15,$M55-$A$15,AU$13)="",10^12,OFFSET(CRONOPLE!$F$15,$M55-$A$15,AU$13)))</f>
        <v>1000000000000</v>
      </c>
      <c r="AV55" s="178">
        <f ca="1">IF(OR($D55&lt;&gt;"Serviço",AND(AUTOEVENTO="Manual",$M55=$A$15)),0,
         IF(OFFSET(CRONOPLE!$F$15,$M55-$A$15,AV$13)="",10^12,OFFSET(CRONOPLE!$F$15,$M55-$A$15,AV$13)))</f>
        <v>1000000000000</v>
      </c>
      <c r="AX55" s="179">
        <f ca="1">IF(OR($D55&lt;&gt;"Serviço",AND(AUTOEVENTO="Manual",$M55=$A$15),$M55&gt;(ROW(PLE.lastrow)-ROW(PLE.firstrow))),0,
           IF(OFFSET(PLE!$G$15,$M55-$A$15,AX$13)="",10^12,OFFSET(PLE!$G$15,$M55-$A$15,AX$13)))</f>
        <v>1000000000000</v>
      </c>
      <c r="AY55" s="179">
        <f ca="1">IF(OR($D55&lt;&gt;"Serviço",AND(AUTOEVENTO="Manual",$M55=$A$15),$M55&gt;(ROW(PLE.lastrow)-ROW(PLE.firstrow))),0,
           IF(OFFSET(PLE!$G$15,$M55-$A$15,AY$13)="",10^12,OFFSET(PLE!$G$15,$M55-$A$15,AY$13)))</f>
        <v>1000000000000</v>
      </c>
      <c r="AZ55" s="179">
        <f ca="1">IF(OR($D55&lt;&gt;"Serviço",AND(AUTOEVENTO="Manual",$M55=$A$15),$M55&gt;(ROW(PLE.lastrow)-ROW(PLE.firstrow))),0,
           IF(OFFSET(PLE!$G$15,$M55-$A$15,AZ$13)="",10^12,OFFSET(PLE!$G$15,$M55-$A$15,AZ$13)))</f>
        <v>1000000000000</v>
      </c>
      <c r="BA55" s="179">
        <f ca="1">IF(OR($D55&lt;&gt;"Serviço",AND(AUTOEVENTO="Manual",$M55=$A$15),$M55&gt;(ROW(PLE.lastrow)-ROW(PLE.firstrow))),0,
           IF(OFFSET(PLE!$G$15,$M55-$A$15,BA$13)="",10^12,OFFSET(PLE!$G$15,$M55-$A$15,BA$13)))</f>
        <v>1000000000000</v>
      </c>
      <c r="BB55" s="179">
        <f ca="1">IF(OR($D55&lt;&gt;"Serviço",AND(AUTOEVENTO="Manual",$M55=$A$15),$M55&gt;(ROW(PLE.lastrow)-ROW(PLE.firstrow))),0,
           IF(OFFSET(PLE!$G$15,$M55-$A$15,BB$13)="",10^12,OFFSET(PLE!$G$15,$M55-$A$15,BB$13)))</f>
        <v>1000000000000</v>
      </c>
      <c r="BC55" s="179">
        <f ca="1">IF(OR($D55&lt;&gt;"Serviço",AND(AUTOEVENTO="Manual",$M55=$A$15),$M55&gt;(ROW(PLE.lastrow)-ROW(PLE.firstrow))),0,
           IF(OFFSET(PLE!$G$15,$M55-$A$15,BC$13)="",10^12,OFFSET(PLE!$G$15,$M55-$A$15,BC$13)))</f>
        <v>1000000000000</v>
      </c>
      <c r="BD55" s="179">
        <f ca="1">IF(OR($D55&lt;&gt;"Serviço",AND(AUTOEVENTO="Manual",$M55=$A$15),$M55&gt;(ROW(PLE.lastrow)-ROW(PLE.firstrow))),0,
           IF(OFFSET(PLE!$G$15,$M55-$A$15,BD$13)="",10^12,OFFSET(PLE!$G$15,$M55-$A$15,BD$13)))</f>
        <v>1000000000000</v>
      </c>
      <c r="BE55" s="179">
        <f ca="1">IF(OR($D55&lt;&gt;"Serviço",AND(AUTOEVENTO="Manual",$M55=$A$15),$M55&gt;(ROW(PLE.lastrow)-ROW(PLE.firstrow))),0,
           IF(OFFSET(PLE!$G$15,$M55-$A$15,BE$13)="",10^12,OFFSET(PLE!$G$15,$M55-$A$15,BE$13)))</f>
        <v>1000000000000</v>
      </c>
      <c r="BF55" s="179">
        <f ca="1">IF(OR($D55&lt;&gt;"Serviço",AND(AUTOEVENTO="Manual",$M55=$A$15),$M55&gt;(ROW(PLE.lastrow)-ROW(PLE.firstrow))),0,
           IF(OFFSET(PLE!$G$15,$M55-$A$15,BF$13)="",10^12,OFFSET(PLE!$G$15,$M55-$A$15,BF$13)))</f>
        <v>1000000000000</v>
      </c>
      <c r="BG55" s="179">
        <f ca="1">IF(OR($D55&lt;&gt;"Serviço",AND(AUTOEVENTO="Manual",$M55=$A$15),$M55&gt;(ROW(PLE.lastrow)-ROW(PLE.firstrow))),0,
           IF(OFFSET(PLE!$G$15,$M55-$A$15,BG$13)="",10^12,OFFSET(PLE!$G$15,$M55-$A$15,BG$13)))</f>
        <v>1000000000000</v>
      </c>
    </row>
    <row r="56" spans="1:59" ht="25.5" x14ac:dyDescent="0.2">
      <c r="A56" s="7" t="str">
        <f ca="1">IF(AUTOEVENTO="Manual",IF(K56&lt;&gt;"",MIN(VALUE(LEFT(K56,FIND(".",K56)-1)),COUNTA(EVENTOS.Lista)),0),IF(OR($B56&gt;AUTOEVENTO,$B56="S",$B56=0),SUBSTITUTE(OFFSET($A56,-1,0),IF($D56="Serviço",".",""),""),ROW(A56)-ROW($A$15)&amp;"."))</f>
        <v>37</v>
      </c>
      <c r="B56" s="7" t="str">
        <f ca="1">OFFSET(ORÇAMENTO!C$15,ROW(B56)-ROW(B$15),0)</f>
        <v>S</v>
      </c>
      <c r="C56" s="7" t="str">
        <f ca="1">OFFSET(ORÇAMENTO!L$15,ROW(C56)-ROW(C$15),0)</f>
        <v/>
      </c>
      <c r="D56" s="118" t="str">
        <f ca="1">OFFSET(ORÇAMENTO!N$15,ROW(D56)-ROW(D$15),0)</f>
        <v>Serviço</v>
      </c>
      <c r="E56" s="119" t="str">
        <f ca="1">OFFSET(ORÇAMENTO!O$15,ROW(E56)-ROW(E$15),0)</f>
        <v>-</v>
      </c>
      <c r="F56" s="170" t="str">
        <f ca="1">OFFSET(ORÇAMENTO!R$15,ROW(F56)-ROW(F$15),0)</f>
        <v>(abra o arquivo 'Referência 04-2026.xlsm)</v>
      </c>
      <c r="G56" s="171" t="str">
        <f ca="1">IF($D56&lt;&gt;"Serviço","",OFFSET(ORÇAMENTO!S$15,ROW(G56)-ROW(G$15),0))</f>
        <v>-</v>
      </c>
      <c r="H56" s="124" cm="1">
        <f t="array" aca="1" ref="H56" ca="1">IF($D56&lt;&gt;"Serviço",0,IF(_xlfn.SINGLE(ACOMPANHAMENTO)="BM",ROUND(OFFSET(ORÇAMENTO!AJ$15,ROW(H56)-ROW(H$15),0),15-13*ORÇAMENTO!$AF$7),SUMPRODUCT(($Q$1:$AA$1)*ROUND($Q56:$AA56,15-13*ORÇAMENTO!$AF$7))))</f>
        <v>90</v>
      </c>
      <c r="I56" s="500" t="s">
        <v>1020</v>
      </c>
      <c r="J56" s="633" t="str" cm="1">
        <f t="array" aca="1" ref="J56" ca="1">IF(B56&lt;&gt;"S","",IF(AND(ACOMPANHAMENTO="PLE",AUTOEVENTO="Manual",OR(H56&gt;0,ORÇAMENTO!AC56="QUANT."),OR(K56="",M56=0,N56="")),"►",IF(AND(ACOMPANHAMENTO="PLE",ORÇAMENTO!AC56="QUANT."),"►►",IF(AND(COUNTIF($P$11:$AA$11,"▼")=0,H56&gt;0,I56=""),"◄",""))))</f>
        <v/>
      </c>
      <c r="K56" s="624"/>
      <c r="L56" s="172" t="s">
        <v>253</v>
      </c>
      <c r="M56" s="173">
        <f ca="1">IF($D56&lt;&gt;"Serviço","",
          IF(AUTOEVENTO="manual",$A56,
                IF(ISERROR(MATCH($A56,$A$15:OFFSET($A56,-1,0),0)),MAX($M$15:OFFSET(M56,-1,0))+1,
                      INDEX($M$15:OFFSET(M56,-1,0),MATCH($A56,$A$15:OFFSET($A56,-1,0),0)))))</f>
        <v>7</v>
      </c>
      <c r="N56" s="174" t="str">
        <f ca="1">IF($D56&lt;&gt;"Serviço","",
         IF(AUTOEVENTO="Manual",
                IF($A56=0,"&lt;-- defina o número do agrupador",
                       OFFSET(EVENTOS!$D$15,$A56-$A$15,0)),
                OFFSET($F$15,$A56,0)))</f>
        <v>PISO DE CONCRETO CHURRASQUEIRA</v>
      </c>
      <c r="O56" s="175"/>
      <c r="Q56" s="175">
        <v>90</v>
      </c>
      <c r="R56" s="176"/>
      <c r="S56" s="176"/>
      <c r="T56" s="176"/>
      <c r="U56" s="176"/>
      <c r="V56" s="176"/>
      <c r="W56" s="176"/>
      <c r="X56" s="176"/>
      <c r="Y56" s="176"/>
      <c r="Z56" s="177"/>
      <c r="AB56" s="485">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85">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85">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85">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85">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85">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85">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85">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85">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85">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8">
        <f ca="1">IF(OR($D56&lt;&gt;"Serviço",AND(AUTOEVENTO="Manual",$M56=$A$15)),0,
         IF(OFFSET(CRONOPLE!$F$15,$M56-$A$15,AM$13)="",10^12,OFFSET(CRONOPLE!$F$15,$M56-$A$15,AM$13)))</f>
        <v>3</v>
      </c>
      <c r="AN56" s="178">
        <f ca="1">IF(OR($D56&lt;&gt;"Serviço",AND(AUTOEVENTO="Manual",$M56=$A$15)),0,
         IF(OFFSET(CRONOPLE!$F$15,$M56-$A$15,AN$13)="",10^12,OFFSET(CRONOPLE!$F$15,$M56-$A$15,AN$13)))</f>
        <v>1000000000000</v>
      </c>
      <c r="AO56" s="178">
        <f ca="1">IF(OR($D56&lt;&gt;"Serviço",AND(AUTOEVENTO="Manual",$M56=$A$15)),0,
         IF(OFFSET(CRONOPLE!$F$15,$M56-$A$15,AO$13)="",10^12,OFFSET(CRONOPLE!$F$15,$M56-$A$15,AO$13)))</f>
        <v>1000000000000</v>
      </c>
      <c r="AP56" s="178">
        <f ca="1">IF(OR($D56&lt;&gt;"Serviço",AND(AUTOEVENTO="Manual",$M56=$A$15)),0,
         IF(OFFSET(CRONOPLE!$F$15,$M56-$A$15,AP$13)="",10^12,OFFSET(CRONOPLE!$F$15,$M56-$A$15,AP$13)))</f>
        <v>1000000000000</v>
      </c>
      <c r="AQ56" s="178">
        <f ca="1">IF(OR($D56&lt;&gt;"Serviço",AND(AUTOEVENTO="Manual",$M56=$A$15)),0,
         IF(OFFSET(CRONOPLE!$F$15,$M56-$A$15,AQ$13)="",10^12,OFFSET(CRONOPLE!$F$15,$M56-$A$15,AQ$13)))</f>
        <v>1000000000000</v>
      </c>
      <c r="AR56" s="178">
        <f ca="1">IF(OR($D56&lt;&gt;"Serviço",AND(AUTOEVENTO="Manual",$M56=$A$15)),0,
         IF(OFFSET(CRONOPLE!$F$15,$M56-$A$15,AR$13)="",10^12,OFFSET(CRONOPLE!$F$15,$M56-$A$15,AR$13)))</f>
        <v>1000000000000</v>
      </c>
      <c r="AS56" s="178">
        <f ca="1">IF(OR($D56&lt;&gt;"Serviço",AND(AUTOEVENTO="Manual",$M56=$A$15)),0,
         IF(OFFSET(CRONOPLE!$F$15,$M56-$A$15,AS$13)="",10^12,OFFSET(CRONOPLE!$F$15,$M56-$A$15,AS$13)))</f>
        <v>1000000000000</v>
      </c>
      <c r="AT56" s="178">
        <f ca="1">IF(OR($D56&lt;&gt;"Serviço",AND(AUTOEVENTO="Manual",$M56=$A$15)),0,
         IF(OFFSET(CRONOPLE!$F$15,$M56-$A$15,AT$13)="",10^12,OFFSET(CRONOPLE!$F$15,$M56-$A$15,AT$13)))</f>
        <v>1000000000000</v>
      </c>
      <c r="AU56" s="178">
        <f ca="1">IF(OR($D56&lt;&gt;"Serviço",AND(AUTOEVENTO="Manual",$M56=$A$15)),0,
         IF(OFFSET(CRONOPLE!$F$15,$M56-$A$15,AU$13)="",10^12,OFFSET(CRONOPLE!$F$15,$M56-$A$15,AU$13)))</f>
        <v>1000000000000</v>
      </c>
      <c r="AV56" s="178">
        <f ca="1">IF(OR($D56&lt;&gt;"Serviço",AND(AUTOEVENTO="Manual",$M56=$A$15)),0,
         IF(OFFSET(CRONOPLE!$F$15,$M56-$A$15,AV$13)="",10^12,OFFSET(CRONOPLE!$F$15,$M56-$A$15,AV$13)))</f>
        <v>1000000000000</v>
      </c>
      <c r="AX56" s="179">
        <f ca="1">IF(OR($D56&lt;&gt;"Serviço",AND(AUTOEVENTO="Manual",$M56=$A$15),$M56&gt;(ROW(PLE.lastrow)-ROW(PLE.firstrow))),0,
           IF(OFFSET(PLE!$G$15,$M56-$A$15,AX$13)="",10^12,OFFSET(PLE!$G$15,$M56-$A$15,AX$13)))</f>
        <v>1000000000000</v>
      </c>
      <c r="AY56" s="179">
        <f ca="1">IF(OR($D56&lt;&gt;"Serviço",AND(AUTOEVENTO="Manual",$M56=$A$15),$M56&gt;(ROW(PLE.lastrow)-ROW(PLE.firstrow))),0,
           IF(OFFSET(PLE!$G$15,$M56-$A$15,AY$13)="",10^12,OFFSET(PLE!$G$15,$M56-$A$15,AY$13)))</f>
        <v>1000000000000</v>
      </c>
      <c r="AZ56" s="179">
        <f ca="1">IF(OR($D56&lt;&gt;"Serviço",AND(AUTOEVENTO="Manual",$M56=$A$15),$M56&gt;(ROW(PLE.lastrow)-ROW(PLE.firstrow))),0,
           IF(OFFSET(PLE!$G$15,$M56-$A$15,AZ$13)="",10^12,OFFSET(PLE!$G$15,$M56-$A$15,AZ$13)))</f>
        <v>1000000000000</v>
      </c>
      <c r="BA56" s="179">
        <f ca="1">IF(OR($D56&lt;&gt;"Serviço",AND(AUTOEVENTO="Manual",$M56=$A$15),$M56&gt;(ROW(PLE.lastrow)-ROW(PLE.firstrow))),0,
           IF(OFFSET(PLE!$G$15,$M56-$A$15,BA$13)="",10^12,OFFSET(PLE!$G$15,$M56-$A$15,BA$13)))</f>
        <v>1000000000000</v>
      </c>
      <c r="BB56" s="179">
        <f ca="1">IF(OR($D56&lt;&gt;"Serviço",AND(AUTOEVENTO="Manual",$M56=$A$15),$M56&gt;(ROW(PLE.lastrow)-ROW(PLE.firstrow))),0,
           IF(OFFSET(PLE!$G$15,$M56-$A$15,BB$13)="",10^12,OFFSET(PLE!$G$15,$M56-$A$15,BB$13)))</f>
        <v>1000000000000</v>
      </c>
      <c r="BC56" s="179">
        <f ca="1">IF(OR($D56&lt;&gt;"Serviço",AND(AUTOEVENTO="Manual",$M56=$A$15),$M56&gt;(ROW(PLE.lastrow)-ROW(PLE.firstrow))),0,
           IF(OFFSET(PLE!$G$15,$M56-$A$15,BC$13)="",10^12,OFFSET(PLE!$G$15,$M56-$A$15,BC$13)))</f>
        <v>1000000000000</v>
      </c>
      <c r="BD56" s="179">
        <f ca="1">IF(OR($D56&lt;&gt;"Serviço",AND(AUTOEVENTO="Manual",$M56=$A$15),$M56&gt;(ROW(PLE.lastrow)-ROW(PLE.firstrow))),0,
           IF(OFFSET(PLE!$G$15,$M56-$A$15,BD$13)="",10^12,OFFSET(PLE!$G$15,$M56-$A$15,BD$13)))</f>
        <v>1000000000000</v>
      </c>
      <c r="BE56" s="179">
        <f ca="1">IF(OR($D56&lt;&gt;"Serviço",AND(AUTOEVENTO="Manual",$M56=$A$15),$M56&gt;(ROW(PLE.lastrow)-ROW(PLE.firstrow))),0,
           IF(OFFSET(PLE!$G$15,$M56-$A$15,BE$13)="",10^12,OFFSET(PLE!$G$15,$M56-$A$15,BE$13)))</f>
        <v>1000000000000</v>
      </c>
      <c r="BF56" s="179">
        <f ca="1">IF(OR($D56&lt;&gt;"Serviço",AND(AUTOEVENTO="Manual",$M56=$A$15),$M56&gt;(ROW(PLE.lastrow)-ROW(PLE.firstrow))),0,
           IF(OFFSET(PLE!$G$15,$M56-$A$15,BF$13)="",10^12,OFFSET(PLE!$G$15,$M56-$A$15,BF$13)))</f>
        <v>1000000000000</v>
      </c>
      <c r="BG56" s="179">
        <f ca="1">IF(OR($D56&lt;&gt;"Serviço",AND(AUTOEVENTO="Manual",$M56=$A$15),$M56&gt;(ROW(PLE.lastrow)-ROW(PLE.firstrow))),0,
           IF(OFFSET(PLE!$G$15,$M56-$A$15,BG$13)="",10^12,OFFSET(PLE!$G$15,$M56-$A$15,BG$13)))</f>
        <v>1000000000000</v>
      </c>
    </row>
    <row r="57" spans="1:59" ht="38.25" x14ac:dyDescent="0.2">
      <c r="A57" s="7" t="str">
        <f ca="1">IF(AUTOEVENTO="Manual",IF(K57&lt;&gt;"",MIN(VALUE(LEFT(K57,FIND(".",K57)-1)),COUNTA(EVENTOS.Lista)),0),IF(OR($B57&gt;AUTOEVENTO,$B57="S",$B57=0),SUBSTITUTE(OFFSET($A57,-1,0),IF($D57="Serviço",".",""),""),ROW(A57)-ROW($A$15)&amp;"."))</f>
        <v>37</v>
      </c>
      <c r="B57" s="7" t="str">
        <f ca="1">OFFSET(ORÇAMENTO!C$15,ROW(B57)-ROW(B$15),0)</f>
        <v>S</v>
      </c>
      <c r="C57" s="7" t="str">
        <f ca="1">OFFSET(ORÇAMENTO!L$15,ROW(C57)-ROW(C$15),0)</f>
        <v/>
      </c>
      <c r="D57" s="118" t="str">
        <f ca="1">OFFSET(ORÇAMENTO!N$15,ROW(D57)-ROW(D$15),0)</f>
        <v>Serviço</v>
      </c>
      <c r="E57" s="119" t="str">
        <f ca="1">OFFSET(ORÇAMENTO!O$15,ROW(E57)-ROW(E$15),0)</f>
        <v>-</v>
      </c>
      <c r="F57" s="170" t="str">
        <f ca="1">OFFSET(ORÇAMENTO!R$15,ROW(F57)-ROW(F$15),0)</f>
        <v>(abra o arquivo 'Referência 04-2026.xlsm)</v>
      </c>
      <c r="G57" s="171" t="str">
        <f ca="1">IF($D57&lt;&gt;"Serviço","",OFFSET(ORÇAMENTO!S$15,ROW(G57)-ROW(G$15),0))</f>
        <v>-</v>
      </c>
      <c r="H57" s="124" cm="1">
        <f t="array" aca="1" ref="H57" ca="1">IF($D57&lt;&gt;"Serviço",0,IF(_xlfn.SINGLE(ACOMPANHAMENTO)="BM",ROUND(OFFSET(ORÇAMENTO!AJ$15,ROW(H57)-ROW(H$15),0),15-13*ORÇAMENTO!$AF$7),SUMPRODUCT(($Q$1:$AA$1)*ROUND($Q57:$AA57,15-13*ORÇAMENTO!$AF$7))))</f>
        <v>6.3</v>
      </c>
      <c r="I57" s="500" t="s">
        <v>1022</v>
      </c>
      <c r="J57" s="633" t="str" cm="1">
        <f t="array" aca="1" ref="J57" ca="1">IF(B57&lt;&gt;"S","",IF(AND(ACOMPANHAMENTO="PLE",AUTOEVENTO="Manual",OR(H57&gt;0,ORÇAMENTO!AC57="QUANT."),OR(K57="",M57=0,N57="")),"►",IF(AND(ACOMPANHAMENTO="PLE",ORÇAMENTO!AC57="QUANT."),"►►",IF(AND(COUNTIF($P$11:$AA$11,"▼")=0,H57&gt;0,I57=""),"◄",""))))</f>
        <v/>
      </c>
      <c r="K57" s="624"/>
      <c r="L57" s="172" t="s">
        <v>253</v>
      </c>
      <c r="M57" s="173">
        <f ca="1">IF($D57&lt;&gt;"Serviço","",
          IF(AUTOEVENTO="manual",$A57,
                IF(ISERROR(MATCH($A57,$A$15:OFFSET($A57,-1,0),0)),MAX($M$15:OFFSET(M57,-1,0))+1,
                      INDEX($M$15:OFFSET(M57,-1,0),MATCH($A57,$A$15:OFFSET($A57,-1,0),0)))))</f>
        <v>7</v>
      </c>
      <c r="N57" s="174" t="str">
        <f ca="1">IF($D57&lt;&gt;"Serviço","",
         IF(AUTOEVENTO="Manual",
                IF($A57=0,"&lt;-- defina o número do agrupador",
                       OFFSET(EVENTOS!$D$15,$A57-$A$15,0)),
                OFFSET($F$15,$A57,0)))</f>
        <v>PISO DE CONCRETO CHURRASQUEIRA</v>
      </c>
      <c r="O57" s="175"/>
      <c r="Q57" s="175">
        <f>90*0.07</f>
        <v>6.3000000000000007</v>
      </c>
      <c r="R57" s="176"/>
      <c r="S57" s="176"/>
      <c r="T57" s="176"/>
      <c r="U57" s="176"/>
      <c r="V57" s="176"/>
      <c r="W57" s="176"/>
      <c r="X57" s="176"/>
      <c r="Y57" s="176"/>
      <c r="Z57" s="177"/>
      <c r="AB57" s="485">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85">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85">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85">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85">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85">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85">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85">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85">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85">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8">
        <f ca="1">IF(OR($D57&lt;&gt;"Serviço",AND(AUTOEVENTO="Manual",$M57=$A$15)),0,
         IF(OFFSET(CRONOPLE!$F$15,$M57-$A$15,AM$13)="",10^12,OFFSET(CRONOPLE!$F$15,$M57-$A$15,AM$13)))</f>
        <v>3</v>
      </c>
      <c r="AN57" s="178">
        <f ca="1">IF(OR($D57&lt;&gt;"Serviço",AND(AUTOEVENTO="Manual",$M57=$A$15)),0,
         IF(OFFSET(CRONOPLE!$F$15,$M57-$A$15,AN$13)="",10^12,OFFSET(CRONOPLE!$F$15,$M57-$A$15,AN$13)))</f>
        <v>1000000000000</v>
      </c>
      <c r="AO57" s="178">
        <f ca="1">IF(OR($D57&lt;&gt;"Serviço",AND(AUTOEVENTO="Manual",$M57=$A$15)),0,
         IF(OFFSET(CRONOPLE!$F$15,$M57-$A$15,AO$13)="",10^12,OFFSET(CRONOPLE!$F$15,$M57-$A$15,AO$13)))</f>
        <v>1000000000000</v>
      </c>
      <c r="AP57" s="178">
        <f ca="1">IF(OR($D57&lt;&gt;"Serviço",AND(AUTOEVENTO="Manual",$M57=$A$15)),0,
         IF(OFFSET(CRONOPLE!$F$15,$M57-$A$15,AP$13)="",10^12,OFFSET(CRONOPLE!$F$15,$M57-$A$15,AP$13)))</f>
        <v>1000000000000</v>
      </c>
      <c r="AQ57" s="178">
        <f ca="1">IF(OR($D57&lt;&gt;"Serviço",AND(AUTOEVENTO="Manual",$M57=$A$15)),0,
         IF(OFFSET(CRONOPLE!$F$15,$M57-$A$15,AQ$13)="",10^12,OFFSET(CRONOPLE!$F$15,$M57-$A$15,AQ$13)))</f>
        <v>1000000000000</v>
      </c>
      <c r="AR57" s="178">
        <f ca="1">IF(OR($D57&lt;&gt;"Serviço",AND(AUTOEVENTO="Manual",$M57=$A$15)),0,
         IF(OFFSET(CRONOPLE!$F$15,$M57-$A$15,AR$13)="",10^12,OFFSET(CRONOPLE!$F$15,$M57-$A$15,AR$13)))</f>
        <v>1000000000000</v>
      </c>
      <c r="AS57" s="178">
        <f ca="1">IF(OR($D57&lt;&gt;"Serviço",AND(AUTOEVENTO="Manual",$M57=$A$15)),0,
         IF(OFFSET(CRONOPLE!$F$15,$M57-$A$15,AS$13)="",10^12,OFFSET(CRONOPLE!$F$15,$M57-$A$15,AS$13)))</f>
        <v>1000000000000</v>
      </c>
      <c r="AT57" s="178">
        <f ca="1">IF(OR($D57&lt;&gt;"Serviço",AND(AUTOEVENTO="Manual",$M57=$A$15)),0,
         IF(OFFSET(CRONOPLE!$F$15,$M57-$A$15,AT$13)="",10^12,OFFSET(CRONOPLE!$F$15,$M57-$A$15,AT$13)))</f>
        <v>1000000000000</v>
      </c>
      <c r="AU57" s="178">
        <f ca="1">IF(OR($D57&lt;&gt;"Serviço",AND(AUTOEVENTO="Manual",$M57=$A$15)),0,
         IF(OFFSET(CRONOPLE!$F$15,$M57-$A$15,AU$13)="",10^12,OFFSET(CRONOPLE!$F$15,$M57-$A$15,AU$13)))</f>
        <v>1000000000000</v>
      </c>
      <c r="AV57" s="178">
        <f ca="1">IF(OR($D57&lt;&gt;"Serviço",AND(AUTOEVENTO="Manual",$M57=$A$15)),0,
         IF(OFFSET(CRONOPLE!$F$15,$M57-$A$15,AV$13)="",10^12,OFFSET(CRONOPLE!$F$15,$M57-$A$15,AV$13)))</f>
        <v>1000000000000</v>
      </c>
      <c r="AX57" s="179">
        <f ca="1">IF(OR($D57&lt;&gt;"Serviço",AND(AUTOEVENTO="Manual",$M57=$A$15),$M57&gt;(ROW(PLE.lastrow)-ROW(PLE.firstrow))),0,
           IF(OFFSET(PLE!$G$15,$M57-$A$15,AX$13)="",10^12,OFFSET(PLE!$G$15,$M57-$A$15,AX$13)))</f>
        <v>1000000000000</v>
      </c>
      <c r="AY57" s="179">
        <f ca="1">IF(OR($D57&lt;&gt;"Serviço",AND(AUTOEVENTO="Manual",$M57=$A$15),$M57&gt;(ROW(PLE.lastrow)-ROW(PLE.firstrow))),0,
           IF(OFFSET(PLE!$G$15,$M57-$A$15,AY$13)="",10^12,OFFSET(PLE!$G$15,$M57-$A$15,AY$13)))</f>
        <v>1000000000000</v>
      </c>
      <c r="AZ57" s="179">
        <f ca="1">IF(OR($D57&lt;&gt;"Serviço",AND(AUTOEVENTO="Manual",$M57=$A$15),$M57&gt;(ROW(PLE.lastrow)-ROW(PLE.firstrow))),0,
           IF(OFFSET(PLE!$G$15,$M57-$A$15,AZ$13)="",10^12,OFFSET(PLE!$G$15,$M57-$A$15,AZ$13)))</f>
        <v>1000000000000</v>
      </c>
      <c r="BA57" s="179">
        <f ca="1">IF(OR($D57&lt;&gt;"Serviço",AND(AUTOEVENTO="Manual",$M57=$A$15),$M57&gt;(ROW(PLE.lastrow)-ROW(PLE.firstrow))),0,
           IF(OFFSET(PLE!$G$15,$M57-$A$15,BA$13)="",10^12,OFFSET(PLE!$G$15,$M57-$A$15,BA$13)))</f>
        <v>1000000000000</v>
      </c>
      <c r="BB57" s="179">
        <f ca="1">IF(OR($D57&lt;&gt;"Serviço",AND(AUTOEVENTO="Manual",$M57=$A$15),$M57&gt;(ROW(PLE.lastrow)-ROW(PLE.firstrow))),0,
           IF(OFFSET(PLE!$G$15,$M57-$A$15,BB$13)="",10^12,OFFSET(PLE!$G$15,$M57-$A$15,BB$13)))</f>
        <v>1000000000000</v>
      </c>
      <c r="BC57" s="179">
        <f ca="1">IF(OR($D57&lt;&gt;"Serviço",AND(AUTOEVENTO="Manual",$M57=$A$15),$M57&gt;(ROW(PLE.lastrow)-ROW(PLE.firstrow))),0,
           IF(OFFSET(PLE!$G$15,$M57-$A$15,BC$13)="",10^12,OFFSET(PLE!$G$15,$M57-$A$15,BC$13)))</f>
        <v>1000000000000</v>
      </c>
      <c r="BD57" s="179">
        <f ca="1">IF(OR($D57&lt;&gt;"Serviço",AND(AUTOEVENTO="Manual",$M57=$A$15),$M57&gt;(ROW(PLE.lastrow)-ROW(PLE.firstrow))),0,
           IF(OFFSET(PLE!$G$15,$M57-$A$15,BD$13)="",10^12,OFFSET(PLE!$G$15,$M57-$A$15,BD$13)))</f>
        <v>1000000000000</v>
      </c>
      <c r="BE57" s="179">
        <f ca="1">IF(OR($D57&lt;&gt;"Serviço",AND(AUTOEVENTO="Manual",$M57=$A$15),$M57&gt;(ROW(PLE.lastrow)-ROW(PLE.firstrow))),0,
           IF(OFFSET(PLE!$G$15,$M57-$A$15,BE$13)="",10^12,OFFSET(PLE!$G$15,$M57-$A$15,BE$13)))</f>
        <v>1000000000000</v>
      </c>
      <c r="BF57" s="179">
        <f ca="1">IF(OR($D57&lt;&gt;"Serviço",AND(AUTOEVENTO="Manual",$M57=$A$15),$M57&gt;(ROW(PLE.lastrow)-ROW(PLE.firstrow))),0,
           IF(OFFSET(PLE!$G$15,$M57-$A$15,BF$13)="",10^12,OFFSET(PLE!$G$15,$M57-$A$15,BF$13)))</f>
        <v>1000000000000</v>
      </c>
      <c r="BG57" s="179">
        <f ca="1">IF(OR($D57&lt;&gt;"Serviço",AND(AUTOEVENTO="Manual",$M57=$A$15),$M57&gt;(ROW(PLE.lastrow)-ROW(PLE.firstrow))),0,
           IF(OFFSET(PLE!$G$15,$M57-$A$15,BG$13)="",10^12,OFFSET(PLE!$G$15,$M57-$A$15,BG$13)))</f>
        <v>1000000000000</v>
      </c>
    </row>
    <row r="58" spans="1:59" ht="38.25" x14ac:dyDescent="0.2">
      <c r="A58" s="7" t="str">
        <f ca="1">IF(AUTOEVENTO="Manual",IF(K58&lt;&gt;"",MIN(VALUE(LEFT(K58,FIND(".",K58)-1)),COUNTA(EVENTOS.Lista)),0),IF(OR($B58&gt;AUTOEVENTO,$B58="S",$B58=0),SUBSTITUTE(OFFSET($A58,-1,0),IF($D58="Serviço",".",""),""),ROW(A58)-ROW($A$15)&amp;"."))</f>
        <v>37</v>
      </c>
      <c r="B58" s="7" t="str">
        <f ca="1">OFFSET(ORÇAMENTO!C$15,ROW(B58)-ROW(B$15),0)</f>
        <v>S</v>
      </c>
      <c r="C58" s="7" t="str">
        <f ca="1">OFFSET(ORÇAMENTO!L$15,ROW(C58)-ROW(C$15),0)</f>
        <v/>
      </c>
      <c r="D58" s="118" t="str">
        <f ca="1">OFFSET(ORÇAMENTO!N$15,ROW(D58)-ROW(D$15),0)</f>
        <v>Serviço</v>
      </c>
      <c r="E58" s="119" t="str">
        <f ca="1">OFFSET(ORÇAMENTO!O$15,ROW(E58)-ROW(E$15),0)</f>
        <v>-</v>
      </c>
      <c r="F58" s="170" t="str">
        <f ca="1">OFFSET(ORÇAMENTO!R$15,ROW(F58)-ROW(F$15),0)</f>
        <v>(abra o arquivo 'Referência 04-2026.xlsm)</v>
      </c>
      <c r="G58" s="171" t="str">
        <f ca="1">IF($D58&lt;&gt;"Serviço","",OFFSET(ORÇAMENTO!S$15,ROW(G58)-ROW(G$15),0))</f>
        <v>-</v>
      </c>
      <c r="H58" s="124" cm="1">
        <f t="array" aca="1" ref="H58" ca="1">IF($D58&lt;&gt;"Serviço",0,IF(_xlfn.SINGLE(ACOMPANHAMENTO)="BM",ROUND(OFFSET(ORÇAMENTO!AJ$15,ROW(H58)-ROW(H$15),0),15-13*ORÇAMENTO!$AF$7),SUMPRODUCT(($Q$1:$AA$1)*ROUND($Q58:$AA58,15-13*ORÇAMENTO!$AF$7))))</f>
        <v>42</v>
      </c>
      <c r="I58" s="500" t="s">
        <v>1019</v>
      </c>
      <c r="J58" s="633" t="str" cm="1">
        <f t="array" aca="1" ref="J58" ca="1">IF(B58&lt;&gt;"S","",IF(AND(ACOMPANHAMENTO="PLE",AUTOEVENTO="Manual",OR(H58&gt;0,ORÇAMENTO!AC58="QUANT."),OR(K58="",M58=0,N58="")),"►",IF(AND(ACOMPANHAMENTO="PLE",ORÇAMENTO!AC58="QUANT."),"►►",IF(AND(COUNTIF($P$11:$AA$11,"▼")=0,H58&gt;0,I58=""),"◄",""))))</f>
        <v/>
      </c>
      <c r="K58" s="624"/>
      <c r="L58" s="172" t="s">
        <v>253</v>
      </c>
      <c r="M58" s="173">
        <f ca="1">IF($D58&lt;&gt;"Serviço","",
          IF(AUTOEVENTO="manual",$A58,
                IF(ISERROR(MATCH($A58,$A$15:OFFSET($A58,-1,0),0)),MAX($M$15:OFFSET(M58,-1,0))+1,
                      INDEX($M$15:OFFSET(M58,-1,0),MATCH($A58,$A$15:OFFSET($A58,-1,0),0)))))</f>
        <v>7</v>
      </c>
      <c r="N58" s="174" t="str">
        <f ca="1">IF($D58&lt;&gt;"Serviço","",
         IF(AUTOEVENTO="Manual",
                IF($A58=0,"&lt;-- defina o número do agrupador",
                       OFFSET(EVENTOS!$D$15,$A58-$A$15,0)),
                OFFSET($F$15,$A58,0)))</f>
        <v>PISO DE CONCRETO CHURRASQUEIRA</v>
      </c>
      <c r="O58" s="175"/>
      <c r="Q58" s="175">
        <v>42</v>
      </c>
      <c r="R58" s="176"/>
      <c r="S58" s="176"/>
      <c r="T58" s="176"/>
      <c r="U58" s="176"/>
      <c r="V58" s="176"/>
      <c r="W58" s="176"/>
      <c r="X58" s="176"/>
      <c r="Y58" s="176"/>
      <c r="Z58" s="177"/>
      <c r="AB58" s="485">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85">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85">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85">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85">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85">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85">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85">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85">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85">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8">
        <f ca="1">IF(OR($D58&lt;&gt;"Serviço",AND(AUTOEVENTO="Manual",$M58=$A$15)),0,
         IF(OFFSET(CRONOPLE!$F$15,$M58-$A$15,AM$13)="",10^12,OFFSET(CRONOPLE!$F$15,$M58-$A$15,AM$13)))</f>
        <v>3</v>
      </c>
      <c r="AN58" s="178">
        <f ca="1">IF(OR($D58&lt;&gt;"Serviço",AND(AUTOEVENTO="Manual",$M58=$A$15)),0,
         IF(OFFSET(CRONOPLE!$F$15,$M58-$A$15,AN$13)="",10^12,OFFSET(CRONOPLE!$F$15,$M58-$A$15,AN$13)))</f>
        <v>1000000000000</v>
      </c>
      <c r="AO58" s="178">
        <f ca="1">IF(OR($D58&lt;&gt;"Serviço",AND(AUTOEVENTO="Manual",$M58=$A$15)),0,
         IF(OFFSET(CRONOPLE!$F$15,$M58-$A$15,AO$13)="",10^12,OFFSET(CRONOPLE!$F$15,$M58-$A$15,AO$13)))</f>
        <v>1000000000000</v>
      </c>
      <c r="AP58" s="178">
        <f ca="1">IF(OR($D58&lt;&gt;"Serviço",AND(AUTOEVENTO="Manual",$M58=$A$15)),0,
         IF(OFFSET(CRONOPLE!$F$15,$M58-$A$15,AP$13)="",10^12,OFFSET(CRONOPLE!$F$15,$M58-$A$15,AP$13)))</f>
        <v>1000000000000</v>
      </c>
      <c r="AQ58" s="178">
        <f ca="1">IF(OR($D58&lt;&gt;"Serviço",AND(AUTOEVENTO="Manual",$M58=$A$15)),0,
         IF(OFFSET(CRONOPLE!$F$15,$M58-$A$15,AQ$13)="",10^12,OFFSET(CRONOPLE!$F$15,$M58-$A$15,AQ$13)))</f>
        <v>1000000000000</v>
      </c>
      <c r="AR58" s="178">
        <f ca="1">IF(OR($D58&lt;&gt;"Serviço",AND(AUTOEVENTO="Manual",$M58=$A$15)),0,
         IF(OFFSET(CRONOPLE!$F$15,$M58-$A$15,AR$13)="",10^12,OFFSET(CRONOPLE!$F$15,$M58-$A$15,AR$13)))</f>
        <v>1000000000000</v>
      </c>
      <c r="AS58" s="178">
        <f ca="1">IF(OR($D58&lt;&gt;"Serviço",AND(AUTOEVENTO="Manual",$M58=$A$15)),0,
         IF(OFFSET(CRONOPLE!$F$15,$M58-$A$15,AS$13)="",10^12,OFFSET(CRONOPLE!$F$15,$M58-$A$15,AS$13)))</f>
        <v>1000000000000</v>
      </c>
      <c r="AT58" s="178">
        <f ca="1">IF(OR($D58&lt;&gt;"Serviço",AND(AUTOEVENTO="Manual",$M58=$A$15)),0,
         IF(OFFSET(CRONOPLE!$F$15,$M58-$A$15,AT$13)="",10^12,OFFSET(CRONOPLE!$F$15,$M58-$A$15,AT$13)))</f>
        <v>1000000000000</v>
      </c>
      <c r="AU58" s="178">
        <f ca="1">IF(OR($D58&lt;&gt;"Serviço",AND(AUTOEVENTO="Manual",$M58=$A$15)),0,
         IF(OFFSET(CRONOPLE!$F$15,$M58-$A$15,AU$13)="",10^12,OFFSET(CRONOPLE!$F$15,$M58-$A$15,AU$13)))</f>
        <v>1000000000000</v>
      </c>
      <c r="AV58" s="178">
        <f ca="1">IF(OR($D58&lt;&gt;"Serviço",AND(AUTOEVENTO="Manual",$M58=$A$15)),0,
         IF(OFFSET(CRONOPLE!$F$15,$M58-$A$15,AV$13)="",10^12,OFFSET(CRONOPLE!$F$15,$M58-$A$15,AV$13)))</f>
        <v>1000000000000</v>
      </c>
      <c r="AX58" s="179">
        <f ca="1">IF(OR($D58&lt;&gt;"Serviço",AND(AUTOEVENTO="Manual",$M58=$A$15),$M58&gt;(ROW(PLE.lastrow)-ROW(PLE.firstrow))),0,
           IF(OFFSET(PLE!$G$15,$M58-$A$15,AX$13)="",10^12,OFFSET(PLE!$G$15,$M58-$A$15,AX$13)))</f>
        <v>1000000000000</v>
      </c>
      <c r="AY58" s="179">
        <f ca="1">IF(OR($D58&lt;&gt;"Serviço",AND(AUTOEVENTO="Manual",$M58=$A$15),$M58&gt;(ROW(PLE.lastrow)-ROW(PLE.firstrow))),0,
           IF(OFFSET(PLE!$G$15,$M58-$A$15,AY$13)="",10^12,OFFSET(PLE!$G$15,$M58-$A$15,AY$13)))</f>
        <v>1000000000000</v>
      </c>
      <c r="AZ58" s="179">
        <f ca="1">IF(OR($D58&lt;&gt;"Serviço",AND(AUTOEVENTO="Manual",$M58=$A$15),$M58&gt;(ROW(PLE.lastrow)-ROW(PLE.firstrow))),0,
           IF(OFFSET(PLE!$G$15,$M58-$A$15,AZ$13)="",10^12,OFFSET(PLE!$G$15,$M58-$A$15,AZ$13)))</f>
        <v>1000000000000</v>
      </c>
      <c r="BA58" s="179">
        <f ca="1">IF(OR($D58&lt;&gt;"Serviço",AND(AUTOEVENTO="Manual",$M58=$A$15),$M58&gt;(ROW(PLE.lastrow)-ROW(PLE.firstrow))),0,
           IF(OFFSET(PLE!$G$15,$M58-$A$15,BA$13)="",10^12,OFFSET(PLE!$G$15,$M58-$A$15,BA$13)))</f>
        <v>1000000000000</v>
      </c>
      <c r="BB58" s="179">
        <f ca="1">IF(OR($D58&lt;&gt;"Serviço",AND(AUTOEVENTO="Manual",$M58=$A$15),$M58&gt;(ROW(PLE.lastrow)-ROW(PLE.firstrow))),0,
           IF(OFFSET(PLE!$G$15,$M58-$A$15,BB$13)="",10^12,OFFSET(PLE!$G$15,$M58-$A$15,BB$13)))</f>
        <v>1000000000000</v>
      </c>
      <c r="BC58" s="179">
        <f ca="1">IF(OR($D58&lt;&gt;"Serviço",AND(AUTOEVENTO="Manual",$M58=$A$15),$M58&gt;(ROW(PLE.lastrow)-ROW(PLE.firstrow))),0,
           IF(OFFSET(PLE!$G$15,$M58-$A$15,BC$13)="",10^12,OFFSET(PLE!$G$15,$M58-$A$15,BC$13)))</f>
        <v>1000000000000</v>
      </c>
      <c r="BD58" s="179">
        <f ca="1">IF(OR($D58&lt;&gt;"Serviço",AND(AUTOEVENTO="Manual",$M58=$A$15),$M58&gt;(ROW(PLE.lastrow)-ROW(PLE.firstrow))),0,
           IF(OFFSET(PLE!$G$15,$M58-$A$15,BD$13)="",10^12,OFFSET(PLE!$G$15,$M58-$A$15,BD$13)))</f>
        <v>1000000000000</v>
      </c>
      <c r="BE58" s="179">
        <f ca="1">IF(OR($D58&lt;&gt;"Serviço",AND(AUTOEVENTO="Manual",$M58=$A$15),$M58&gt;(ROW(PLE.lastrow)-ROW(PLE.firstrow))),0,
           IF(OFFSET(PLE!$G$15,$M58-$A$15,BE$13)="",10^12,OFFSET(PLE!$G$15,$M58-$A$15,BE$13)))</f>
        <v>1000000000000</v>
      </c>
      <c r="BF58" s="179">
        <f ca="1">IF(OR($D58&lt;&gt;"Serviço",AND(AUTOEVENTO="Manual",$M58=$A$15),$M58&gt;(ROW(PLE.lastrow)-ROW(PLE.firstrow))),0,
           IF(OFFSET(PLE!$G$15,$M58-$A$15,BF$13)="",10^12,OFFSET(PLE!$G$15,$M58-$A$15,BF$13)))</f>
        <v>1000000000000</v>
      </c>
      <c r="BG58" s="179">
        <f ca="1">IF(OR($D58&lt;&gt;"Serviço",AND(AUTOEVENTO="Manual",$M58=$A$15),$M58&gt;(ROW(PLE.lastrow)-ROW(PLE.firstrow))),0,
           IF(OFFSET(PLE!$G$15,$M58-$A$15,BG$13)="",10^12,OFFSET(PLE!$G$15,$M58-$A$15,BG$13)))</f>
        <v>1000000000000</v>
      </c>
    </row>
    <row r="59" spans="1:59" ht="12.75" x14ac:dyDescent="0.2">
      <c r="A59" s="7" t="str">
        <f ca="1">IF(AUTOEVENTO="Manual",IF(K59&lt;&gt;"",MIN(VALUE(LEFT(K59,FIND(".",K59)-1)),COUNTA(EVENTOS.Lista)),0),IF(OR($B59&gt;AUTOEVENTO,$B59="S",$B59=0),SUBSTITUTE(OFFSET($A59,-1,0),IF($D59="Serviço",".",""),""),ROW(A59)-ROW($A$15)&amp;"."))</f>
        <v>44.</v>
      </c>
      <c r="B59" s="7">
        <f ca="1">OFFSET(ORÇAMENTO!C$15,ROW(B59)-ROW(B$15),0)</f>
        <v>2</v>
      </c>
      <c r="C59" s="7" t="str">
        <f ca="1">OFFSET(ORÇAMENTO!L$15,ROW(C59)-ROW(C$15),0)</f>
        <v>F</v>
      </c>
      <c r="D59" s="118" t="str">
        <f ca="1">OFFSET(ORÇAMENTO!N$15,ROW(D59)-ROW(D$15),0)</f>
        <v>Nível 2</v>
      </c>
      <c r="E59" s="119" t="str">
        <f ca="1">OFFSET(ORÇAMENTO!O$15,ROW(E59)-ROW(E$15),0)</f>
        <v>2.6.</v>
      </c>
      <c r="F59" s="170" t="str">
        <f ca="1">OFFSET(ORÇAMENTO!R$15,ROW(F59)-ROW(F$15),0)</f>
        <v>INSTALAÇÃO DO TELHADO</v>
      </c>
      <c r="G59" s="171" t="str">
        <f ca="1">IF($D59&lt;&gt;"Serviço","",OFFSET(ORÇAMENTO!S$15,ROW(G59)-ROW(G$15),0))</f>
        <v/>
      </c>
      <c r="H59" s="124" cm="1">
        <f t="array" aca="1" ref="H59" ca="1">IF($D59&lt;&gt;"Serviço",0,IF(_xlfn.SINGLE(ACOMPANHAMENTO)="BM",ROUND(OFFSET(ORÇAMENTO!AJ$15,ROW(H59)-ROW(H$15),0),15-13*ORÇAMENTO!$AF$7),SUMPRODUCT(($Q$1:$AA$1)*ROUND($Q59:$AA59,15-13*ORÇAMENTO!$AF$7))))</f>
        <v>0</v>
      </c>
      <c r="I59" s="500"/>
      <c r="J59" s="633" t="str" cm="1">
        <f t="array" aca="1" ref="J59" ca="1">IF(B59&lt;&gt;"S","",IF(AND(ACOMPANHAMENTO="PLE",AUTOEVENTO="Manual",OR(H59&gt;0,ORÇAMENTO!AC59="QUANT."),OR(K59="",M59=0,N59="")),"►",IF(AND(ACOMPANHAMENTO="PLE",ORÇAMENTO!AC59="QUANT."),"►►",IF(AND(COUNTIF($P$11:$AA$11,"▼")=0,H59&gt;0,I59=""),"◄",""))))</f>
        <v/>
      </c>
      <c r="K59" s="624"/>
      <c r="L59" s="172" t="s">
        <v>253</v>
      </c>
      <c r="M59" s="173" t="str">
        <f ca="1">IF($D59&lt;&gt;"Serviço","",
          IF(AUTOEVENTO="manual",$A59,
                IF(ISERROR(MATCH($A59,$A$15:OFFSET($A59,-1,0),0)),MAX($M$15:OFFSET(M59,-1,0))+1,
                      INDEX($M$15:OFFSET(M59,-1,0),MATCH($A59,$A$15:OFFSET($A59,-1,0),0)))))</f>
        <v/>
      </c>
      <c r="N59" s="174" t="str">
        <f ca="1">IF($D59&lt;&gt;"Serviço","",
         IF(AUTOEVENTO="Manual",
                IF($A59=0,"&lt;-- defina o número do agrupador",
                       OFFSET(EVENTOS!$D$15,$A59-$A$15,0)),
                OFFSET($F$15,$A59,0)))</f>
        <v/>
      </c>
      <c r="O59" s="175"/>
      <c r="Q59" s="175"/>
      <c r="R59" s="176"/>
      <c r="S59" s="176"/>
      <c r="T59" s="176"/>
      <c r="U59" s="176"/>
      <c r="V59" s="176"/>
      <c r="W59" s="176"/>
      <c r="X59" s="176"/>
      <c r="Y59" s="176"/>
      <c r="Z59" s="177"/>
      <c r="AB59" s="485">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85">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85">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85">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85">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85">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85">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85">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85">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85">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8">
        <f ca="1">IF(OR($D59&lt;&gt;"Serviço",AND(AUTOEVENTO="Manual",$M59=$A$15)),0,
         IF(OFFSET(CRONOPLE!$F$15,$M59-$A$15,AM$13)="",10^12,OFFSET(CRONOPLE!$F$15,$M59-$A$15,AM$13)))</f>
        <v>0</v>
      </c>
      <c r="AN59" s="178">
        <f ca="1">IF(OR($D59&lt;&gt;"Serviço",AND(AUTOEVENTO="Manual",$M59=$A$15)),0,
         IF(OFFSET(CRONOPLE!$F$15,$M59-$A$15,AN$13)="",10^12,OFFSET(CRONOPLE!$F$15,$M59-$A$15,AN$13)))</f>
        <v>0</v>
      </c>
      <c r="AO59" s="178">
        <f ca="1">IF(OR($D59&lt;&gt;"Serviço",AND(AUTOEVENTO="Manual",$M59=$A$15)),0,
         IF(OFFSET(CRONOPLE!$F$15,$M59-$A$15,AO$13)="",10^12,OFFSET(CRONOPLE!$F$15,$M59-$A$15,AO$13)))</f>
        <v>0</v>
      </c>
      <c r="AP59" s="178">
        <f ca="1">IF(OR($D59&lt;&gt;"Serviço",AND(AUTOEVENTO="Manual",$M59=$A$15)),0,
         IF(OFFSET(CRONOPLE!$F$15,$M59-$A$15,AP$13)="",10^12,OFFSET(CRONOPLE!$F$15,$M59-$A$15,AP$13)))</f>
        <v>0</v>
      </c>
      <c r="AQ59" s="178">
        <f ca="1">IF(OR($D59&lt;&gt;"Serviço",AND(AUTOEVENTO="Manual",$M59=$A$15)),0,
         IF(OFFSET(CRONOPLE!$F$15,$M59-$A$15,AQ$13)="",10^12,OFFSET(CRONOPLE!$F$15,$M59-$A$15,AQ$13)))</f>
        <v>0</v>
      </c>
      <c r="AR59" s="178">
        <f ca="1">IF(OR($D59&lt;&gt;"Serviço",AND(AUTOEVENTO="Manual",$M59=$A$15)),0,
         IF(OFFSET(CRONOPLE!$F$15,$M59-$A$15,AR$13)="",10^12,OFFSET(CRONOPLE!$F$15,$M59-$A$15,AR$13)))</f>
        <v>0</v>
      </c>
      <c r="AS59" s="178">
        <f ca="1">IF(OR($D59&lt;&gt;"Serviço",AND(AUTOEVENTO="Manual",$M59=$A$15)),0,
         IF(OFFSET(CRONOPLE!$F$15,$M59-$A$15,AS$13)="",10^12,OFFSET(CRONOPLE!$F$15,$M59-$A$15,AS$13)))</f>
        <v>0</v>
      </c>
      <c r="AT59" s="178">
        <f ca="1">IF(OR($D59&lt;&gt;"Serviço",AND(AUTOEVENTO="Manual",$M59=$A$15)),0,
         IF(OFFSET(CRONOPLE!$F$15,$M59-$A$15,AT$13)="",10^12,OFFSET(CRONOPLE!$F$15,$M59-$A$15,AT$13)))</f>
        <v>0</v>
      </c>
      <c r="AU59" s="178">
        <f ca="1">IF(OR($D59&lt;&gt;"Serviço",AND(AUTOEVENTO="Manual",$M59=$A$15)),0,
         IF(OFFSET(CRONOPLE!$F$15,$M59-$A$15,AU$13)="",10^12,OFFSET(CRONOPLE!$F$15,$M59-$A$15,AU$13)))</f>
        <v>0</v>
      </c>
      <c r="AV59" s="178">
        <f ca="1">IF(OR($D59&lt;&gt;"Serviço",AND(AUTOEVENTO="Manual",$M59=$A$15)),0,
         IF(OFFSET(CRONOPLE!$F$15,$M59-$A$15,AV$13)="",10^12,OFFSET(CRONOPLE!$F$15,$M59-$A$15,AV$13)))</f>
        <v>0</v>
      </c>
      <c r="AX59" s="179">
        <f ca="1">IF(OR($D59&lt;&gt;"Serviço",AND(AUTOEVENTO="Manual",$M59=$A$15),$M59&gt;(ROW(PLE.lastrow)-ROW(PLE.firstrow))),0,
           IF(OFFSET(PLE!$G$15,$M59-$A$15,AX$13)="",10^12,OFFSET(PLE!$G$15,$M59-$A$15,AX$13)))</f>
        <v>0</v>
      </c>
      <c r="AY59" s="179">
        <f ca="1">IF(OR($D59&lt;&gt;"Serviço",AND(AUTOEVENTO="Manual",$M59=$A$15),$M59&gt;(ROW(PLE.lastrow)-ROW(PLE.firstrow))),0,
           IF(OFFSET(PLE!$G$15,$M59-$A$15,AY$13)="",10^12,OFFSET(PLE!$G$15,$M59-$A$15,AY$13)))</f>
        <v>0</v>
      </c>
      <c r="AZ59" s="179">
        <f ca="1">IF(OR($D59&lt;&gt;"Serviço",AND(AUTOEVENTO="Manual",$M59=$A$15),$M59&gt;(ROW(PLE.lastrow)-ROW(PLE.firstrow))),0,
           IF(OFFSET(PLE!$G$15,$M59-$A$15,AZ$13)="",10^12,OFFSET(PLE!$G$15,$M59-$A$15,AZ$13)))</f>
        <v>0</v>
      </c>
      <c r="BA59" s="179">
        <f ca="1">IF(OR($D59&lt;&gt;"Serviço",AND(AUTOEVENTO="Manual",$M59=$A$15),$M59&gt;(ROW(PLE.lastrow)-ROW(PLE.firstrow))),0,
           IF(OFFSET(PLE!$G$15,$M59-$A$15,BA$13)="",10^12,OFFSET(PLE!$G$15,$M59-$A$15,BA$13)))</f>
        <v>0</v>
      </c>
      <c r="BB59" s="179">
        <f ca="1">IF(OR($D59&lt;&gt;"Serviço",AND(AUTOEVENTO="Manual",$M59=$A$15),$M59&gt;(ROW(PLE.lastrow)-ROW(PLE.firstrow))),0,
           IF(OFFSET(PLE!$G$15,$M59-$A$15,BB$13)="",10^12,OFFSET(PLE!$G$15,$M59-$A$15,BB$13)))</f>
        <v>0</v>
      </c>
      <c r="BC59" s="179">
        <f ca="1">IF(OR($D59&lt;&gt;"Serviço",AND(AUTOEVENTO="Manual",$M59=$A$15),$M59&gt;(ROW(PLE.lastrow)-ROW(PLE.firstrow))),0,
           IF(OFFSET(PLE!$G$15,$M59-$A$15,BC$13)="",10^12,OFFSET(PLE!$G$15,$M59-$A$15,BC$13)))</f>
        <v>0</v>
      </c>
      <c r="BD59" s="179">
        <f ca="1">IF(OR($D59&lt;&gt;"Serviço",AND(AUTOEVENTO="Manual",$M59=$A$15),$M59&gt;(ROW(PLE.lastrow)-ROW(PLE.firstrow))),0,
           IF(OFFSET(PLE!$G$15,$M59-$A$15,BD$13)="",10^12,OFFSET(PLE!$G$15,$M59-$A$15,BD$13)))</f>
        <v>0</v>
      </c>
      <c r="BE59" s="179">
        <f ca="1">IF(OR($D59&lt;&gt;"Serviço",AND(AUTOEVENTO="Manual",$M59=$A$15),$M59&gt;(ROW(PLE.lastrow)-ROW(PLE.firstrow))),0,
           IF(OFFSET(PLE!$G$15,$M59-$A$15,BE$13)="",10^12,OFFSET(PLE!$G$15,$M59-$A$15,BE$13)))</f>
        <v>0</v>
      </c>
      <c r="BF59" s="179">
        <f ca="1">IF(OR($D59&lt;&gt;"Serviço",AND(AUTOEVENTO="Manual",$M59=$A$15),$M59&gt;(ROW(PLE.lastrow)-ROW(PLE.firstrow))),0,
           IF(OFFSET(PLE!$G$15,$M59-$A$15,BF$13)="",10^12,OFFSET(PLE!$G$15,$M59-$A$15,BF$13)))</f>
        <v>0</v>
      </c>
      <c r="BG59" s="179">
        <f ca="1">IF(OR($D59&lt;&gt;"Serviço",AND(AUTOEVENTO="Manual",$M59=$A$15),$M59&gt;(ROW(PLE.lastrow)-ROW(PLE.firstrow))),0,
           IF(OFFSET(PLE!$G$15,$M59-$A$15,BG$13)="",10^12,OFFSET(PLE!$G$15,$M59-$A$15,BG$13)))</f>
        <v>0</v>
      </c>
    </row>
    <row r="60" spans="1:59" ht="38.25" x14ac:dyDescent="0.2">
      <c r="A60" s="7" t="str">
        <f ca="1">IF(AUTOEVENTO="Manual",IF(K60&lt;&gt;"",MIN(VALUE(LEFT(K60,FIND(".",K60)-1)),COUNTA(EVENTOS.Lista)),0),IF(OR($B60&gt;AUTOEVENTO,$B60="S",$B60=0),SUBSTITUTE(OFFSET($A60,-1,0),IF($D60="Serviço",".",""),""),ROW(A60)-ROW($A$15)&amp;"."))</f>
        <v>44</v>
      </c>
      <c r="B60" s="7" t="str">
        <f ca="1">OFFSET(ORÇAMENTO!C$15,ROW(B60)-ROW(B$15),0)</f>
        <v>S</v>
      </c>
      <c r="C60" s="7" t="str">
        <f ca="1">OFFSET(ORÇAMENTO!L$15,ROW(C60)-ROW(C$15),0)</f>
        <v/>
      </c>
      <c r="D60" s="118" t="str">
        <f ca="1">OFFSET(ORÇAMENTO!N$15,ROW(D60)-ROW(D$15),0)</f>
        <v>Serviço</v>
      </c>
      <c r="E60" s="119" t="str">
        <f ca="1">OFFSET(ORÇAMENTO!O$15,ROW(E60)-ROW(E$15),0)</f>
        <v>-</v>
      </c>
      <c r="F60" s="170" t="str">
        <f ca="1">OFFSET(ORÇAMENTO!R$15,ROW(F60)-ROW(F$15),0)</f>
        <v>(abra o arquivo 'Referência 04-2026.xlsm)</v>
      </c>
      <c r="G60" s="171" t="str">
        <f ca="1">IF($D60&lt;&gt;"Serviço","",OFFSET(ORÇAMENTO!S$15,ROW(G60)-ROW(G$15),0))</f>
        <v>-</v>
      </c>
      <c r="H60" s="124" cm="1">
        <f t="array" aca="1" ref="H60" ca="1">IF($D60&lt;&gt;"Serviço",0,IF(_xlfn.SINGLE(ACOMPANHAMENTO)="BM",ROUND(OFFSET(ORÇAMENTO!AJ$15,ROW(H60)-ROW(H$15),0),15-13*ORÇAMENTO!$AF$7),SUMPRODUCT(($Q$1:$AA$1)*ROUND($Q60:$AA60,15-13*ORÇAMENTO!$AF$7))))</f>
        <v>267.83</v>
      </c>
      <c r="I60" s="500" t="s">
        <v>1055</v>
      </c>
      <c r="J60" s="633" t="str" cm="1">
        <f t="array" aca="1" ref="J60" ca="1">IF(B60&lt;&gt;"S","",IF(AND(ACOMPANHAMENTO="PLE",AUTOEVENTO="Manual",OR(H60&gt;0,ORÇAMENTO!AC60="QUANT."),OR(K60="",M60=0,N60="")),"►",IF(AND(ACOMPANHAMENTO="PLE",ORÇAMENTO!AC60="QUANT."),"►►",IF(AND(COUNTIF($P$11:$AA$11,"▼")=0,H60&gt;0,I60=""),"◄",""))))</f>
        <v/>
      </c>
      <c r="K60" s="624"/>
      <c r="L60" s="172" t="s">
        <v>253</v>
      </c>
      <c r="M60" s="173">
        <f ca="1">IF($D60&lt;&gt;"Serviço","",
          IF(AUTOEVENTO="manual",$A60,
                IF(ISERROR(MATCH($A60,$A$15:OFFSET($A60,-1,0),0)),MAX($M$15:OFFSET(M60,-1,0))+1,
                      INDEX($M$15:OFFSET(M60,-1,0),MATCH($A60,$A$15:OFFSET($A60,-1,0),0)))))</f>
        <v>8</v>
      </c>
      <c r="N60" s="174" t="str">
        <f ca="1">IF($D60&lt;&gt;"Serviço","",
         IF(AUTOEVENTO="Manual",
                IF($A60=0,"&lt;-- defina o número do agrupador",
                       OFFSET(EVENTOS!$D$15,$A60-$A$15,0)),
                OFFSET($F$15,$A60,0)))</f>
        <v>INSTALAÇÃO DO TELHADO</v>
      </c>
      <c r="O60" s="175"/>
      <c r="Q60" s="175">
        <f>(15.5+7.5)*3.45+(14.5)*1.9+(31.5*3.45)+(27.5*1.9)</f>
        <v>267.82500000000005</v>
      </c>
      <c r="R60" s="176"/>
      <c r="S60" s="176"/>
      <c r="T60" s="176"/>
      <c r="U60" s="176"/>
      <c r="V60" s="176"/>
      <c r="W60" s="176"/>
      <c r="X60" s="176"/>
      <c r="Y60" s="176"/>
      <c r="Z60" s="177"/>
      <c r="AB60" s="485">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85">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85">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85">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85">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85">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85">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85">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85">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85">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8">
        <f ca="1">IF(OR($D60&lt;&gt;"Serviço",AND(AUTOEVENTO="Manual",$M60=$A$15)),0,
         IF(OFFSET(CRONOPLE!$F$15,$M60-$A$15,AM$13)="",10^12,OFFSET(CRONOPLE!$F$15,$M60-$A$15,AM$13)))</f>
        <v>4</v>
      </c>
      <c r="AN60" s="178">
        <f ca="1">IF(OR($D60&lt;&gt;"Serviço",AND(AUTOEVENTO="Manual",$M60=$A$15)),0,
         IF(OFFSET(CRONOPLE!$F$15,$M60-$A$15,AN$13)="",10^12,OFFSET(CRONOPLE!$F$15,$M60-$A$15,AN$13)))</f>
        <v>1000000000000</v>
      </c>
      <c r="AO60" s="178">
        <f ca="1">IF(OR($D60&lt;&gt;"Serviço",AND(AUTOEVENTO="Manual",$M60=$A$15)),0,
         IF(OFFSET(CRONOPLE!$F$15,$M60-$A$15,AO$13)="",10^12,OFFSET(CRONOPLE!$F$15,$M60-$A$15,AO$13)))</f>
        <v>1000000000000</v>
      </c>
      <c r="AP60" s="178">
        <f ca="1">IF(OR($D60&lt;&gt;"Serviço",AND(AUTOEVENTO="Manual",$M60=$A$15)),0,
         IF(OFFSET(CRONOPLE!$F$15,$M60-$A$15,AP$13)="",10^12,OFFSET(CRONOPLE!$F$15,$M60-$A$15,AP$13)))</f>
        <v>1000000000000</v>
      </c>
      <c r="AQ60" s="178">
        <f ca="1">IF(OR($D60&lt;&gt;"Serviço",AND(AUTOEVENTO="Manual",$M60=$A$15)),0,
         IF(OFFSET(CRONOPLE!$F$15,$M60-$A$15,AQ$13)="",10^12,OFFSET(CRONOPLE!$F$15,$M60-$A$15,AQ$13)))</f>
        <v>1000000000000</v>
      </c>
      <c r="AR60" s="178">
        <f ca="1">IF(OR($D60&lt;&gt;"Serviço",AND(AUTOEVENTO="Manual",$M60=$A$15)),0,
         IF(OFFSET(CRONOPLE!$F$15,$M60-$A$15,AR$13)="",10^12,OFFSET(CRONOPLE!$F$15,$M60-$A$15,AR$13)))</f>
        <v>1000000000000</v>
      </c>
      <c r="AS60" s="178">
        <f ca="1">IF(OR($D60&lt;&gt;"Serviço",AND(AUTOEVENTO="Manual",$M60=$A$15)),0,
         IF(OFFSET(CRONOPLE!$F$15,$M60-$A$15,AS$13)="",10^12,OFFSET(CRONOPLE!$F$15,$M60-$A$15,AS$13)))</f>
        <v>1000000000000</v>
      </c>
      <c r="AT60" s="178">
        <f ca="1">IF(OR($D60&lt;&gt;"Serviço",AND(AUTOEVENTO="Manual",$M60=$A$15)),0,
         IF(OFFSET(CRONOPLE!$F$15,$M60-$A$15,AT$13)="",10^12,OFFSET(CRONOPLE!$F$15,$M60-$A$15,AT$13)))</f>
        <v>1000000000000</v>
      </c>
      <c r="AU60" s="178">
        <f ca="1">IF(OR($D60&lt;&gt;"Serviço",AND(AUTOEVENTO="Manual",$M60=$A$15)),0,
         IF(OFFSET(CRONOPLE!$F$15,$M60-$A$15,AU$13)="",10^12,OFFSET(CRONOPLE!$F$15,$M60-$A$15,AU$13)))</f>
        <v>1000000000000</v>
      </c>
      <c r="AV60" s="178">
        <f ca="1">IF(OR($D60&lt;&gt;"Serviço",AND(AUTOEVENTO="Manual",$M60=$A$15)),0,
         IF(OFFSET(CRONOPLE!$F$15,$M60-$A$15,AV$13)="",10^12,OFFSET(CRONOPLE!$F$15,$M60-$A$15,AV$13)))</f>
        <v>1000000000000</v>
      </c>
      <c r="AX60" s="179">
        <f ca="1">IF(OR($D60&lt;&gt;"Serviço",AND(AUTOEVENTO="Manual",$M60=$A$15),$M60&gt;(ROW(PLE.lastrow)-ROW(PLE.firstrow))),0,
           IF(OFFSET(PLE!$G$15,$M60-$A$15,AX$13)="",10^12,OFFSET(PLE!$G$15,$M60-$A$15,AX$13)))</f>
        <v>1000000000000</v>
      </c>
      <c r="AY60" s="179">
        <f ca="1">IF(OR($D60&lt;&gt;"Serviço",AND(AUTOEVENTO="Manual",$M60=$A$15),$M60&gt;(ROW(PLE.lastrow)-ROW(PLE.firstrow))),0,
           IF(OFFSET(PLE!$G$15,$M60-$A$15,AY$13)="",10^12,OFFSET(PLE!$G$15,$M60-$A$15,AY$13)))</f>
        <v>1000000000000</v>
      </c>
      <c r="AZ60" s="179">
        <f ca="1">IF(OR($D60&lt;&gt;"Serviço",AND(AUTOEVENTO="Manual",$M60=$A$15),$M60&gt;(ROW(PLE.lastrow)-ROW(PLE.firstrow))),0,
           IF(OFFSET(PLE!$G$15,$M60-$A$15,AZ$13)="",10^12,OFFSET(PLE!$G$15,$M60-$A$15,AZ$13)))</f>
        <v>1000000000000</v>
      </c>
      <c r="BA60" s="179">
        <f ca="1">IF(OR($D60&lt;&gt;"Serviço",AND(AUTOEVENTO="Manual",$M60=$A$15),$M60&gt;(ROW(PLE.lastrow)-ROW(PLE.firstrow))),0,
           IF(OFFSET(PLE!$G$15,$M60-$A$15,BA$13)="",10^12,OFFSET(PLE!$G$15,$M60-$A$15,BA$13)))</f>
        <v>1000000000000</v>
      </c>
      <c r="BB60" s="179">
        <f ca="1">IF(OR($D60&lt;&gt;"Serviço",AND(AUTOEVENTO="Manual",$M60=$A$15),$M60&gt;(ROW(PLE.lastrow)-ROW(PLE.firstrow))),0,
           IF(OFFSET(PLE!$G$15,$M60-$A$15,BB$13)="",10^12,OFFSET(PLE!$G$15,$M60-$A$15,BB$13)))</f>
        <v>1000000000000</v>
      </c>
      <c r="BC60" s="179">
        <f ca="1">IF(OR($D60&lt;&gt;"Serviço",AND(AUTOEVENTO="Manual",$M60=$A$15),$M60&gt;(ROW(PLE.lastrow)-ROW(PLE.firstrow))),0,
           IF(OFFSET(PLE!$G$15,$M60-$A$15,BC$13)="",10^12,OFFSET(PLE!$G$15,$M60-$A$15,BC$13)))</f>
        <v>1000000000000</v>
      </c>
      <c r="BD60" s="179">
        <f ca="1">IF(OR($D60&lt;&gt;"Serviço",AND(AUTOEVENTO="Manual",$M60=$A$15),$M60&gt;(ROW(PLE.lastrow)-ROW(PLE.firstrow))),0,
           IF(OFFSET(PLE!$G$15,$M60-$A$15,BD$13)="",10^12,OFFSET(PLE!$G$15,$M60-$A$15,BD$13)))</f>
        <v>1000000000000</v>
      </c>
      <c r="BE60" s="179">
        <f ca="1">IF(OR($D60&lt;&gt;"Serviço",AND(AUTOEVENTO="Manual",$M60=$A$15),$M60&gt;(ROW(PLE.lastrow)-ROW(PLE.firstrow))),0,
           IF(OFFSET(PLE!$G$15,$M60-$A$15,BE$13)="",10^12,OFFSET(PLE!$G$15,$M60-$A$15,BE$13)))</f>
        <v>1000000000000</v>
      </c>
      <c r="BF60" s="179">
        <f ca="1">IF(OR($D60&lt;&gt;"Serviço",AND(AUTOEVENTO="Manual",$M60=$A$15),$M60&gt;(ROW(PLE.lastrow)-ROW(PLE.firstrow))),0,
           IF(OFFSET(PLE!$G$15,$M60-$A$15,BF$13)="",10^12,OFFSET(PLE!$G$15,$M60-$A$15,BF$13)))</f>
        <v>1000000000000</v>
      </c>
      <c r="BG60" s="179">
        <f ca="1">IF(OR($D60&lt;&gt;"Serviço",AND(AUTOEVENTO="Manual",$M60=$A$15),$M60&gt;(ROW(PLE.lastrow)-ROW(PLE.firstrow))),0,
           IF(OFFSET(PLE!$G$15,$M60-$A$15,BG$13)="",10^12,OFFSET(PLE!$G$15,$M60-$A$15,BG$13)))</f>
        <v>1000000000000</v>
      </c>
    </row>
    <row r="61" spans="1:59" ht="51" x14ac:dyDescent="0.2">
      <c r="A61" s="7" t="str">
        <f ca="1">IF(AUTOEVENTO="Manual",IF(K61&lt;&gt;"",MIN(VALUE(LEFT(K61,FIND(".",K61)-1)),COUNTA(EVENTOS.Lista)),0),IF(OR($B61&gt;AUTOEVENTO,$B61="S",$B61=0),SUBSTITUTE(OFFSET($A61,-1,0),IF($D61="Serviço",".",""),""),ROW(A61)-ROW($A$15)&amp;"."))</f>
        <v>44</v>
      </c>
      <c r="B61" s="7" t="str">
        <f ca="1">OFFSET(ORÇAMENTO!C$15,ROW(B61)-ROW(B$15),0)</f>
        <v>S</v>
      </c>
      <c r="C61" s="7" t="str">
        <f ca="1">OFFSET(ORÇAMENTO!L$15,ROW(C61)-ROW(C$15),0)</f>
        <v/>
      </c>
      <c r="D61" s="118" t="str">
        <f ca="1">OFFSET(ORÇAMENTO!N$15,ROW(D61)-ROW(D$15),0)</f>
        <v>Serviço</v>
      </c>
      <c r="E61" s="119" t="str">
        <f ca="1">OFFSET(ORÇAMENTO!O$15,ROW(E61)-ROW(E$15),0)</f>
        <v>-</v>
      </c>
      <c r="F61" s="170" t="str">
        <f ca="1">OFFSET(ORÇAMENTO!R$15,ROW(F61)-ROW(F$15),0)</f>
        <v>(abra o arquivo 'Referência 04-2026.xlsm)</v>
      </c>
      <c r="G61" s="171" t="str">
        <f ca="1">IF($D61&lt;&gt;"Serviço","",OFFSET(ORÇAMENTO!S$15,ROW(G61)-ROW(G$15),0))</f>
        <v>-</v>
      </c>
      <c r="H61" s="124" cm="1">
        <f t="array" aca="1" ref="H61" ca="1">IF($D61&lt;&gt;"Serviço",0,IF(_xlfn.SINGLE(ACOMPANHAMENTO)="BM",ROUND(OFFSET(ORÇAMENTO!AJ$15,ROW(H61)-ROW(H$15),0),15-13*ORÇAMENTO!$AF$7),SUMPRODUCT(($Q$1:$AA$1)*ROUND($Q61:$AA61,15-13*ORÇAMENTO!$AF$7))))</f>
        <v>154.26</v>
      </c>
      <c r="I61" s="500" t="s">
        <v>1058</v>
      </c>
      <c r="J61" s="633" t="str" cm="1">
        <f t="array" aca="1" ref="J61" ca="1">IF(B61&lt;&gt;"S","",IF(AND(ACOMPANHAMENTO="PLE",AUTOEVENTO="Manual",OR(H61&gt;0,ORÇAMENTO!AC61="QUANT."),OR(K61="",M61=0,N61="")),"►",IF(AND(ACOMPANHAMENTO="PLE",ORÇAMENTO!AC61="QUANT."),"►►",IF(AND(COUNTIF($P$11:$AA$11,"▼")=0,H61&gt;0,I61=""),"◄",""))))</f>
        <v/>
      </c>
      <c r="K61" s="624"/>
      <c r="L61" s="172" t="s">
        <v>253</v>
      </c>
      <c r="M61" s="173">
        <f ca="1">IF($D61&lt;&gt;"Serviço","",
          IF(AUTOEVENTO="manual",$A61,
                IF(ISERROR(MATCH($A61,$A$15:OFFSET($A61,-1,0),0)),MAX($M$15:OFFSET(M61,-1,0))+1,
                      INDEX($M$15:OFFSET(M61,-1,0),MATCH($A61,$A$15:OFFSET($A61,-1,0),0)))))</f>
        <v>8</v>
      </c>
      <c r="N61" s="174" t="str">
        <f ca="1">IF($D61&lt;&gt;"Serviço","",
         IF(AUTOEVENTO="Manual",
                IF($A61=0,"&lt;-- defina o número do agrupador",
                       OFFSET(EVENTOS!$D$15,$A61-$A$15,0)),
                OFFSET($F$15,$A61,0)))</f>
        <v>INSTALAÇÃO DO TELHADO</v>
      </c>
      <c r="O61" s="175"/>
      <c r="Q61" s="175">
        <v>154.26</v>
      </c>
      <c r="R61" s="176"/>
      <c r="S61" s="176"/>
      <c r="T61" s="176"/>
      <c r="U61" s="176"/>
      <c r="V61" s="176"/>
      <c r="W61" s="176"/>
      <c r="X61" s="176"/>
      <c r="Y61" s="176"/>
      <c r="Z61" s="177"/>
      <c r="AB61" s="485">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85">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85">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85">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85">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85">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85">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85">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85">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85">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8">
        <f ca="1">IF(OR($D61&lt;&gt;"Serviço",AND(AUTOEVENTO="Manual",$M61=$A$15)),0,
         IF(OFFSET(CRONOPLE!$F$15,$M61-$A$15,AM$13)="",10^12,OFFSET(CRONOPLE!$F$15,$M61-$A$15,AM$13)))</f>
        <v>4</v>
      </c>
      <c r="AN61" s="178">
        <f ca="1">IF(OR($D61&lt;&gt;"Serviço",AND(AUTOEVENTO="Manual",$M61=$A$15)),0,
         IF(OFFSET(CRONOPLE!$F$15,$M61-$A$15,AN$13)="",10^12,OFFSET(CRONOPLE!$F$15,$M61-$A$15,AN$13)))</f>
        <v>1000000000000</v>
      </c>
      <c r="AO61" s="178">
        <f ca="1">IF(OR($D61&lt;&gt;"Serviço",AND(AUTOEVENTO="Manual",$M61=$A$15)),0,
         IF(OFFSET(CRONOPLE!$F$15,$M61-$A$15,AO$13)="",10^12,OFFSET(CRONOPLE!$F$15,$M61-$A$15,AO$13)))</f>
        <v>1000000000000</v>
      </c>
      <c r="AP61" s="178">
        <f ca="1">IF(OR($D61&lt;&gt;"Serviço",AND(AUTOEVENTO="Manual",$M61=$A$15)),0,
         IF(OFFSET(CRONOPLE!$F$15,$M61-$A$15,AP$13)="",10^12,OFFSET(CRONOPLE!$F$15,$M61-$A$15,AP$13)))</f>
        <v>1000000000000</v>
      </c>
      <c r="AQ61" s="178">
        <f ca="1">IF(OR($D61&lt;&gt;"Serviço",AND(AUTOEVENTO="Manual",$M61=$A$15)),0,
         IF(OFFSET(CRONOPLE!$F$15,$M61-$A$15,AQ$13)="",10^12,OFFSET(CRONOPLE!$F$15,$M61-$A$15,AQ$13)))</f>
        <v>1000000000000</v>
      </c>
      <c r="AR61" s="178">
        <f ca="1">IF(OR($D61&lt;&gt;"Serviço",AND(AUTOEVENTO="Manual",$M61=$A$15)),0,
         IF(OFFSET(CRONOPLE!$F$15,$M61-$A$15,AR$13)="",10^12,OFFSET(CRONOPLE!$F$15,$M61-$A$15,AR$13)))</f>
        <v>1000000000000</v>
      </c>
      <c r="AS61" s="178">
        <f ca="1">IF(OR($D61&lt;&gt;"Serviço",AND(AUTOEVENTO="Manual",$M61=$A$15)),0,
         IF(OFFSET(CRONOPLE!$F$15,$M61-$A$15,AS$13)="",10^12,OFFSET(CRONOPLE!$F$15,$M61-$A$15,AS$13)))</f>
        <v>1000000000000</v>
      </c>
      <c r="AT61" s="178">
        <f ca="1">IF(OR($D61&lt;&gt;"Serviço",AND(AUTOEVENTO="Manual",$M61=$A$15)),0,
         IF(OFFSET(CRONOPLE!$F$15,$M61-$A$15,AT$13)="",10^12,OFFSET(CRONOPLE!$F$15,$M61-$A$15,AT$13)))</f>
        <v>1000000000000</v>
      </c>
      <c r="AU61" s="178">
        <f ca="1">IF(OR($D61&lt;&gt;"Serviço",AND(AUTOEVENTO="Manual",$M61=$A$15)),0,
         IF(OFFSET(CRONOPLE!$F$15,$M61-$A$15,AU$13)="",10^12,OFFSET(CRONOPLE!$F$15,$M61-$A$15,AU$13)))</f>
        <v>1000000000000</v>
      </c>
      <c r="AV61" s="178">
        <f ca="1">IF(OR($D61&lt;&gt;"Serviço",AND(AUTOEVENTO="Manual",$M61=$A$15)),0,
         IF(OFFSET(CRONOPLE!$F$15,$M61-$A$15,AV$13)="",10^12,OFFSET(CRONOPLE!$F$15,$M61-$A$15,AV$13)))</f>
        <v>1000000000000</v>
      </c>
      <c r="AX61" s="179">
        <f ca="1">IF(OR($D61&lt;&gt;"Serviço",AND(AUTOEVENTO="Manual",$M61=$A$15),$M61&gt;(ROW(PLE.lastrow)-ROW(PLE.firstrow))),0,
           IF(OFFSET(PLE!$G$15,$M61-$A$15,AX$13)="",10^12,OFFSET(PLE!$G$15,$M61-$A$15,AX$13)))</f>
        <v>1000000000000</v>
      </c>
      <c r="AY61" s="179">
        <f ca="1">IF(OR($D61&lt;&gt;"Serviço",AND(AUTOEVENTO="Manual",$M61=$A$15),$M61&gt;(ROW(PLE.lastrow)-ROW(PLE.firstrow))),0,
           IF(OFFSET(PLE!$G$15,$M61-$A$15,AY$13)="",10^12,OFFSET(PLE!$G$15,$M61-$A$15,AY$13)))</f>
        <v>1000000000000</v>
      </c>
      <c r="AZ61" s="179">
        <f ca="1">IF(OR($D61&lt;&gt;"Serviço",AND(AUTOEVENTO="Manual",$M61=$A$15),$M61&gt;(ROW(PLE.lastrow)-ROW(PLE.firstrow))),0,
           IF(OFFSET(PLE!$G$15,$M61-$A$15,AZ$13)="",10^12,OFFSET(PLE!$G$15,$M61-$A$15,AZ$13)))</f>
        <v>1000000000000</v>
      </c>
      <c r="BA61" s="179">
        <f ca="1">IF(OR($D61&lt;&gt;"Serviço",AND(AUTOEVENTO="Manual",$M61=$A$15),$M61&gt;(ROW(PLE.lastrow)-ROW(PLE.firstrow))),0,
           IF(OFFSET(PLE!$G$15,$M61-$A$15,BA$13)="",10^12,OFFSET(PLE!$G$15,$M61-$A$15,BA$13)))</f>
        <v>1000000000000</v>
      </c>
      <c r="BB61" s="179">
        <f ca="1">IF(OR($D61&lt;&gt;"Serviço",AND(AUTOEVENTO="Manual",$M61=$A$15),$M61&gt;(ROW(PLE.lastrow)-ROW(PLE.firstrow))),0,
           IF(OFFSET(PLE!$G$15,$M61-$A$15,BB$13)="",10^12,OFFSET(PLE!$G$15,$M61-$A$15,BB$13)))</f>
        <v>1000000000000</v>
      </c>
      <c r="BC61" s="179">
        <f ca="1">IF(OR($D61&lt;&gt;"Serviço",AND(AUTOEVENTO="Manual",$M61=$A$15),$M61&gt;(ROW(PLE.lastrow)-ROW(PLE.firstrow))),0,
           IF(OFFSET(PLE!$G$15,$M61-$A$15,BC$13)="",10^12,OFFSET(PLE!$G$15,$M61-$A$15,BC$13)))</f>
        <v>1000000000000</v>
      </c>
      <c r="BD61" s="179">
        <f ca="1">IF(OR($D61&lt;&gt;"Serviço",AND(AUTOEVENTO="Manual",$M61=$A$15),$M61&gt;(ROW(PLE.lastrow)-ROW(PLE.firstrow))),0,
           IF(OFFSET(PLE!$G$15,$M61-$A$15,BD$13)="",10^12,OFFSET(PLE!$G$15,$M61-$A$15,BD$13)))</f>
        <v>1000000000000</v>
      </c>
      <c r="BE61" s="179">
        <f ca="1">IF(OR($D61&lt;&gt;"Serviço",AND(AUTOEVENTO="Manual",$M61=$A$15),$M61&gt;(ROW(PLE.lastrow)-ROW(PLE.firstrow))),0,
           IF(OFFSET(PLE!$G$15,$M61-$A$15,BE$13)="",10^12,OFFSET(PLE!$G$15,$M61-$A$15,BE$13)))</f>
        <v>1000000000000</v>
      </c>
      <c r="BF61" s="179">
        <f ca="1">IF(OR($D61&lt;&gt;"Serviço",AND(AUTOEVENTO="Manual",$M61=$A$15),$M61&gt;(ROW(PLE.lastrow)-ROW(PLE.firstrow))),0,
           IF(OFFSET(PLE!$G$15,$M61-$A$15,BF$13)="",10^12,OFFSET(PLE!$G$15,$M61-$A$15,BF$13)))</f>
        <v>1000000000000</v>
      </c>
      <c r="BG61" s="179">
        <f ca="1">IF(OR($D61&lt;&gt;"Serviço",AND(AUTOEVENTO="Manual",$M61=$A$15),$M61&gt;(ROW(PLE.lastrow)-ROW(PLE.firstrow))),0,
           IF(OFFSET(PLE!$G$15,$M61-$A$15,BG$13)="",10^12,OFFSET(PLE!$G$15,$M61-$A$15,BG$13)))</f>
        <v>1000000000000</v>
      </c>
    </row>
    <row r="62" spans="1:59" ht="76.5" x14ac:dyDescent="0.2">
      <c r="A62" s="7" t="str">
        <f ca="1">IF(AUTOEVENTO="Manual",IF(K62&lt;&gt;"",MIN(VALUE(LEFT(K62,FIND(".",K62)-1)),COUNTA(EVENTOS.Lista)),0),IF(OR($B62&gt;AUTOEVENTO,$B62="S",$B62=0),SUBSTITUTE(OFFSET($A62,-1,0),IF($D62="Serviço",".",""),""),ROW(A62)-ROW($A$15)&amp;"."))</f>
        <v>44</v>
      </c>
      <c r="B62" s="7" t="str">
        <f ca="1">OFFSET(ORÇAMENTO!C$15,ROW(B62)-ROW(B$15),0)</f>
        <v>S</v>
      </c>
      <c r="C62" s="7" t="str">
        <f ca="1">OFFSET(ORÇAMENTO!L$15,ROW(C62)-ROW(C$15),0)</f>
        <v/>
      </c>
      <c r="D62" s="118" t="str">
        <f ca="1">OFFSET(ORÇAMENTO!N$15,ROW(D62)-ROW(D$15),0)</f>
        <v>Serviço</v>
      </c>
      <c r="E62" s="119" t="str">
        <f ca="1">OFFSET(ORÇAMENTO!O$15,ROW(E62)-ROW(E$15),0)</f>
        <v>-</v>
      </c>
      <c r="F62" s="170" t="str">
        <f ca="1">OFFSET(ORÇAMENTO!R$15,ROW(F62)-ROW(F$15),0)</f>
        <v>(abra o arquivo 'Referência 04-2026.xlsm)</v>
      </c>
      <c r="G62" s="171" t="str">
        <f ca="1">IF($D62&lt;&gt;"Serviço","",OFFSET(ORÇAMENTO!S$15,ROW(G62)-ROW(G$15),0))</f>
        <v>-</v>
      </c>
      <c r="H62" s="124" cm="1">
        <f t="array" aca="1" ref="H62" ca="1">IF($D62&lt;&gt;"Serviço",0,IF(_xlfn.SINGLE(ACOMPANHAMENTO)="BM",ROUND(OFFSET(ORÇAMENTO!AJ$15,ROW(H62)-ROW(H$15),0),15-13*ORÇAMENTO!$AF$7),SUMPRODUCT(($Q$1:$AA$1)*ROUND($Q62:$AA62,15-13*ORÇAMENTO!$AF$7))))</f>
        <v>460.27</v>
      </c>
      <c r="I62" s="500" t="s">
        <v>1059</v>
      </c>
      <c r="J62" s="633" t="str" cm="1">
        <f t="array" aca="1" ref="J62" ca="1">IF(B62&lt;&gt;"S","",IF(AND(ACOMPANHAMENTO="PLE",AUTOEVENTO="Manual",OR(H62&gt;0,ORÇAMENTO!AC62="QUANT."),OR(K62="",M62=0,N62="")),"►",IF(AND(ACOMPANHAMENTO="PLE",ORÇAMENTO!AC62="QUANT."),"►►",IF(AND(COUNTIF($P$11:$AA$11,"▼")=0,H62&gt;0,I62=""),"◄",""))))</f>
        <v/>
      </c>
      <c r="K62" s="624"/>
      <c r="L62" s="172" t="s">
        <v>253</v>
      </c>
      <c r="M62" s="173">
        <f ca="1">IF($D62&lt;&gt;"Serviço","",
          IF(AUTOEVENTO="manual",$A62,
                IF(ISERROR(MATCH($A62,$A$15:OFFSET($A62,-1,0),0)),MAX($M$15:OFFSET(M62,-1,0))+1,
                      INDEX($M$15:OFFSET(M62,-1,0),MATCH($A62,$A$15:OFFSET($A62,-1,0),0)))))</f>
        <v>8</v>
      </c>
      <c r="N62" s="174" t="str">
        <f ca="1">IF($D62&lt;&gt;"Serviço","",
         IF(AUTOEVENTO="Manual",
                IF($A62=0,"&lt;-- defina o número do agrupador",
                       OFFSET(EVENTOS!$D$15,$A62-$A$15,0)),
                OFFSET($F$15,$A62,0)))</f>
        <v>INSTALAÇÃO DO TELHADO</v>
      </c>
      <c r="O62" s="175"/>
      <c r="Q62" s="175">
        <f>(0.127+0.04*2+0.017*2)*6*(23.5+3.3)*2*2+((15.5+31.5+7.5)*(0.75+0.04+0.04)+(14.5+27.5)*(0.68+0.03+0.03))*2*2</f>
        <v>460.27120000000008</v>
      </c>
      <c r="R62" s="176"/>
      <c r="S62" s="176"/>
      <c r="T62" s="176"/>
      <c r="U62" s="176"/>
      <c r="V62" s="176"/>
      <c r="W62" s="176"/>
      <c r="X62" s="176"/>
      <c r="Y62" s="176"/>
      <c r="Z62" s="177"/>
      <c r="AB62" s="485">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85">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85">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85">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85">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85">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85">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85">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85">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85">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8">
        <f ca="1">IF(OR($D62&lt;&gt;"Serviço",AND(AUTOEVENTO="Manual",$M62=$A$15)),0,
         IF(OFFSET(CRONOPLE!$F$15,$M62-$A$15,AM$13)="",10^12,OFFSET(CRONOPLE!$F$15,$M62-$A$15,AM$13)))</f>
        <v>4</v>
      </c>
      <c r="AN62" s="178">
        <f ca="1">IF(OR($D62&lt;&gt;"Serviço",AND(AUTOEVENTO="Manual",$M62=$A$15)),0,
         IF(OFFSET(CRONOPLE!$F$15,$M62-$A$15,AN$13)="",10^12,OFFSET(CRONOPLE!$F$15,$M62-$A$15,AN$13)))</f>
        <v>1000000000000</v>
      </c>
      <c r="AO62" s="178">
        <f ca="1">IF(OR($D62&lt;&gt;"Serviço",AND(AUTOEVENTO="Manual",$M62=$A$15)),0,
         IF(OFFSET(CRONOPLE!$F$15,$M62-$A$15,AO$13)="",10^12,OFFSET(CRONOPLE!$F$15,$M62-$A$15,AO$13)))</f>
        <v>1000000000000</v>
      </c>
      <c r="AP62" s="178">
        <f ca="1">IF(OR($D62&lt;&gt;"Serviço",AND(AUTOEVENTO="Manual",$M62=$A$15)),0,
         IF(OFFSET(CRONOPLE!$F$15,$M62-$A$15,AP$13)="",10^12,OFFSET(CRONOPLE!$F$15,$M62-$A$15,AP$13)))</f>
        <v>1000000000000</v>
      </c>
      <c r="AQ62" s="178">
        <f ca="1">IF(OR($D62&lt;&gt;"Serviço",AND(AUTOEVENTO="Manual",$M62=$A$15)),0,
         IF(OFFSET(CRONOPLE!$F$15,$M62-$A$15,AQ$13)="",10^12,OFFSET(CRONOPLE!$F$15,$M62-$A$15,AQ$13)))</f>
        <v>1000000000000</v>
      </c>
      <c r="AR62" s="178">
        <f ca="1">IF(OR($D62&lt;&gt;"Serviço",AND(AUTOEVENTO="Manual",$M62=$A$15)),0,
         IF(OFFSET(CRONOPLE!$F$15,$M62-$A$15,AR$13)="",10^12,OFFSET(CRONOPLE!$F$15,$M62-$A$15,AR$13)))</f>
        <v>1000000000000</v>
      </c>
      <c r="AS62" s="178">
        <f ca="1">IF(OR($D62&lt;&gt;"Serviço",AND(AUTOEVENTO="Manual",$M62=$A$15)),0,
         IF(OFFSET(CRONOPLE!$F$15,$M62-$A$15,AS$13)="",10^12,OFFSET(CRONOPLE!$F$15,$M62-$A$15,AS$13)))</f>
        <v>1000000000000</v>
      </c>
      <c r="AT62" s="178">
        <f ca="1">IF(OR($D62&lt;&gt;"Serviço",AND(AUTOEVENTO="Manual",$M62=$A$15)),0,
         IF(OFFSET(CRONOPLE!$F$15,$M62-$A$15,AT$13)="",10^12,OFFSET(CRONOPLE!$F$15,$M62-$A$15,AT$13)))</f>
        <v>1000000000000</v>
      </c>
      <c r="AU62" s="178">
        <f ca="1">IF(OR($D62&lt;&gt;"Serviço",AND(AUTOEVENTO="Manual",$M62=$A$15)),0,
         IF(OFFSET(CRONOPLE!$F$15,$M62-$A$15,AU$13)="",10^12,OFFSET(CRONOPLE!$F$15,$M62-$A$15,AU$13)))</f>
        <v>1000000000000</v>
      </c>
      <c r="AV62" s="178">
        <f ca="1">IF(OR($D62&lt;&gt;"Serviço",AND(AUTOEVENTO="Manual",$M62=$A$15)),0,
         IF(OFFSET(CRONOPLE!$F$15,$M62-$A$15,AV$13)="",10^12,OFFSET(CRONOPLE!$F$15,$M62-$A$15,AV$13)))</f>
        <v>1000000000000</v>
      </c>
      <c r="AX62" s="179">
        <f ca="1">IF(OR($D62&lt;&gt;"Serviço",AND(AUTOEVENTO="Manual",$M62=$A$15),$M62&gt;(ROW(PLE.lastrow)-ROW(PLE.firstrow))),0,
           IF(OFFSET(PLE!$G$15,$M62-$A$15,AX$13)="",10^12,OFFSET(PLE!$G$15,$M62-$A$15,AX$13)))</f>
        <v>1000000000000</v>
      </c>
      <c r="AY62" s="179">
        <f ca="1">IF(OR($D62&lt;&gt;"Serviço",AND(AUTOEVENTO="Manual",$M62=$A$15),$M62&gt;(ROW(PLE.lastrow)-ROW(PLE.firstrow))),0,
           IF(OFFSET(PLE!$G$15,$M62-$A$15,AY$13)="",10^12,OFFSET(PLE!$G$15,$M62-$A$15,AY$13)))</f>
        <v>1000000000000</v>
      </c>
      <c r="AZ62" s="179">
        <f ca="1">IF(OR($D62&lt;&gt;"Serviço",AND(AUTOEVENTO="Manual",$M62=$A$15),$M62&gt;(ROW(PLE.lastrow)-ROW(PLE.firstrow))),0,
           IF(OFFSET(PLE!$G$15,$M62-$A$15,AZ$13)="",10^12,OFFSET(PLE!$G$15,$M62-$A$15,AZ$13)))</f>
        <v>1000000000000</v>
      </c>
      <c r="BA62" s="179">
        <f ca="1">IF(OR($D62&lt;&gt;"Serviço",AND(AUTOEVENTO="Manual",$M62=$A$15),$M62&gt;(ROW(PLE.lastrow)-ROW(PLE.firstrow))),0,
           IF(OFFSET(PLE!$G$15,$M62-$A$15,BA$13)="",10^12,OFFSET(PLE!$G$15,$M62-$A$15,BA$13)))</f>
        <v>1000000000000</v>
      </c>
      <c r="BB62" s="179">
        <f ca="1">IF(OR($D62&lt;&gt;"Serviço",AND(AUTOEVENTO="Manual",$M62=$A$15),$M62&gt;(ROW(PLE.lastrow)-ROW(PLE.firstrow))),0,
           IF(OFFSET(PLE!$G$15,$M62-$A$15,BB$13)="",10^12,OFFSET(PLE!$G$15,$M62-$A$15,BB$13)))</f>
        <v>1000000000000</v>
      </c>
      <c r="BC62" s="179">
        <f ca="1">IF(OR($D62&lt;&gt;"Serviço",AND(AUTOEVENTO="Manual",$M62=$A$15),$M62&gt;(ROW(PLE.lastrow)-ROW(PLE.firstrow))),0,
           IF(OFFSET(PLE!$G$15,$M62-$A$15,BC$13)="",10^12,OFFSET(PLE!$G$15,$M62-$A$15,BC$13)))</f>
        <v>1000000000000</v>
      </c>
      <c r="BD62" s="179">
        <f ca="1">IF(OR($D62&lt;&gt;"Serviço",AND(AUTOEVENTO="Manual",$M62=$A$15),$M62&gt;(ROW(PLE.lastrow)-ROW(PLE.firstrow))),0,
           IF(OFFSET(PLE!$G$15,$M62-$A$15,BD$13)="",10^12,OFFSET(PLE!$G$15,$M62-$A$15,BD$13)))</f>
        <v>1000000000000</v>
      </c>
      <c r="BE62" s="179">
        <f ca="1">IF(OR($D62&lt;&gt;"Serviço",AND(AUTOEVENTO="Manual",$M62=$A$15),$M62&gt;(ROW(PLE.lastrow)-ROW(PLE.firstrow))),0,
           IF(OFFSET(PLE!$G$15,$M62-$A$15,BE$13)="",10^12,OFFSET(PLE!$G$15,$M62-$A$15,BE$13)))</f>
        <v>1000000000000</v>
      </c>
      <c r="BF62" s="179">
        <f ca="1">IF(OR($D62&lt;&gt;"Serviço",AND(AUTOEVENTO="Manual",$M62=$A$15),$M62&gt;(ROW(PLE.lastrow)-ROW(PLE.firstrow))),0,
           IF(OFFSET(PLE!$G$15,$M62-$A$15,BF$13)="",10^12,OFFSET(PLE!$G$15,$M62-$A$15,BF$13)))</f>
        <v>1000000000000</v>
      </c>
      <c r="BG62" s="179">
        <f ca="1">IF(OR($D62&lt;&gt;"Serviço",AND(AUTOEVENTO="Manual",$M62=$A$15),$M62&gt;(ROW(PLE.lastrow)-ROW(PLE.firstrow))),0,
           IF(OFFSET(PLE!$G$15,$M62-$A$15,BG$13)="",10^12,OFFSET(PLE!$G$15,$M62-$A$15,BG$13)))</f>
        <v>1000000000000</v>
      </c>
    </row>
    <row r="63" spans="1:59" ht="13.35" customHeight="1" x14ac:dyDescent="0.2">
      <c r="A63" s="7" t="str">
        <f ca="1">IF(AUTOEVENTO="Manual",IF(K63&lt;&gt;"",MIN(VALUE(LEFT(K63,FIND(".",K63)-1)),COUNTA(EVENTOS.Lista)),0),IF(OR($B63&gt;AUTOEVENTO,$B63="S",$B63=0),SUBSTITUTE(OFFSET($A63,-1,0),IF($D63="Serviço",".",""),""),ROW(A63)-ROW($A$15)&amp;"."))</f>
        <v>44</v>
      </c>
      <c r="B63" s="7" t="str">
        <f ca="1">OFFSET(ORÇAMENTO!C$15,ROW(B63)-ROW(B$15),0)</f>
        <v>S</v>
      </c>
      <c r="C63" s="7" t="str">
        <f ca="1">OFFSET(ORÇAMENTO!L$15,ROW(C63)-ROW(C$15),0)</f>
        <v/>
      </c>
      <c r="D63" s="118" t="str">
        <f ca="1">OFFSET(ORÇAMENTO!N$15,ROW(D63)-ROW(D$15),0)</f>
        <v>Serviço</v>
      </c>
      <c r="E63" s="119" t="str">
        <f ca="1">OFFSET(ORÇAMENTO!O$15,ROW(E63)-ROW(E$15),0)</f>
        <v>-</v>
      </c>
      <c r="F63" s="170" t="str">
        <f ca="1">OFFSET(ORÇAMENTO!R$15,ROW(F63)-ROW(F$15),0)</f>
        <v>(abra o arquivo 'Referência 04-2026.xlsm)</v>
      </c>
      <c r="G63" s="171" t="str">
        <f ca="1">IF($D63&lt;&gt;"Serviço","",OFFSET(ORÇAMENTO!S$15,ROW(G63)-ROW(G$15),0))</f>
        <v>-</v>
      </c>
      <c r="H63" s="124" cm="1">
        <f t="array" aca="1" ref="H63" ca="1">IF($D63&lt;&gt;"Serviço",0,IF(_xlfn.SINGLE(ACOMPANHAMENTO)="BM",ROUND(OFFSET(ORÇAMENTO!AJ$15,ROW(H63)-ROW(H$15),0),15-13*ORÇAMENTO!$AF$7),SUMPRODUCT(($Q$1:$AA$1)*ROUND($Q63:$AA63,15-13*ORÇAMENTO!$AF$7))))</f>
        <v>230.14</v>
      </c>
      <c r="I63" s="500" t="s">
        <v>1013</v>
      </c>
      <c r="J63" s="633" t="str" cm="1">
        <f t="array" aca="1" ref="J63" ca="1">IF(B63&lt;&gt;"S","",IF(AND(ACOMPANHAMENTO="PLE",AUTOEVENTO="Manual",OR(H63&gt;0,ORÇAMENTO!AC63="QUANT."),OR(K63="",M63=0,N63="")),"►",IF(AND(ACOMPANHAMENTO="PLE",ORÇAMENTO!AC63="QUANT."),"►►",IF(AND(COUNTIF($P$11:$AA$11,"▼")=0,H63&gt;0,I63=""),"◄",""))))</f>
        <v/>
      </c>
      <c r="K63" s="624"/>
      <c r="L63" s="172" t="s">
        <v>253</v>
      </c>
      <c r="M63" s="173">
        <f ca="1">IF($D63&lt;&gt;"Serviço","",
          IF(AUTOEVENTO="manual",$A63,
                IF(ISERROR(MATCH($A63,$A$15:OFFSET($A63,-1,0),0)),MAX($M$15:OFFSET(M63,-1,0))+1,
                      INDEX($M$15:OFFSET(M63,-1,0),MATCH($A63,$A$15:OFFSET($A63,-1,0),0)))))</f>
        <v>8</v>
      </c>
      <c r="N63" s="174" t="str">
        <f ca="1">IF($D63&lt;&gt;"Serviço","",
         IF(AUTOEVENTO="Manual",
                IF($A63=0,"&lt;-- defina o número do agrupador",
                       OFFSET(EVENTOS!$D$15,$A63-$A$15,0)),
                OFFSET($F$15,$A63,0)))</f>
        <v>INSTALAÇÃO DO TELHADO</v>
      </c>
      <c r="O63" s="175"/>
      <c r="Q63" s="175">
        <f>Q62/2</f>
        <v>230.13560000000004</v>
      </c>
      <c r="R63" s="176"/>
      <c r="S63" s="176"/>
      <c r="T63" s="176"/>
      <c r="U63" s="176"/>
      <c r="V63" s="176"/>
      <c r="W63" s="176"/>
      <c r="X63" s="176"/>
      <c r="Y63" s="176"/>
      <c r="Z63" s="177"/>
      <c r="AB63" s="485">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85">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85">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85">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85">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85">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85">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85">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85">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85">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8">
        <f ca="1">IF(OR($D63&lt;&gt;"Serviço",AND(AUTOEVENTO="Manual",$M63=$A$15)),0,
         IF(OFFSET(CRONOPLE!$F$15,$M63-$A$15,AM$13)="",10^12,OFFSET(CRONOPLE!$F$15,$M63-$A$15,AM$13)))</f>
        <v>4</v>
      </c>
      <c r="AN63" s="178">
        <f ca="1">IF(OR($D63&lt;&gt;"Serviço",AND(AUTOEVENTO="Manual",$M63=$A$15)),0,
         IF(OFFSET(CRONOPLE!$F$15,$M63-$A$15,AN$13)="",10^12,OFFSET(CRONOPLE!$F$15,$M63-$A$15,AN$13)))</f>
        <v>1000000000000</v>
      </c>
      <c r="AO63" s="178">
        <f ca="1">IF(OR($D63&lt;&gt;"Serviço",AND(AUTOEVENTO="Manual",$M63=$A$15)),0,
         IF(OFFSET(CRONOPLE!$F$15,$M63-$A$15,AO$13)="",10^12,OFFSET(CRONOPLE!$F$15,$M63-$A$15,AO$13)))</f>
        <v>1000000000000</v>
      </c>
      <c r="AP63" s="178">
        <f ca="1">IF(OR($D63&lt;&gt;"Serviço",AND(AUTOEVENTO="Manual",$M63=$A$15)),0,
         IF(OFFSET(CRONOPLE!$F$15,$M63-$A$15,AP$13)="",10^12,OFFSET(CRONOPLE!$F$15,$M63-$A$15,AP$13)))</f>
        <v>1000000000000</v>
      </c>
      <c r="AQ63" s="178">
        <f ca="1">IF(OR($D63&lt;&gt;"Serviço",AND(AUTOEVENTO="Manual",$M63=$A$15)),0,
         IF(OFFSET(CRONOPLE!$F$15,$M63-$A$15,AQ$13)="",10^12,OFFSET(CRONOPLE!$F$15,$M63-$A$15,AQ$13)))</f>
        <v>1000000000000</v>
      </c>
      <c r="AR63" s="178">
        <f ca="1">IF(OR($D63&lt;&gt;"Serviço",AND(AUTOEVENTO="Manual",$M63=$A$15)),0,
         IF(OFFSET(CRONOPLE!$F$15,$M63-$A$15,AR$13)="",10^12,OFFSET(CRONOPLE!$F$15,$M63-$A$15,AR$13)))</f>
        <v>1000000000000</v>
      </c>
      <c r="AS63" s="178">
        <f ca="1">IF(OR($D63&lt;&gt;"Serviço",AND(AUTOEVENTO="Manual",$M63=$A$15)),0,
         IF(OFFSET(CRONOPLE!$F$15,$M63-$A$15,AS$13)="",10^12,OFFSET(CRONOPLE!$F$15,$M63-$A$15,AS$13)))</f>
        <v>1000000000000</v>
      </c>
      <c r="AT63" s="178">
        <f ca="1">IF(OR($D63&lt;&gt;"Serviço",AND(AUTOEVENTO="Manual",$M63=$A$15)),0,
         IF(OFFSET(CRONOPLE!$F$15,$M63-$A$15,AT$13)="",10^12,OFFSET(CRONOPLE!$F$15,$M63-$A$15,AT$13)))</f>
        <v>1000000000000</v>
      </c>
      <c r="AU63" s="178">
        <f ca="1">IF(OR($D63&lt;&gt;"Serviço",AND(AUTOEVENTO="Manual",$M63=$A$15)),0,
         IF(OFFSET(CRONOPLE!$F$15,$M63-$A$15,AU$13)="",10^12,OFFSET(CRONOPLE!$F$15,$M63-$A$15,AU$13)))</f>
        <v>1000000000000</v>
      </c>
      <c r="AV63" s="178">
        <f ca="1">IF(OR($D63&lt;&gt;"Serviço",AND(AUTOEVENTO="Manual",$M63=$A$15)),0,
         IF(OFFSET(CRONOPLE!$F$15,$M63-$A$15,AV$13)="",10^12,OFFSET(CRONOPLE!$F$15,$M63-$A$15,AV$13)))</f>
        <v>1000000000000</v>
      </c>
      <c r="AX63" s="179">
        <f ca="1">IF(OR($D63&lt;&gt;"Serviço",AND(AUTOEVENTO="Manual",$M63=$A$15),$M63&gt;(ROW(PLE.lastrow)-ROW(PLE.firstrow))),0,
           IF(OFFSET(PLE!$G$15,$M63-$A$15,AX$13)="",10^12,OFFSET(PLE!$G$15,$M63-$A$15,AX$13)))</f>
        <v>1000000000000</v>
      </c>
      <c r="AY63" s="179">
        <f ca="1">IF(OR($D63&lt;&gt;"Serviço",AND(AUTOEVENTO="Manual",$M63=$A$15),$M63&gt;(ROW(PLE.lastrow)-ROW(PLE.firstrow))),0,
           IF(OFFSET(PLE!$G$15,$M63-$A$15,AY$13)="",10^12,OFFSET(PLE!$G$15,$M63-$A$15,AY$13)))</f>
        <v>1000000000000</v>
      </c>
      <c r="AZ63" s="179">
        <f ca="1">IF(OR($D63&lt;&gt;"Serviço",AND(AUTOEVENTO="Manual",$M63=$A$15),$M63&gt;(ROW(PLE.lastrow)-ROW(PLE.firstrow))),0,
           IF(OFFSET(PLE!$G$15,$M63-$A$15,AZ$13)="",10^12,OFFSET(PLE!$G$15,$M63-$A$15,AZ$13)))</f>
        <v>1000000000000</v>
      </c>
      <c r="BA63" s="179">
        <f ca="1">IF(OR($D63&lt;&gt;"Serviço",AND(AUTOEVENTO="Manual",$M63=$A$15),$M63&gt;(ROW(PLE.lastrow)-ROW(PLE.firstrow))),0,
           IF(OFFSET(PLE!$G$15,$M63-$A$15,BA$13)="",10^12,OFFSET(PLE!$G$15,$M63-$A$15,BA$13)))</f>
        <v>1000000000000</v>
      </c>
      <c r="BB63" s="179">
        <f ca="1">IF(OR($D63&lt;&gt;"Serviço",AND(AUTOEVENTO="Manual",$M63=$A$15),$M63&gt;(ROW(PLE.lastrow)-ROW(PLE.firstrow))),0,
           IF(OFFSET(PLE!$G$15,$M63-$A$15,BB$13)="",10^12,OFFSET(PLE!$G$15,$M63-$A$15,BB$13)))</f>
        <v>1000000000000</v>
      </c>
      <c r="BC63" s="179">
        <f ca="1">IF(OR($D63&lt;&gt;"Serviço",AND(AUTOEVENTO="Manual",$M63=$A$15),$M63&gt;(ROW(PLE.lastrow)-ROW(PLE.firstrow))),0,
           IF(OFFSET(PLE!$G$15,$M63-$A$15,BC$13)="",10^12,OFFSET(PLE!$G$15,$M63-$A$15,BC$13)))</f>
        <v>1000000000000</v>
      </c>
      <c r="BD63" s="179">
        <f ca="1">IF(OR($D63&lt;&gt;"Serviço",AND(AUTOEVENTO="Manual",$M63=$A$15),$M63&gt;(ROW(PLE.lastrow)-ROW(PLE.firstrow))),0,
           IF(OFFSET(PLE!$G$15,$M63-$A$15,BD$13)="",10^12,OFFSET(PLE!$G$15,$M63-$A$15,BD$13)))</f>
        <v>1000000000000</v>
      </c>
      <c r="BE63" s="179">
        <f ca="1">IF(OR($D63&lt;&gt;"Serviço",AND(AUTOEVENTO="Manual",$M63=$A$15),$M63&gt;(ROW(PLE.lastrow)-ROW(PLE.firstrow))),0,
           IF(OFFSET(PLE!$G$15,$M63-$A$15,BE$13)="",10^12,OFFSET(PLE!$G$15,$M63-$A$15,BE$13)))</f>
        <v>1000000000000</v>
      </c>
      <c r="BF63" s="179">
        <f ca="1">IF(OR($D63&lt;&gt;"Serviço",AND(AUTOEVENTO="Manual",$M63=$A$15),$M63&gt;(ROW(PLE.lastrow)-ROW(PLE.firstrow))),0,
           IF(OFFSET(PLE!$G$15,$M63-$A$15,BF$13)="",10^12,OFFSET(PLE!$G$15,$M63-$A$15,BF$13)))</f>
        <v>1000000000000</v>
      </c>
      <c r="BG63" s="179">
        <f ca="1">IF(OR($D63&lt;&gt;"Serviço",AND(AUTOEVENTO="Manual",$M63=$A$15),$M63&gt;(ROW(PLE.lastrow)-ROW(PLE.firstrow))),0,
           IF(OFFSET(PLE!$G$15,$M63-$A$15,BG$13)="",10^12,OFFSET(PLE!$G$15,$M63-$A$15,BG$13)))</f>
        <v>1000000000000</v>
      </c>
    </row>
    <row r="64" spans="1:59" ht="25.5" x14ac:dyDescent="0.2">
      <c r="A64" s="7" t="str">
        <f ca="1">IF(AUTOEVENTO="Manual",IF(K64&lt;&gt;"",MIN(VALUE(LEFT(K64,FIND(".",K64)-1)),COUNTA(EVENTOS.Lista)),0),IF(OR($B64&gt;AUTOEVENTO,$B64="S",$B64=0),SUBSTITUTE(OFFSET($A64,-1,0),IF($D64="Serviço",".",""),""),ROW(A64)-ROW($A$15)&amp;"."))</f>
        <v>44</v>
      </c>
      <c r="B64" s="7" t="str">
        <f ca="1">OFFSET(ORÇAMENTO!C$15,ROW(B64)-ROW(B$15),0)</f>
        <v>S</v>
      </c>
      <c r="C64" s="7" t="str">
        <f ca="1">OFFSET(ORÇAMENTO!L$15,ROW(C64)-ROW(C$15),0)</f>
        <v/>
      </c>
      <c r="D64" s="118" t="str">
        <f ca="1">OFFSET(ORÇAMENTO!N$15,ROW(D64)-ROW(D$15),0)</f>
        <v>Serviço</v>
      </c>
      <c r="E64" s="119" t="str">
        <f ca="1">OFFSET(ORÇAMENTO!O$15,ROW(E64)-ROW(E$15),0)</f>
        <v>-</v>
      </c>
      <c r="F64" s="170" t="str">
        <f ca="1">OFFSET(ORÇAMENTO!R$15,ROW(F64)-ROW(F$15),0)</f>
        <v>(abra o arquivo 'Referência 04-2026.xlsm)</v>
      </c>
      <c r="G64" s="171" t="str">
        <f ca="1">IF($D64&lt;&gt;"Serviço","",OFFSET(ORÇAMENTO!S$15,ROW(G64)-ROW(G$15),0))</f>
        <v>-</v>
      </c>
      <c r="H64" s="124" cm="1">
        <f t="array" aca="1" ref="H64" ca="1">IF($D64&lt;&gt;"Serviço",0,IF(_xlfn.SINGLE(ACOMPANHAMENTO)="BM",ROUND(OFFSET(ORÇAMENTO!AJ$15,ROW(H64)-ROW(H$15),0),15-13*ORÇAMENTO!$AF$7),SUMPRODUCT(($Q$1:$AA$1)*ROUND($Q64:$AA64,15-13*ORÇAMENTO!$AF$7))))</f>
        <v>154.26</v>
      </c>
      <c r="I64" s="500" t="s">
        <v>974</v>
      </c>
      <c r="J64" s="633" t="str" cm="1">
        <f t="array" aca="1" ref="J64" ca="1">IF(B64&lt;&gt;"S","",IF(AND(ACOMPANHAMENTO="PLE",AUTOEVENTO="Manual",OR(H64&gt;0,ORÇAMENTO!AC64="QUANT."),OR(K64="",M64=0,N64="")),"►",IF(AND(ACOMPANHAMENTO="PLE",ORÇAMENTO!AC64="QUANT."),"►►",IF(AND(COUNTIF($P$11:$AA$11,"▼")=0,H64&gt;0,I64=""),"◄",""))))</f>
        <v/>
      </c>
      <c r="K64" s="624"/>
      <c r="L64" s="172" t="s">
        <v>253</v>
      </c>
      <c r="M64" s="173">
        <f ca="1">IF($D64&lt;&gt;"Serviço","",
          IF(AUTOEVENTO="manual",$A64,
                IF(ISERROR(MATCH($A64,$A$15:OFFSET($A64,-1,0),0)),MAX($M$15:OFFSET(M64,-1,0))+1,
                      INDEX($M$15:OFFSET(M64,-1,0),MATCH($A64,$A$15:OFFSET($A64,-1,0),0)))))</f>
        <v>8</v>
      </c>
      <c r="N64" s="174" t="str">
        <f ca="1">IF($D64&lt;&gt;"Serviço","",
         IF(AUTOEVENTO="Manual",
                IF($A64=0,"&lt;-- defina o número do agrupador",
                       OFFSET(EVENTOS!$D$15,$A64-$A$15,0)),
                OFFSET($F$15,$A64,0)))</f>
        <v>INSTALAÇÃO DO TELHADO</v>
      </c>
      <c r="O64" s="175"/>
      <c r="Q64" s="175">
        <v>154.26</v>
      </c>
      <c r="R64" s="176"/>
      <c r="S64" s="176"/>
      <c r="T64" s="176"/>
      <c r="U64" s="176"/>
      <c r="V64" s="176"/>
      <c r="W64" s="176"/>
      <c r="X64" s="176"/>
      <c r="Y64" s="176"/>
      <c r="Z64" s="177"/>
      <c r="AB64" s="485">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85">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85">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85">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85">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85">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85">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85">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85">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85">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8">
        <f ca="1">IF(OR($D64&lt;&gt;"Serviço",AND(AUTOEVENTO="Manual",$M64=$A$15)),0,
         IF(OFFSET(CRONOPLE!$F$15,$M64-$A$15,AM$13)="",10^12,OFFSET(CRONOPLE!$F$15,$M64-$A$15,AM$13)))</f>
        <v>4</v>
      </c>
      <c r="AN64" s="178">
        <f ca="1">IF(OR($D64&lt;&gt;"Serviço",AND(AUTOEVENTO="Manual",$M64=$A$15)),0,
         IF(OFFSET(CRONOPLE!$F$15,$M64-$A$15,AN$13)="",10^12,OFFSET(CRONOPLE!$F$15,$M64-$A$15,AN$13)))</f>
        <v>1000000000000</v>
      </c>
      <c r="AO64" s="178">
        <f ca="1">IF(OR($D64&lt;&gt;"Serviço",AND(AUTOEVENTO="Manual",$M64=$A$15)),0,
         IF(OFFSET(CRONOPLE!$F$15,$M64-$A$15,AO$13)="",10^12,OFFSET(CRONOPLE!$F$15,$M64-$A$15,AO$13)))</f>
        <v>1000000000000</v>
      </c>
      <c r="AP64" s="178">
        <f ca="1">IF(OR($D64&lt;&gt;"Serviço",AND(AUTOEVENTO="Manual",$M64=$A$15)),0,
         IF(OFFSET(CRONOPLE!$F$15,$M64-$A$15,AP$13)="",10^12,OFFSET(CRONOPLE!$F$15,$M64-$A$15,AP$13)))</f>
        <v>1000000000000</v>
      </c>
      <c r="AQ64" s="178">
        <f ca="1">IF(OR($D64&lt;&gt;"Serviço",AND(AUTOEVENTO="Manual",$M64=$A$15)),0,
         IF(OFFSET(CRONOPLE!$F$15,$M64-$A$15,AQ$13)="",10^12,OFFSET(CRONOPLE!$F$15,$M64-$A$15,AQ$13)))</f>
        <v>1000000000000</v>
      </c>
      <c r="AR64" s="178">
        <f ca="1">IF(OR($D64&lt;&gt;"Serviço",AND(AUTOEVENTO="Manual",$M64=$A$15)),0,
         IF(OFFSET(CRONOPLE!$F$15,$M64-$A$15,AR$13)="",10^12,OFFSET(CRONOPLE!$F$15,$M64-$A$15,AR$13)))</f>
        <v>1000000000000</v>
      </c>
      <c r="AS64" s="178">
        <f ca="1">IF(OR($D64&lt;&gt;"Serviço",AND(AUTOEVENTO="Manual",$M64=$A$15)),0,
         IF(OFFSET(CRONOPLE!$F$15,$M64-$A$15,AS$13)="",10^12,OFFSET(CRONOPLE!$F$15,$M64-$A$15,AS$13)))</f>
        <v>1000000000000</v>
      </c>
      <c r="AT64" s="178">
        <f ca="1">IF(OR($D64&lt;&gt;"Serviço",AND(AUTOEVENTO="Manual",$M64=$A$15)),0,
         IF(OFFSET(CRONOPLE!$F$15,$M64-$A$15,AT$13)="",10^12,OFFSET(CRONOPLE!$F$15,$M64-$A$15,AT$13)))</f>
        <v>1000000000000</v>
      </c>
      <c r="AU64" s="178">
        <f ca="1">IF(OR($D64&lt;&gt;"Serviço",AND(AUTOEVENTO="Manual",$M64=$A$15)),0,
         IF(OFFSET(CRONOPLE!$F$15,$M64-$A$15,AU$13)="",10^12,OFFSET(CRONOPLE!$F$15,$M64-$A$15,AU$13)))</f>
        <v>1000000000000</v>
      </c>
      <c r="AV64" s="178">
        <f ca="1">IF(OR($D64&lt;&gt;"Serviço",AND(AUTOEVENTO="Manual",$M64=$A$15)),0,
         IF(OFFSET(CRONOPLE!$F$15,$M64-$A$15,AV$13)="",10^12,OFFSET(CRONOPLE!$F$15,$M64-$A$15,AV$13)))</f>
        <v>1000000000000</v>
      </c>
      <c r="AX64" s="179">
        <f ca="1">IF(OR($D64&lt;&gt;"Serviço",AND(AUTOEVENTO="Manual",$M64=$A$15),$M64&gt;(ROW(PLE.lastrow)-ROW(PLE.firstrow))),0,
           IF(OFFSET(PLE!$G$15,$M64-$A$15,AX$13)="",10^12,OFFSET(PLE!$G$15,$M64-$A$15,AX$13)))</f>
        <v>1000000000000</v>
      </c>
      <c r="AY64" s="179">
        <f ca="1">IF(OR($D64&lt;&gt;"Serviço",AND(AUTOEVENTO="Manual",$M64=$A$15),$M64&gt;(ROW(PLE.lastrow)-ROW(PLE.firstrow))),0,
           IF(OFFSET(PLE!$G$15,$M64-$A$15,AY$13)="",10^12,OFFSET(PLE!$G$15,$M64-$A$15,AY$13)))</f>
        <v>1000000000000</v>
      </c>
      <c r="AZ64" s="179">
        <f ca="1">IF(OR($D64&lt;&gt;"Serviço",AND(AUTOEVENTO="Manual",$M64=$A$15),$M64&gt;(ROW(PLE.lastrow)-ROW(PLE.firstrow))),0,
           IF(OFFSET(PLE!$G$15,$M64-$A$15,AZ$13)="",10^12,OFFSET(PLE!$G$15,$M64-$A$15,AZ$13)))</f>
        <v>1000000000000</v>
      </c>
      <c r="BA64" s="179">
        <f ca="1">IF(OR($D64&lt;&gt;"Serviço",AND(AUTOEVENTO="Manual",$M64=$A$15),$M64&gt;(ROW(PLE.lastrow)-ROW(PLE.firstrow))),0,
           IF(OFFSET(PLE!$G$15,$M64-$A$15,BA$13)="",10^12,OFFSET(PLE!$G$15,$M64-$A$15,BA$13)))</f>
        <v>1000000000000</v>
      </c>
      <c r="BB64" s="179">
        <f ca="1">IF(OR($D64&lt;&gt;"Serviço",AND(AUTOEVENTO="Manual",$M64=$A$15),$M64&gt;(ROW(PLE.lastrow)-ROW(PLE.firstrow))),0,
           IF(OFFSET(PLE!$G$15,$M64-$A$15,BB$13)="",10^12,OFFSET(PLE!$G$15,$M64-$A$15,BB$13)))</f>
        <v>1000000000000</v>
      </c>
      <c r="BC64" s="179">
        <f ca="1">IF(OR($D64&lt;&gt;"Serviço",AND(AUTOEVENTO="Manual",$M64=$A$15),$M64&gt;(ROW(PLE.lastrow)-ROW(PLE.firstrow))),0,
           IF(OFFSET(PLE!$G$15,$M64-$A$15,BC$13)="",10^12,OFFSET(PLE!$G$15,$M64-$A$15,BC$13)))</f>
        <v>1000000000000</v>
      </c>
      <c r="BD64" s="179">
        <f ca="1">IF(OR($D64&lt;&gt;"Serviço",AND(AUTOEVENTO="Manual",$M64=$A$15),$M64&gt;(ROW(PLE.lastrow)-ROW(PLE.firstrow))),0,
           IF(OFFSET(PLE!$G$15,$M64-$A$15,BD$13)="",10^12,OFFSET(PLE!$G$15,$M64-$A$15,BD$13)))</f>
        <v>1000000000000</v>
      </c>
      <c r="BE64" s="179">
        <f ca="1">IF(OR($D64&lt;&gt;"Serviço",AND(AUTOEVENTO="Manual",$M64=$A$15),$M64&gt;(ROW(PLE.lastrow)-ROW(PLE.firstrow))),0,
           IF(OFFSET(PLE!$G$15,$M64-$A$15,BE$13)="",10^12,OFFSET(PLE!$G$15,$M64-$A$15,BE$13)))</f>
        <v>1000000000000</v>
      </c>
      <c r="BF64" s="179">
        <f ca="1">IF(OR($D64&lt;&gt;"Serviço",AND(AUTOEVENTO="Manual",$M64=$A$15),$M64&gt;(ROW(PLE.lastrow)-ROW(PLE.firstrow))),0,
           IF(OFFSET(PLE!$G$15,$M64-$A$15,BF$13)="",10^12,OFFSET(PLE!$G$15,$M64-$A$15,BF$13)))</f>
        <v>1000000000000</v>
      </c>
      <c r="BG64" s="179">
        <f ca="1">IF(OR($D64&lt;&gt;"Serviço",AND(AUTOEVENTO="Manual",$M64=$A$15),$M64&gt;(ROW(PLE.lastrow)-ROW(PLE.firstrow))),0,
           IF(OFFSET(PLE!$G$15,$M64-$A$15,BG$13)="",10^12,OFFSET(PLE!$G$15,$M64-$A$15,BG$13)))</f>
        <v>1000000000000</v>
      </c>
    </row>
    <row r="65" spans="1:59" ht="25.5" x14ac:dyDescent="0.2">
      <c r="A65" s="7" t="str">
        <f ca="1">IF(AUTOEVENTO="Manual",IF(K65&lt;&gt;"",MIN(VALUE(LEFT(K65,FIND(".",K65)-1)),COUNTA(EVENTOS.Lista)),0),IF(OR($B65&gt;AUTOEVENTO,$B65="S",$B65=0),SUBSTITUTE(OFFSET($A65,-1,0),IF($D65="Serviço",".",""),""),ROW(A65)-ROW($A$15)&amp;"."))</f>
        <v>44</v>
      </c>
      <c r="B65" s="7" t="str">
        <f ca="1">OFFSET(ORÇAMENTO!C$15,ROW(B65)-ROW(B$15),0)</f>
        <v>S</v>
      </c>
      <c r="C65" s="7" t="str">
        <f ca="1">OFFSET(ORÇAMENTO!L$15,ROW(C65)-ROW(C$15),0)</f>
        <v/>
      </c>
      <c r="D65" s="118" t="str">
        <f ca="1">OFFSET(ORÇAMENTO!N$15,ROW(D65)-ROW(D$15),0)</f>
        <v>Serviço</v>
      </c>
      <c r="E65" s="119" t="str">
        <f ca="1">OFFSET(ORÇAMENTO!O$15,ROW(E65)-ROW(E$15),0)</f>
        <v>-</v>
      </c>
      <c r="F65" s="170" t="str">
        <f ca="1">OFFSET(ORÇAMENTO!R$15,ROW(F65)-ROW(F$15),0)</f>
        <v>(abra o arquivo 'Referência 04-2026.xlsm)</v>
      </c>
      <c r="G65" s="171" t="str">
        <f ca="1">IF($D65&lt;&gt;"Serviço","",OFFSET(ORÇAMENTO!S$15,ROW(G65)-ROW(G$15),0))</f>
        <v>-</v>
      </c>
      <c r="H65" s="124" cm="1">
        <f t="array" aca="1" ref="H65" ca="1">IF($D65&lt;&gt;"Serviço",0,IF(_xlfn.SINGLE(ACOMPANHAMENTO)="BM",ROUND(OFFSET(ORÇAMENTO!AJ$15,ROW(H65)-ROW(H$15),0),15-13*ORÇAMENTO!$AF$7),SUMPRODUCT(($Q$1:$AA$1)*ROUND($Q65:$AA65,15-13*ORÇAMENTO!$AF$7))))</f>
        <v>53.4</v>
      </c>
      <c r="I65" s="500" t="s">
        <v>1056</v>
      </c>
      <c r="J65" s="633" t="str" cm="1">
        <f t="array" aca="1" ref="J65" ca="1">IF(B65&lt;&gt;"S","",IF(AND(ACOMPANHAMENTO="PLE",AUTOEVENTO="Manual",OR(H65&gt;0,ORÇAMENTO!AC65="QUANT."),OR(K65="",M65=0,N65="")),"►",IF(AND(ACOMPANHAMENTO="PLE",ORÇAMENTO!AC65="QUANT."),"►►",IF(AND(COUNTIF($P$11:$AA$11,"▼")=0,H65&gt;0,I65=""),"◄",""))))</f>
        <v/>
      </c>
      <c r="K65" s="624"/>
      <c r="L65" s="172" t="s">
        <v>253</v>
      </c>
      <c r="M65" s="173">
        <f ca="1">IF($D65&lt;&gt;"Serviço","",
          IF(AUTOEVENTO="manual",$A65,
                IF(ISERROR(MATCH($A65,$A$15:OFFSET($A65,-1,0),0)),MAX($M$15:OFFSET(M65,-1,0))+1,
                      INDEX($M$15:OFFSET(M65,-1,0),MATCH($A65,$A$15:OFFSET($A65,-1,0),0)))))</f>
        <v>8</v>
      </c>
      <c r="N65" s="174" t="str">
        <f ca="1">IF($D65&lt;&gt;"Serviço","",
         IF(AUTOEVENTO="Manual",
                IF($A65=0,"&lt;-- defina o número do agrupador",
                       OFFSET(EVENTOS!$D$15,$A65-$A$15,0)),
                OFFSET($F$15,$A65,0)))</f>
        <v>INSTALAÇÃO DO TELHADO</v>
      </c>
      <c r="O65" s="175"/>
      <c r="Q65" s="175">
        <f>(1.8*2+3)*4+4+23</f>
        <v>53.4</v>
      </c>
      <c r="R65" s="176"/>
      <c r="S65" s="176"/>
      <c r="T65" s="176"/>
      <c r="U65" s="176"/>
      <c r="V65" s="176"/>
      <c r="W65" s="176"/>
      <c r="X65" s="176"/>
      <c r="Y65" s="176"/>
      <c r="Z65" s="177"/>
      <c r="AB65" s="485">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85">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85">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85">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85">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85">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85">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85">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85">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85">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8">
        <f ca="1">IF(OR($D65&lt;&gt;"Serviço",AND(AUTOEVENTO="Manual",$M65=$A$15)),0,
         IF(OFFSET(CRONOPLE!$F$15,$M65-$A$15,AM$13)="",10^12,OFFSET(CRONOPLE!$F$15,$M65-$A$15,AM$13)))</f>
        <v>4</v>
      </c>
      <c r="AN65" s="178">
        <f ca="1">IF(OR($D65&lt;&gt;"Serviço",AND(AUTOEVENTO="Manual",$M65=$A$15)),0,
         IF(OFFSET(CRONOPLE!$F$15,$M65-$A$15,AN$13)="",10^12,OFFSET(CRONOPLE!$F$15,$M65-$A$15,AN$13)))</f>
        <v>1000000000000</v>
      </c>
      <c r="AO65" s="178">
        <f ca="1">IF(OR($D65&lt;&gt;"Serviço",AND(AUTOEVENTO="Manual",$M65=$A$15)),0,
         IF(OFFSET(CRONOPLE!$F$15,$M65-$A$15,AO$13)="",10^12,OFFSET(CRONOPLE!$F$15,$M65-$A$15,AO$13)))</f>
        <v>1000000000000</v>
      </c>
      <c r="AP65" s="178">
        <f ca="1">IF(OR($D65&lt;&gt;"Serviço",AND(AUTOEVENTO="Manual",$M65=$A$15)),0,
         IF(OFFSET(CRONOPLE!$F$15,$M65-$A$15,AP$13)="",10^12,OFFSET(CRONOPLE!$F$15,$M65-$A$15,AP$13)))</f>
        <v>1000000000000</v>
      </c>
      <c r="AQ65" s="178">
        <f ca="1">IF(OR($D65&lt;&gt;"Serviço",AND(AUTOEVENTO="Manual",$M65=$A$15)),0,
         IF(OFFSET(CRONOPLE!$F$15,$M65-$A$15,AQ$13)="",10^12,OFFSET(CRONOPLE!$F$15,$M65-$A$15,AQ$13)))</f>
        <v>1000000000000</v>
      </c>
      <c r="AR65" s="178">
        <f ca="1">IF(OR($D65&lt;&gt;"Serviço",AND(AUTOEVENTO="Manual",$M65=$A$15)),0,
         IF(OFFSET(CRONOPLE!$F$15,$M65-$A$15,AR$13)="",10^12,OFFSET(CRONOPLE!$F$15,$M65-$A$15,AR$13)))</f>
        <v>1000000000000</v>
      </c>
      <c r="AS65" s="178">
        <f ca="1">IF(OR($D65&lt;&gt;"Serviço",AND(AUTOEVENTO="Manual",$M65=$A$15)),0,
         IF(OFFSET(CRONOPLE!$F$15,$M65-$A$15,AS$13)="",10^12,OFFSET(CRONOPLE!$F$15,$M65-$A$15,AS$13)))</f>
        <v>1000000000000</v>
      </c>
      <c r="AT65" s="178">
        <f ca="1">IF(OR($D65&lt;&gt;"Serviço",AND(AUTOEVENTO="Manual",$M65=$A$15)),0,
         IF(OFFSET(CRONOPLE!$F$15,$M65-$A$15,AT$13)="",10^12,OFFSET(CRONOPLE!$F$15,$M65-$A$15,AT$13)))</f>
        <v>1000000000000</v>
      </c>
      <c r="AU65" s="178">
        <f ca="1">IF(OR($D65&lt;&gt;"Serviço",AND(AUTOEVENTO="Manual",$M65=$A$15)),0,
         IF(OFFSET(CRONOPLE!$F$15,$M65-$A$15,AU$13)="",10^12,OFFSET(CRONOPLE!$F$15,$M65-$A$15,AU$13)))</f>
        <v>1000000000000</v>
      </c>
      <c r="AV65" s="178">
        <f ca="1">IF(OR($D65&lt;&gt;"Serviço",AND(AUTOEVENTO="Manual",$M65=$A$15)),0,
         IF(OFFSET(CRONOPLE!$F$15,$M65-$A$15,AV$13)="",10^12,OFFSET(CRONOPLE!$F$15,$M65-$A$15,AV$13)))</f>
        <v>1000000000000</v>
      </c>
      <c r="AX65" s="179">
        <f ca="1">IF(OR($D65&lt;&gt;"Serviço",AND(AUTOEVENTO="Manual",$M65=$A$15),$M65&gt;(ROW(PLE.lastrow)-ROW(PLE.firstrow))),0,
           IF(OFFSET(PLE!$G$15,$M65-$A$15,AX$13)="",10^12,OFFSET(PLE!$G$15,$M65-$A$15,AX$13)))</f>
        <v>1000000000000</v>
      </c>
      <c r="AY65" s="179">
        <f ca="1">IF(OR($D65&lt;&gt;"Serviço",AND(AUTOEVENTO="Manual",$M65=$A$15),$M65&gt;(ROW(PLE.lastrow)-ROW(PLE.firstrow))),0,
           IF(OFFSET(PLE!$G$15,$M65-$A$15,AY$13)="",10^12,OFFSET(PLE!$G$15,$M65-$A$15,AY$13)))</f>
        <v>1000000000000</v>
      </c>
      <c r="AZ65" s="179">
        <f ca="1">IF(OR($D65&lt;&gt;"Serviço",AND(AUTOEVENTO="Manual",$M65=$A$15),$M65&gt;(ROW(PLE.lastrow)-ROW(PLE.firstrow))),0,
           IF(OFFSET(PLE!$G$15,$M65-$A$15,AZ$13)="",10^12,OFFSET(PLE!$G$15,$M65-$A$15,AZ$13)))</f>
        <v>1000000000000</v>
      </c>
      <c r="BA65" s="179">
        <f ca="1">IF(OR($D65&lt;&gt;"Serviço",AND(AUTOEVENTO="Manual",$M65=$A$15),$M65&gt;(ROW(PLE.lastrow)-ROW(PLE.firstrow))),0,
           IF(OFFSET(PLE!$G$15,$M65-$A$15,BA$13)="",10^12,OFFSET(PLE!$G$15,$M65-$A$15,BA$13)))</f>
        <v>1000000000000</v>
      </c>
      <c r="BB65" s="179">
        <f ca="1">IF(OR($D65&lt;&gt;"Serviço",AND(AUTOEVENTO="Manual",$M65=$A$15),$M65&gt;(ROW(PLE.lastrow)-ROW(PLE.firstrow))),0,
           IF(OFFSET(PLE!$G$15,$M65-$A$15,BB$13)="",10^12,OFFSET(PLE!$G$15,$M65-$A$15,BB$13)))</f>
        <v>1000000000000</v>
      </c>
      <c r="BC65" s="179">
        <f ca="1">IF(OR($D65&lt;&gt;"Serviço",AND(AUTOEVENTO="Manual",$M65=$A$15),$M65&gt;(ROW(PLE.lastrow)-ROW(PLE.firstrow))),0,
           IF(OFFSET(PLE!$G$15,$M65-$A$15,BC$13)="",10^12,OFFSET(PLE!$G$15,$M65-$A$15,BC$13)))</f>
        <v>1000000000000</v>
      </c>
      <c r="BD65" s="179">
        <f ca="1">IF(OR($D65&lt;&gt;"Serviço",AND(AUTOEVENTO="Manual",$M65=$A$15),$M65&gt;(ROW(PLE.lastrow)-ROW(PLE.firstrow))),0,
           IF(OFFSET(PLE!$G$15,$M65-$A$15,BD$13)="",10^12,OFFSET(PLE!$G$15,$M65-$A$15,BD$13)))</f>
        <v>1000000000000</v>
      </c>
      <c r="BE65" s="179">
        <f ca="1">IF(OR($D65&lt;&gt;"Serviço",AND(AUTOEVENTO="Manual",$M65=$A$15),$M65&gt;(ROW(PLE.lastrow)-ROW(PLE.firstrow))),0,
           IF(OFFSET(PLE!$G$15,$M65-$A$15,BE$13)="",10^12,OFFSET(PLE!$G$15,$M65-$A$15,BE$13)))</f>
        <v>1000000000000</v>
      </c>
      <c r="BF65" s="179">
        <f ca="1">IF(OR($D65&lt;&gt;"Serviço",AND(AUTOEVENTO="Manual",$M65=$A$15),$M65&gt;(ROW(PLE.lastrow)-ROW(PLE.firstrow))),0,
           IF(OFFSET(PLE!$G$15,$M65-$A$15,BF$13)="",10^12,OFFSET(PLE!$G$15,$M65-$A$15,BF$13)))</f>
        <v>1000000000000</v>
      </c>
      <c r="BG65" s="179">
        <f ca="1">IF(OR($D65&lt;&gt;"Serviço",AND(AUTOEVENTO="Manual",$M65=$A$15),$M65&gt;(ROW(PLE.lastrow)-ROW(PLE.firstrow))),0,
           IF(OFFSET(PLE!$G$15,$M65-$A$15,BG$13)="",10^12,OFFSET(PLE!$G$15,$M65-$A$15,BG$13)))</f>
        <v>1000000000000</v>
      </c>
    </row>
    <row r="66" spans="1:59" ht="38.25" x14ac:dyDescent="0.2">
      <c r="A66" s="7" t="str">
        <f ca="1">IF(AUTOEVENTO="Manual",IF(K66&lt;&gt;"",MIN(VALUE(LEFT(K66,FIND(".",K66)-1)),COUNTA(EVENTOS.Lista)),0),IF(OR($B66&gt;AUTOEVENTO,$B66="S",$B66=0),SUBSTITUTE(OFFSET($A66,-1,0),IF($D66="Serviço",".",""),""),ROW(A66)-ROW($A$15)&amp;"."))</f>
        <v>44</v>
      </c>
      <c r="B66" s="7" t="str">
        <f ca="1">OFFSET(ORÇAMENTO!C$15,ROW(B66)-ROW(B$15),0)</f>
        <v>S</v>
      </c>
      <c r="C66" s="7" t="str">
        <f ca="1">OFFSET(ORÇAMENTO!L$15,ROW(C66)-ROW(C$15),0)</f>
        <v/>
      </c>
      <c r="D66" s="118" t="str">
        <f ca="1">OFFSET(ORÇAMENTO!N$15,ROW(D66)-ROW(D$15),0)</f>
        <v>Serviço</v>
      </c>
      <c r="E66" s="119" t="str">
        <f ca="1">OFFSET(ORÇAMENTO!O$15,ROW(E66)-ROW(E$15),0)</f>
        <v>-</v>
      </c>
      <c r="F66" s="170" t="str">
        <f ca="1">OFFSET(ORÇAMENTO!R$15,ROW(F66)-ROW(F$15),0)</f>
        <v>(abra o arquivo 'Referência 04-2026.xlsm)</v>
      </c>
      <c r="G66" s="171" t="str">
        <f ca="1">IF($D66&lt;&gt;"Serviço","",OFFSET(ORÇAMENTO!S$15,ROW(G66)-ROW(G$15),0))</f>
        <v>-</v>
      </c>
      <c r="H66" s="124" cm="1">
        <f t="array" aca="1" ref="H66" ca="1">IF($D66&lt;&gt;"Serviço",0,IF(_xlfn.SINGLE(ACOMPANHAMENTO)="BM",ROUND(OFFSET(ORÇAMENTO!AJ$15,ROW(H66)-ROW(H$15),0),15-13*ORÇAMENTO!$AF$7),SUMPRODUCT(($Q$1:$AA$1)*ROUND($Q66:$AA66,15-13*ORÇAMENTO!$AF$7))))</f>
        <v>14</v>
      </c>
      <c r="I66" s="500" t="s">
        <v>1042</v>
      </c>
      <c r="J66" s="633" t="str" cm="1">
        <f t="array" aca="1" ref="J66" ca="1">IF(B66&lt;&gt;"S","",IF(AND(ACOMPANHAMENTO="PLE",AUTOEVENTO="Manual",OR(H66&gt;0,ORÇAMENTO!AC66="QUANT."),OR(K66="",M66=0,N66="")),"►",IF(AND(ACOMPANHAMENTO="PLE",ORÇAMENTO!AC66="QUANT."),"►►",IF(AND(COUNTIF($P$11:$AA$11,"▼")=0,H66&gt;0,I66=""),"◄",""))))</f>
        <v/>
      </c>
      <c r="K66" s="624"/>
      <c r="L66" s="172" t="s">
        <v>253</v>
      </c>
      <c r="M66" s="173">
        <f ca="1">IF($D66&lt;&gt;"Serviço","",
          IF(AUTOEVENTO="manual",$A66,
                IF(ISERROR(MATCH($A66,$A$15:OFFSET($A66,-1,0),0)),MAX($M$15:OFFSET(M66,-1,0))+1,
                      INDEX($M$15:OFFSET(M66,-1,0),MATCH($A66,$A$15:OFFSET($A66,-1,0),0)))))</f>
        <v>8</v>
      </c>
      <c r="N66" s="174" t="str">
        <f ca="1">IF($D66&lt;&gt;"Serviço","",
         IF(AUTOEVENTO="Manual",
                IF($A66=0,"&lt;-- defina o número do agrupador",
                       OFFSET(EVENTOS!$D$15,$A66-$A$15,0)),
                OFFSET($F$15,$A66,0)))</f>
        <v>INSTALAÇÃO DO TELHADO</v>
      </c>
      <c r="O66" s="175"/>
      <c r="Q66" s="175">
        <v>14</v>
      </c>
      <c r="R66" s="176"/>
      <c r="S66" s="176"/>
      <c r="T66" s="176"/>
      <c r="U66" s="176"/>
      <c r="V66" s="176"/>
      <c r="W66" s="176"/>
      <c r="X66" s="176"/>
      <c r="Y66" s="176"/>
      <c r="Z66" s="177"/>
      <c r="AB66" s="485">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85">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85">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85">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85">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85">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85">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85">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85">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85">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8">
        <f ca="1">IF(OR($D66&lt;&gt;"Serviço",AND(AUTOEVENTO="Manual",$M66=$A$15)),0,
         IF(OFFSET(CRONOPLE!$F$15,$M66-$A$15,AM$13)="",10^12,OFFSET(CRONOPLE!$F$15,$M66-$A$15,AM$13)))</f>
        <v>4</v>
      </c>
      <c r="AN66" s="178">
        <f ca="1">IF(OR($D66&lt;&gt;"Serviço",AND(AUTOEVENTO="Manual",$M66=$A$15)),0,
         IF(OFFSET(CRONOPLE!$F$15,$M66-$A$15,AN$13)="",10^12,OFFSET(CRONOPLE!$F$15,$M66-$A$15,AN$13)))</f>
        <v>1000000000000</v>
      </c>
      <c r="AO66" s="178">
        <f ca="1">IF(OR($D66&lt;&gt;"Serviço",AND(AUTOEVENTO="Manual",$M66=$A$15)),0,
         IF(OFFSET(CRONOPLE!$F$15,$M66-$A$15,AO$13)="",10^12,OFFSET(CRONOPLE!$F$15,$M66-$A$15,AO$13)))</f>
        <v>1000000000000</v>
      </c>
      <c r="AP66" s="178">
        <f ca="1">IF(OR($D66&lt;&gt;"Serviço",AND(AUTOEVENTO="Manual",$M66=$A$15)),0,
         IF(OFFSET(CRONOPLE!$F$15,$M66-$A$15,AP$13)="",10^12,OFFSET(CRONOPLE!$F$15,$M66-$A$15,AP$13)))</f>
        <v>1000000000000</v>
      </c>
      <c r="AQ66" s="178">
        <f ca="1">IF(OR($D66&lt;&gt;"Serviço",AND(AUTOEVENTO="Manual",$M66=$A$15)),0,
         IF(OFFSET(CRONOPLE!$F$15,$M66-$A$15,AQ$13)="",10^12,OFFSET(CRONOPLE!$F$15,$M66-$A$15,AQ$13)))</f>
        <v>1000000000000</v>
      </c>
      <c r="AR66" s="178">
        <f ca="1">IF(OR($D66&lt;&gt;"Serviço",AND(AUTOEVENTO="Manual",$M66=$A$15)),0,
         IF(OFFSET(CRONOPLE!$F$15,$M66-$A$15,AR$13)="",10^12,OFFSET(CRONOPLE!$F$15,$M66-$A$15,AR$13)))</f>
        <v>1000000000000</v>
      </c>
      <c r="AS66" s="178">
        <f ca="1">IF(OR($D66&lt;&gt;"Serviço",AND(AUTOEVENTO="Manual",$M66=$A$15)),0,
         IF(OFFSET(CRONOPLE!$F$15,$M66-$A$15,AS$13)="",10^12,OFFSET(CRONOPLE!$F$15,$M66-$A$15,AS$13)))</f>
        <v>1000000000000</v>
      </c>
      <c r="AT66" s="178">
        <f ca="1">IF(OR($D66&lt;&gt;"Serviço",AND(AUTOEVENTO="Manual",$M66=$A$15)),0,
         IF(OFFSET(CRONOPLE!$F$15,$M66-$A$15,AT$13)="",10^12,OFFSET(CRONOPLE!$F$15,$M66-$A$15,AT$13)))</f>
        <v>1000000000000</v>
      </c>
      <c r="AU66" s="178">
        <f ca="1">IF(OR($D66&lt;&gt;"Serviço",AND(AUTOEVENTO="Manual",$M66=$A$15)),0,
         IF(OFFSET(CRONOPLE!$F$15,$M66-$A$15,AU$13)="",10^12,OFFSET(CRONOPLE!$F$15,$M66-$A$15,AU$13)))</f>
        <v>1000000000000</v>
      </c>
      <c r="AV66" s="178">
        <f ca="1">IF(OR($D66&lt;&gt;"Serviço",AND(AUTOEVENTO="Manual",$M66=$A$15)),0,
         IF(OFFSET(CRONOPLE!$F$15,$M66-$A$15,AV$13)="",10^12,OFFSET(CRONOPLE!$F$15,$M66-$A$15,AV$13)))</f>
        <v>1000000000000</v>
      </c>
      <c r="AX66" s="179">
        <f ca="1">IF(OR($D66&lt;&gt;"Serviço",AND(AUTOEVENTO="Manual",$M66=$A$15),$M66&gt;(ROW(PLE.lastrow)-ROW(PLE.firstrow))),0,
           IF(OFFSET(PLE!$G$15,$M66-$A$15,AX$13)="",10^12,OFFSET(PLE!$G$15,$M66-$A$15,AX$13)))</f>
        <v>1000000000000</v>
      </c>
      <c r="AY66" s="179">
        <f ca="1">IF(OR($D66&lt;&gt;"Serviço",AND(AUTOEVENTO="Manual",$M66=$A$15),$M66&gt;(ROW(PLE.lastrow)-ROW(PLE.firstrow))),0,
           IF(OFFSET(PLE!$G$15,$M66-$A$15,AY$13)="",10^12,OFFSET(PLE!$G$15,$M66-$A$15,AY$13)))</f>
        <v>1000000000000</v>
      </c>
      <c r="AZ66" s="179">
        <f ca="1">IF(OR($D66&lt;&gt;"Serviço",AND(AUTOEVENTO="Manual",$M66=$A$15),$M66&gt;(ROW(PLE.lastrow)-ROW(PLE.firstrow))),0,
           IF(OFFSET(PLE!$G$15,$M66-$A$15,AZ$13)="",10^12,OFFSET(PLE!$G$15,$M66-$A$15,AZ$13)))</f>
        <v>1000000000000</v>
      </c>
      <c r="BA66" s="179">
        <f ca="1">IF(OR($D66&lt;&gt;"Serviço",AND(AUTOEVENTO="Manual",$M66=$A$15),$M66&gt;(ROW(PLE.lastrow)-ROW(PLE.firstrow))),0,
           IF(OFFSET(PLE!$G$15,$M66-$A$15,BA$13)="",10^12,OFFSET(PLE!$G$15,$M66-$A$15,BA$13)))</f>
        <v>1000000000000</v>
      </c>
      <c r="BB66" s="179">
        <f ca="1">IF(OR($D66&lt;&gt;"Serviço",AND(AUTOEVENTO="Manual",$M66=$A$15),$M66&gt;(ROW(PLE.lastrow)-ROW(PLE.firstrow))),0,
           IF(OFFSET(PLE!$G$15,$M66-$A$15,BB$13)="",10^12,OFFSET(PLE!$G$15,$M66-$A$15,BB$13)))</f>
        <v>1000000000000</v>
      </c>
      <c r="BC66" s="179">
        <f ca="1">IF(OR($D66&lt;&gt;"Serviço",AND(AUTOEVENTO="Manual",$M66=$A$15),$M66&gt;(ROW(PLE.lastrow)-ROW(PLE.firstrow))),0,
           IF(OFFSET(PLE!$G$15,$M66-$A$15,BC$13)="",10^12,OFFSET(PLE!$G$15,$M66-$A$15,BC$13)))</f>
        <v>1000000000000</v>
      </c>
      <c r="BD66" s="179">
        <f ca="1">IF(OR($D66&lt;&gt;"Serviço",AND(AUTOEVENTO="Manual",$M66=$A$15),$M66&gt;(ROW(PLE.lastrow)-ROW(PLE.firstrow))),0,
           IF(OFFSET(PLE!$G$15,$M66-$A$15,BD$13)="",10^12,OFFSET(PLE!$G$15,$M66-$A$15,BD$13)))</f>
        <v>1000000000000</v>
      </c>
      <c r="BE66" s="179">
        <f ca="1">IF(OR($D66&lt;&gt;"Serviço",AND(AUTOEVENTO="Manual",$M66=$A$15),$M66&gt;(ROW(PLE.lastrow)-ROW(PLE.firstrow))),0,
           IF(OFFSET(PLE!$G$15,$M66-$A$15,BE$13)="",10^12,OFFSET(PLE!$G$15,$M66-$A$15,BE$13)))</f>
        <v>1000000000000</v>
      </c>
      <c r="BF66" s="179">
        <f ca="1">IF(OR($D66&lt;&gt;"Serviço",AND(AUTOEVENTO="Manual",$M66=$A$15),$M66&gt;(ROW(PLE.lastrow)-ROW(PLE.firstrow))),0,
           IF(OFFSET(PLE!$G$15,$M66-$A$15,BF$13)="",10^12,OFFSET(PLE!$G$15,$M66-$A$15,BF$13)))</f>
        <v>1000000000000</v>
      </c>
      <c r="BG66" s="179">
        <f ca="1">IF(OR($D66&lt;&gt;"Serviço",AND(AUTOEVENTO="Manual",$M66=$A$15),$M66&gt;(ROW(PLE.lastrow)-ROW(PLE.firstrow))),0,
           IF(OFFSET(PLE!$G$15,$M66-$A$15,BG$13)="",10^12,OFFSET(PLE!$G$15,$M66-$A$15,BG$13)))</f>
        <v>1000000000000</v>
      </c>
    </row>
    <row r="67" spans="1:59" ht="38.25" x14ac:dyDescent="0.2">
      <c r="A67" s="7" t="str">
        <f ca="1">IF(AUTOEVENTO="Manual",IF(K67&lt;&gt;"",MIN(VALUE(LEFT(K67,FIND(".",K67)-1)),COUNTA(EVENTOS.Lista)),0),IF(OR($B67&gt;AUTOEVENTO,$B67="S",$B67=0),SUBSTITUTE(OFFSET($A67,-1,0),IF($D67="Serviço",".",""),""),ROW(A67)-ROW($A$15)&amp;"."))</f>
        <v>44</v>
      </c>
      <c r="B67" s="7" t="str">
        <f ca="1">OFFSET(ORÇAMENTO!C$15,ROW(B67)-ROW(B$15),0)</f>
        <v>S</v>
      </c>
      <c r="C67" s="7" t="str">
        <f ca="1">OFFSET(ORÇAMENTO!L$15,ROW(C67)-ROW(C$15),0)</f>
        <v/>
      </c>
      <c r="D67" s="118" t="str">
        <f ca="1">OFFSET(ORÇAMENTO!N$15,ROW(D67)-ROW(D$15),0)</f>
        <v>Serviço</v>
      </c>
      <c r="E67" s="119" t="str">
        <f ca="1">OFFSET(ORÇAMENTO!O$15,ROW(E67)-ROW(E$15),0)</f>
        <v>-</v>
      </c>
      <c r="F67" s="170" t="str">
        <f ca="1">OFFSET(ORÇAMENTO!R$15,ROW(F67)-ROW(F$15),0)</f>
        <v>(abra o arquivo 'Referência 04-2026.xlsm)</v>
      </c>
      <c r="G67" s="171" t="str">
        <f ca="1">IF($D67&lt;&gt;"Serviço","",OFFSET(ORÇAMENTO!S$15,ROW(G67)-ROW(G$15),0))</f>
        <v>-</v>
      </c>
      <c r="H67" s="124" cm="1">
        <f t="array" aca="1" ref="H67" ca="1">IF($D67&lt;&gt;"Serviço",0,IF(_xlfn.SINGLE(ACOMPANHAMENTO)="BM",ROUND(OFFSET(ORÇAMENTO!AJ$15,ROW(H67)-ROW(H$15),0),15-13*ORÇAMENTO!$AF$7),SUMPRODUCT(($Q$1:$AA$1)*ROUND($Q67:$AA67,15-13*ORÇAMENTO!$AF$7))))</f>
        <v>24</v>
      </c>
      <c r="I67" s="500" t="s">
        <v>1057</v>
      </c>
      <c r="J67" s="633" t="str" cm="1">
        <f t="array" aca="1" ref="J67" ca="1">IF(B67&lt;&gt;"S","",IF(AND(ACOMPANHAMENTO="PLE",AUTOEVENTO="Manual",OR(H67&gt;0,ORÇAMENTO!AC67="QUANT."),OR(K67="",M67=0,N67="")),"►",IF(AND(ACOMPANHAMENTO="PLE",ORÇAMENTO!AC67="QUANT."),"►►",IF(AND(COUNTIF($P$11:$AA$11,"▼")=0,H67&gt;0,I67=""),"◄",""))))</f>
        <v/>
      </c>
      <c r="K67" s="624"/>
      <c r="L67" s="172" t="s">
        <v>253</v>
      </c>
      <c r="M67" s="173">
        <f ca="1">IF($D67&lt;&gt;"Serviço","",
          IF(AUTOEVENTO="manual",$A67,
                IF(ISERROR(MATCH($A67,$A$15:OFFSET($A67,-1,0),0)),MAX($M$15:OFFSET(M67,-1,0))+1,
                      INDEX($M$15:OFFSET(M67,-1,0),MATCH($A67,$A$15:OFFSET($A67,-1,0),0)))))</f>
        <v>8</v>
      </c>
      <c r="N67" s="174" t="str">
        <f ca="1">IF($D67&lt;&gt;"Serviço","",
         IF(AUTOEVENTO="Manual",
                IF($A67=0,"&lt;-- defina o número do agrupador",
                       OFFSET(EVENTOS!$D$15,$A67-$A$15,0)),
                OFFSET($F$15,$A67,0)))</f>
        <v>INSTALAÇÃO DO TELHADO</v>
      </c>
      <c r="O67" s="175"/>
      <c r="Q67" s="175">
        <v>24</v>
      </c>
      <c r="R67" s="176"/>
      <c r="S67" s="176"/>
      <c r="T67" s="176"/>
      <c r="U67" s="176"/>
      <c r="V67" s="176"/>
      <c r="W67" s="176"/>
      <c r="X67" s="176"/>
      <c r="Y67" s="176"/>
      <c r="Z67" s="177"/>
      <c r="AB67" s="485">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85">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85">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85">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85">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85">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85">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85">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85">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85">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8">
        <f ca="1">IF(OR($D67&lt;&gt;"Serviço",AND(AUTOEVENTO="Manual",$M67=$A$15)),0,
         IF(OFFSET(CRONOPLE!$F$15,$M67-$A$15,AM$13)="",10^12,OFFSET(CRONOPLE!$F$15,$M67-$A$15,AM$13)))</f>
        <v>4</v>
      </c>
      <c r="AN67" s="178">
        <f ca="1">IF(OR($D67&lt;&gt;"Serviço",AND(AUTOEVENTO="Manual",$M67=$A$15)),0,
         IF(OFFSET(CRONOPLE!$F$15,$M67-$A$15,AN$13)="",10^12,OFFSET(CRONOPLE!$F$15,$M67-$A$15,AN$13)))</f>
        <v>1000000000000</v>
      </c>
      <c r="AO67" s="178">
        <f ca="1">IF(OR($D67&lt;&gt;"Serviço",AND(AUTOEVENTO="Manual",$M67=$A$15)),0,
         IF(OFFSET(CRONOPLE!$F$15,$M67-$A$15,AO$13)="",10^12,OFFSET(CRONOPLE!$F$15,$M67-$A$15,AO$13)))</f>
        <v>1000000000000</v>
      </c>
      <c r="AP67" s="178">
        <f ca="1">IF(OR($D67&lt;&gt;"Serviço",AND(AUTOEVENTO="Manual",$M67=$A$15)),0,
         IF(OFFSET(CRONOPLE!$F$15,$M67-$A$15,AP$13)="",10^12,OFFSET(CRONOPLE!$F$15,$M67-$A$15,AP$13)))</f>
        <v>1000000000000</v>
      </c>
      <c r="AQ67" s="178">
        <f ca="1">IF(OR($D67&lt;&gt;"Serviço",AND(AUTOEVENTO="Manual",$M67=$A$15)),0,
         IF(OFFSET(CRONOPLE!$F$15,$M67-$A$15,AQ$13)="",10^12,OFFSET(CRONOPLE!$F$15,$M67-$A$15,AQ$13)))</f>
        <v>1000000000000</v>
      </c>
      <c r="AR67" s="178">
        <f ca="1">IF(OR($D67&lt;&gt;"Serviço",AND(AUTOEVENTO="Manual",$M67=$A$15)),0,
         IF(OFFSET(CRONOPLE!$F$15,$M67-$A$15,AR$13)="",10^12,OFFSET(CRONOPLE!$F$15,$M67-$A$15,AR$13)))</f>
        <v>1000000000000</v>
      </c>
      <c r="AS67" s="178">
        <f ca="1">IF(OR($D67&lt;&gt;"Serviço",AND(AUTOEVENTO="Manual",$M67=$A$15)),0,
         IF(OFFSET(CRONOPLE!$F$15,$M67-$A$15,AS$13)="",10^12,OFFSET(CRONOPLE!$F$15,$M67-$A$15,AS$13)))</f>
        <v>1000000000000</v>
      </c>
      <c r="AT67" s="178">
        <f ca="1">IF(OR($D67&lt;&gt;"Serviço",AND(AUTOEVENTO="Manual",$M67=$A$15)),0,
         IF(OFFSET(CRONOPLE!$F$15,$M67-$A$15,AT$13)="",10^12,OFFSET(CRONOPLE!$F$15,$M67-$A$15,AT$13)))</f>
        <v>1000000000000</v>
      </c>
      <c r="AU67" s="178">
        <f ca="1">IF(OR($D67&lt;&gt;"Serviço",AND(AUTOEVENTO="Manual",$M67=$A$15)),0,
         IF(OFFSET(CRONOPLE!$F$15,$M67-$A$15,AU$13)="",10^12,OFFSET(CRONOPLE!$F$15,$M67-$A$15,AU$13)))</f>
        <v>1000000000000</v>
      </c>
      <c r="AV67" s="178">
        <f ca="1">IF(OR($D67&lt;&gt;"Serviço",AND(AUTOEVENTO="Manual",$M67=$A$15)),0,
         IF(OFFSET(CRONOPLE!$F$15,$M67-$A$15,AV$13)="",10^12,OFFSET(CRONOPLE!$F$15,$M67-$A$15,AV$13)))</f>
        <v>1000000000000</v>
      </c>
      <c r="AX67" s="179">
        <f ca="1">IF(OR($D67&lt;&gt;"Serviço",AND(AUTOEVENTO="Manual",$M67=$A$15),$M67&gt;(ROW(PLE.lastrow)-ROW(PLE.firstrow))),0,
           IF(OFFSET(PLE!$G$15,$M67-$A$15,AX$13)="",10^12,OFFSET(PLE!$G$15,$M67-$A$15,AX$13)))</f>
        <v>1000000000000</v>
      </c>
      <c r="AY67" s="179">
        <f ca="1">IF(OR($D67&lt;&gt;"Serviço",AND(AUTOEVENTO="Manual",$M67=$A$15),$M67&gt;(ROW(PLE.lastrow)-ROW(PLE.firstrow))),0,
           IF(OFFSET(PLE!$G$15,$M67-$A$15,AY$13)="",10^12,OFFSET(PLE!$G$15,$M67-$A$15,AY$13)))</f>
        <v>1000000000000</v>
      </c>
      <c r="AZ67" s="179">
        <f ca="1">IF(OR($D67&lt;&gt;"Serviço",AND(AUTOEVENTO="Manual",$M67=$A$15),$M67&gt;(ROW(PLE.lastrow)-ROW(PLE.firstrow))),0,
           IF(OFFSET(PLE!$G$15,$M67-$A$15,AZ$13)="",10^12,OFFSET(PLE!$G$15,$M67-$A$15,AZ$13)))</f>
        <v>1000000000000</v>
      </c>
      <c r="BA67" s="179">
        <f ca="1">IF(OR($D67&lt;&gt;"Serviço",AND(AUTOEVENTO="Manual",$M67=$A$15),$M67&gt;(ROW(PLE.lastrow)-ROW(PLE.firstrow))),0,
           IF(OFFSET(PLE!$G$15,$M67-$A$15,BA$13)="",10^12,OFFSET(PLE!$G$15,$M67-$A$15,BA$13)))</f>
        <v>1000000000000</v>
      </c>
      <c r="BB67" s="179">
        <f ca="1">IF(OR($D67&lt;&gt;"Serviço",AND(AUTOEVENTO="Manual",$M67=$A$15),$M67&gt;(ROW(PLE.lastrow)-ROW(PLE.firstrow))),0,
           IF(OFFSET(PLE!$G$15,$M67-$A$15,BB$13)="",10^12,OFFSET(PLE!$G$15,$M67-$A$15,BB$13)))</f>
        <v>1000000000000</v>
      </c>
      <c r="BC67" s="179">
        <f ca="1">IF(OR($D67&lt;&gt;"Serviço",AND(AUTOEVENTO="Manual",$M67=$A$15),$M67&gt;(ROW(PLE.lastrow)-ROW(PLE.firstrow))),0,
           IF(OFFSET(PLE!$G$15,$M67-$A$15,BC$13)="",10^12,OFFSET(PLE!$G$15,$M67-$A$15,BC$13)))</f>
        <v>1000000000000</v>
      </c>
      <c r="BD67" s="179">
        <f ca="1">IF(OR($D67&lt;&gt;"Serviço",AND(AUTOEVENTO="Manual",$M67=$A$15),$M67&gt;(ROW(PLE.lastrow)-ROW(PLE.firstrow))),0,
           IF(OFFSET(PLE!$G$15,$M67-$A$15,BD$13)="",10^12,OFFSET(PLE!$G$15,$M67-$A$15,BD$13)))</f>
        <v>1000000000000</v>
      </c>
      <c r="BE67" s="179">
        <f ca="1">IF(OR($D67&lt;&gt;"Serviço",AND(AUTOEVENTO="Manual",$M67=$A$15),$M67&gt;(ROW(PLE.lastrow)-ROW(PLE.firstrow))),0,
           IF(OFFSET(PLE!$G$15,$M67-$A$15,BE$13)="",10^12,OFFSET(PLE!$G$15,$M67-$A$15,BE$13)))</f>
        <v>1000000000000</v>
      </c>
      <c r="BF67" s="179">
        <f ca="1">IF(OR($D67&lt;&gt;"Serviço",AND(AUTOEVENTO="Manual",$M67=$A$15),$M67&gt;(ROW(PLE.lastrow)-ROW(PLE.firstrow))),0,
           IF(OFFSET(PLE!$G$15,$M67-$A$15,BF$13)="",10^12,OFFSET(PLE!$G$15,$M67-$A$15,BF$13)))</f>
        <v>1000000000000</v>
      </c>
      <c r="BG67" s="179">
        <f ca="1">IF(OR($D67&lt;&gt;"Serviço",AND(AUTOEVENTO="Manual",$M67=$A$15),$M67&gt;(ROW(PLE.lastrow)-ROW(PLE.firstrow))),0,
           IF(OFFSET(PLE!$G$15,$M67-$A$15,BG$13)="",10^12,OFFSET(PLE!$G$15,$M67-$A$15,BG$13)))</f>
        <v>1000000000000</v>
      </c>
    </row>
    <row r="68" spans="1:59" ht="12.75" x14ac:dyDescent="0.2">
      <c r="A68" s="7" t="str">
        <f ca="1">IF(AUTOEVENTO="Manual",IF(K68&lt;&gt;"",MIN(VALUE(LEFT(K68,FIND(".",K68)-1)),COUNTA(EVENTOS.Lista)),0),IF(OR($B68&gt;AUTOEVENTO,$B68="S",$B68=0),SUBSTITUTE(OFFSET($A68,-1,0),IF($D68="Serviço",".",""),""),ROW(A68)-ROW($A$15)&amp;"."))</f>
        <v>53.</v>
      </c>
      <c r="B68" s="7">
        <f ca="1">OFFSET(ORÇAMENTO!C$15,ROW(B68)-ROW(B$15),0)</f>
        <v>2</v>
      </c>
      <c r="C68" s="7" t="str">
        <f ca="1">OFFSET(ORÇAMENTO!L$15,ROW(C68)-ROW(C$15),0)</f>
        <v>F</v>
      </c>
      <c r="D68" s="118" t="str">
        <f ca="1">OFFSET(ORÇAMENTO!N$15,ROW(D68)-ROW(D$15),0)</f>
        <v>Nível 2</v>
      </c>
      <c r="E68" s="119" t="str">
        <f ca="1">OFFSET(ORÇAMENTO!O$15,ROW(E68)-ROW(E$15),0)</f>
        <v>2.7.</v>
      </c>
      <c r="F68" s="170" t="str">
        <f ca="1">OFFSET(ORÇAMENTO!R$15,ROW(F68)-ROW(F$15),0)</f>
        <v>ESQUADRIAS</v>
      </c>
      <c r="G68" s="171" t="str">
        <f ca="1">IF($D68&lt;&gt;"Serviço","",OFFSET(ORÇAMENTO!S$15,ROW(G68)-ROW(G$15),0))</f>
        <v/>
      </c>
      <c r="H68" s="124" cm="1">
        <f t="array" aca="1" ref="H68" ca="1">IF($D68&lt;&gt;"Serviço",0,IF(_xlfn.SINGLE(ACOMPANHAMENTO)="BM",ROUND(OFFSET(ORÇAMENTO!AJ$15,ROW(H68)-ROW(H$15),0),15-13*ORÇAMENTO!$AF$7),SUMPRODUCT(($Q$1:$AA$1)*ROUND($Q68:$AA68,15-13*ORÇAMENTO!$AF$7))))</f>
        <v>0</v>
      </c>
      <c r="I68" s="500"/>
      <c r="J68" s="633" t="str" cm="1">
        <f t="array" aca="1" ref="J68" ca="1">IF(B68&lt;&gt;"S","",IF(AND(ACOMPANHAMENTO="PLE",AUTOEVENTO="Manual",OR(H68&gt;0,ORÇAMENTO!AC68="QUANT."),OR(K68="",M68=0,N68="")),"►",IF(AND(ACOMPANHAMENTO="PLE",ORÇAMENTO!AC68="QUANT."),"►►",IF(AND(COUNTIF($P$11:$AA$11,"▼")=0,H68&gt;0,I68=""),"◄",""))))</f>
        <v/>
      </c>
      <c r="K68" s="624"/>
      <c r="L68" s="172" t="s">
        <v>253</v>
      </c>
      <c r="M68" s="173" t="str">
        <f ca="1">IF($D68&lt;&gt;"Serviço","",
          IF(AUTOEVENTO="manual",$A68,
                IF(ISERROR(MATCH($A68,$A$15:OFFSET($A68,-1,0),0)),MAX($M$15:OFFSET(M68,-1,0))+1,
                      INDEX($M$15:OFFSET(M68,-1,0),MATCH($A68,$A$15:OFFSET($A68,-1,0),0)))))</f>
        <v/>
      </c>
      <c r="N68" s="174" t="str">
        <f ca="1">IF($D68&lt;&gt;"Serviço","",
         IF(AUTOEVENTO="Manual",
                IF($A68=0,"&lt;-- defina o número do agrupador",
                       OFFSET(EVENTOS!$D$15,$A68-$A$15,0)),
                OFFSET($F$15,$A68,0)))</f>
        <v/>
      </c>
      <c r="O68" s="175"/>
      <c r="Q68" s="175"/>
      <c r="R68" s="176"/>
      <c r="S68" s="176"/>
      <c r="T68" s="176"/>
      <c r="U68" s="176"/>
      <c r="V68" s="176"/>
      <c r="W68" s="176"/>
      <c r="X68" s="176"/>
      <c r="Y68" s="176"/>
      <c r="Z68" s="177"/>
      <c r="AB68" s="485">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85">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85">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85">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85">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85">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85">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85">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85">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85">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8">
        <f ca="1">IF(OR($D68&lt;&gt;"Serviço",AND(AUTOEVENTO="Manual",$M68=$A$15)),0,
         IF(OFFSET(CRONOPLE!$F$15,$M68-$A$15,AM$13)="",10^12,OFFSET(CRONOPLE!$F$15,$M68-$A$15,AM$13)))</f>
        <v>0</v>
      </c>
      <c r="AN68" s="178">
        <f ca="1">IF(OR($D68&lt;&gt;"Serviço",AND(AUTOEVENTO="Manual",$M68=$A$15)),0,
         IF(OFFSET(CRONOPLE!$F$15,$M68-$A$15,AN$13)="",10^12,OFFSET(CRONOPLE!$F$15,$M68-$A$15,AN$13)))</f>
        <v>0</v>
      </c>
      <c r="AO68" s="178">
        <f ca="1">IF(OR($D68&lt;&gt;"Serviço",AND(AUTOEVENTO="Manual",$M68=$A$15)),0,
         IF(OFFSET(CRONOPLE!$F$15,$M68-$A$15,AO$13)="",10^12,OFFSET(CRONOPLE!$F$15,$M68-$A$15,AO$13)))</f>
        <v>0</v>
      </c>
      <c r="AP68" s="178">
        <f ca="1">IF(OR($D68&lt;&gt;"Serviço",AND(AUTOEVENTO="Manual",$M68=$A$15)),0,
         IF(OFFSET(CRONOPLE!$F$15,$M68-$A$15,AP$13)="",10^12,OFFSET(CRONOPLE!$F$15,$M68-$A$15,AP$13)))</f>
        <v>0</v>
      </c>
      <c r="AQ68" s="178">
        <f ca="1">IF(OR($D68&lt;&gt;"Serviço",AND(AUTOEVENTO="Manual",$M68=$A$15)),0,
         IF(OFFSET(CRONOPLE!$F$15,$M68-$A$15,AQ$13)="",10^12,OFFSET(CRONOPLE!$F$15,$M68-$A$15,AQ$13)))</f>
        <v>0</v>
      </c>
      <c r="AR68" s="178">
        <f ca="1">IF(OR($D68&lt;&gt;"Serviço",AND(AUTOEVENTO="Manual",$M68=$A$15)),0,
         IF(OFFSET(CRONOPLE!$F$15,$M68-$A$15,AR$13)="",10^12,OFFSET(CRONOPLE!$F$15,$M68-$A$15,AR$13)))</f>
        <v>0</v>
      </c>
      <c r="AS68" s="178">
        <f ca="1">IF(OR($D68&lt;&gt;"Serviço",AND(AUTOEVENTO="Manual",$M68=$A$15)),0,
         IF(OFFSET(CRONOPLE!$F$15,$M68-$A$15,AS$13)="",10^12,OFFSET(CRONOPLE!$F$15,$M68-$A$15,AS$13)))</f>
        <v>0</v>
      </c>
      <c r="AT68" s="178">
        <f ca="1">IF(OR($D68&lt;&gt;"Serviço",AND(AUTOEVENTO="Manual",$M68=$A$15)),0,
         IF(OFFSET(CRONOPLE!$F$15,$M68-$A$15,AT$13)="",10^12,OFFSET(CRONOPLE!$F$15,$M68-$A$15,AT$13)))</f>
        <v>0</v>
      </c>
      <c r="AU68" s="178">
        <f ca="1">IF(OR($D68&lt;&gt;"Serviço",AND(AUTOEVENTO="Manual",$M68=$A$15)),0,
         IF(OFFSET(CRONOPLE!$F$15,$M68-$A$15,AU$13)="",10^12,OFFSET(CRONOPLE!$F$15,$M68-$A$15,AU$13)))</f>
        <v>0</v>
      </c>
      <c r="AV68" s="178">
        <f ca="1">IF(OR($D68&lt;&gt;"Serviço",AND(AUTOEVENTO="Manual",$M68=$A$15)),0,
         IF(OFFSET(CRONOPLE!$F$15,$M68-$A$15,AV$13)="",10^12,OFFSET(CRONOPLE!$F$15,$M68-$A$15,AV$13)))</f>
        <v>0</v>
      </c>
      <c r="AX68" s="179">
        <f ca="1">IF(OR($D68&lt;&gt;"Serviço",AND(AUTOEVENTO="Manual",$M68=$A$15),$M68&gt;(ROW(PLE.lastrow)-ROW(PLE.firstrow))),0,
           IF(OFFSET(PLE!$G$15,$M68-$A$15,AX$13)="",10^12,OFFSET(PLE!$G$15,$M68-$A$15,AX$13)))</f>
        <v>0</v>
      </c>
      <c r="AY68" s="179">
        <f ca="1">IF(OR($D68&lt;&gt;"Serviço",AND(AUTOEVENTO="Manual",$M68=$A$15),$M68&gt;(ROW(PLE.lastrow)-ROW(PLE.firstrow))),0,
           IF(OFFSET(PLE!$G$15,$M68-$A$15,AY$13)="",10^12,OFFSET(PLE!$G$15,$M68-$A$15,AY$13)))</f>
        <v>0</v>
      </c>
      <c r="AZ68" s="179">
        <f ca="1">IF(OR($D68&lt;&gt;"Serviço",AND(AUTOEVENTO="Manual",$M68=$A$15),$M68&gt;(ROW(PLE.lastrow)-ROW(PLE.firstrow))),0,
           IF(OFFSET(PLE!$G$15,$M68-$A$15,AZ$13)="",10^12,OFFSET(PLE!$G$15,$M68-$A$15,AZ$13)))</f>
        <v>0</v>
      </c>
      <c r="BA68" s="179">
        <f ca="1">IF(OR($D68&lt;&gt;"Serviço",AND(AUTOEVENTO="Manual",$M68=$A$15),$M68&gt;(ROW(PLE.lastrow)-ROW(PLE.firstrow))),0,
           IF(OFFSET(PLE!$G$15,$M68-$A$15,BA$13)="",10^12,OFFSET(PLE!$G$15,$M68-$A$15,BA$13)))</f>
        <v>0</v>
      </c>
      <c r="BB68" s="179">
        <f ca="1">IF(OR($D68&lt;&gt;"Serviço",AND(AUTOEVENTO="Manual",$M68=$A$15),$M68&gt;(ROW(PLE.lastrow)-ROW(PLE.firstrow))),0,
           IF(OFFSET(PLE!$G$15,$M68-$A$15,BB$13)="",10^12,OFFSET(PLE!$G$15,$M68-$A$15,BB$13)))</f>
        <v>0</v>
      </c>
      <c r="BC68" s="179">
        <f ca="1">IF(OR($D68&lt;&gt;"Serviço",AND(AUTOEVENTO="Manual",$M68=$A$15),$M68&gt;(ROW(PLE.lastrow)-ROW(PLE.firstrow))),0,
           IF(OFFSET(PLE!$G$15,$M68-$A$15,BC$13)="",10^12,OFFSET(PLE!$G$15,$M68-$A$15,BC$13)))</f>
        <v>0</v>
      </c>
      <c r="BD68" s="179">
        <f ca="1">IF(OR($D68&lt;&gt;"Serviço",AND(AUTOEVENTO="Manual",$M68=$A$15),$M68&gt;(ROW(PLE.lastrow)-ROW(PLE.firstrow))),0,
           IF(OFFSET(PLE!$G$15,$M68-$A$15,BD$13)="",10^12,OFFSET(PLE!$G$15,$M68-$A$15,BD$13)))</f>
        <v>0</v>
      </c>
      <c r="BE68" s="179">
        <f ca="1">IF(OR($D68&lt;&gt;"Serviço",AND(AUTOEVENTO="Manual",$M68=$A$15),$M68&gt;(ROW(PLE.lastrow)-ROW(PLE.firstrow))),0,
           IF(OFFSET(PLE!$G$15,$M68-$A$15,BE$13)="",10^12,OFFSET(PLE!$G$15,$M68-$A$15,BE$13)))</f>
        <v>0</v>
      </c>
      <c r="BF68" s="179">
        <f ca="1">IF(OR($D68&lt;&gt;"Serviço",AND(AUTOEVENTO="Manual",$M68=$A$15),$M68&gt;(ROW(PLE.lastrow)-ROW(PLE.firstrow))),0,
           IF(OFFSET(PLE!$G$15,$M68-$A$15,BF$13)="",10^12,OFFSET(PLE!$G$15,$M68-$A$15,BF$13)))</f>
        <v>0</v>
      </c>
      <c r="BG68" s="179">
        <f ca="1">IF(OR($D68&lt;&gt;"Serviço",AND(AUTOEVENTO="Manual",$M68=$A$15),$M68&gt;(ROW(PLE.lastrow)-ROW(PLE.firstrow))),0,
           IF(OFFSET(PLE!$G$15,$M68-$A$15,BG$13)="",10^12,OFFSET(PLE!$G$15,$M68-$A$15,BG$13)))</f>
        <v>0</v>
      </c>
    </row>
    <row r="69" spans="1:59" ht="38.25" x14ac:dyDescent="0.2">
      <c r="A69" s="7" t="str">
        <f ca="1">IF(AUTOEVENTO="Manual",IF(K69&lt;&gt;"",MIN(VALUE(LEFT(K69,FIND(".",K69)-1)),COUNTA(EVENTOS.Lista)),0),IF(OR($B69&gt;AUTOEVENTO,$B69="S",$B69=0),SUBSTITUTE(OFFSET($A69,-1,0),IF($D69="Serviço",".",""),""),ROW(A69)-ROW($A$15)&amp;"."))</f>
        <v>53</v>
      </c>
      <c r="B69" s="7" t="str">
        <f ca="1">OFFSET(ORÇAMENTO!C$15,ROW(B69)-ROW(B$15),0)</f>
        <v>S</v>
      </c>
      <c r="C69" s="7" t="str">
        <f ca="1">OFFSET(ORÇAMENTO!L$15,ROW(C69)-ROW(C$15),0)</f>
        <v/>
      </c>
      <c r="D69" s="118" t="str">
        <f ca="1">OFFSET(ORÇAMENTO!N$15,ROW(D69)-ROW(D$15),0)</f>
        <v>Serviço</v>
      </c>
      <c r="E69" s="119" t="str">
        <f ca="1">OFFSET(ORÇAMENTO!O$15,ROW(E69)-ROW(E$15),0)</f>
        <v>-</v>
      </c>
      <c r="F69" s="170" t="str">
        <f ca="1">OFFSET(ORÇAMENTO!R$15,ROW(F69)-ROW(F$15),0)</f>
        <v>(abra o arquivo 'Referência 04-2026.xlsm)</v>
      </c>
      <c r="G69" s="171" t="str">
        <f ca="1">IF($D69&lt;&gt;"Serviço","",OFFSET(ORÇAMENTO!S$15,ROW(G69)-ROW(G$15),0))</f>
        <v>-</v>
      </c>
      <c r="H69" s="124" cm="1">
        <f t="array" aca="1" ref="H69" ca="1">IF($D69&lt;&gt;"Serviço",0,IF(_xlfn.SINGLE(ACOMPANHAMENTO)="BM",ROUND(OFFSET(ORÇAMENTO!AJ$15,ROW(H69)-ROW(H$15),0),15-13*ORÇAMENTO!$AF$7),SUMPRODUCT(($Q$1:$AA$1)*ROUND($Q69:$AA69,15-13*ORÇAMENTO!$AF$7))))</f>
        <v>0.88</v>
      </c>
      <c r="I69" s="500" t="s">
        <v>1040</v>
      </c>
      <c r="J69" s="633" t="str" cm="1">
        <f t="array" aca="1" ref="J69" ca="1">IF(B69&lt;&gt;"S","",IF(AND(ACOMPANHAMENTO="PLE",AUTOEVENTO="Manual",OR(H69&gt;0,ORÇAMENTO!AC69="QUANT."),OR(K69="",M69=0,N69="")),"►",IF(AND(ACOMPANHAMENTO="PLE",ORÇAMENTO!AC69="QUANT."),"►►",IF(AND(COUNTIF($P$11:$AA$11,"▼")=0,H69&gt;0,I69=""),"◄",""))))</f>
        <v/>
      </c>
      <c r="K69" s="624"/>
      <c r="L69" s="172" t="s">
        <v>253</v>
      </c>
      <c r="M69" s="173">
        <f ca="1">IF($D69&lt;&gt;"Serviço","",
          IF(AUTOEVENTO="manual",$A69,
                IF(ISERROR(MATCH($A69,$A$15:OFFSET($A69,-1,0),0)),MAX($M$15:OFFSET(M69,-1,0))+1,
                      INDEX($M$15:OFFSET(M69,-1,0),MATCH($A69,$A$15:OFFSET($A69,-1,0),0)))))</f>
        <v>9</v>
      </c>
      <c r="N69" s="174" t="str">
        <f ca="1">IF($D69&lt;&gt;"Serviço","",
         IF(AUTOEVENTO="Manual",
                IF($A69=0,"&lt;-- defina o número do agrupador",
                       OFFSET(EVENTOS!$D$15,$A69-$A$15,0)),
                OFFSET($F$15,$A69,0)))</f>
        <v>ESQUADRIAS</v>
      </c>
      <c r="O69" s="175"/>
      <c r="Q69" s="175">
        <f>0.4*2.2</f>
        <v>0.88000000000000012</v>
      </c>
      <c r="R69" s="176"/>
      <c r="S69" s="176"/>
      <c r="T69" s="176"/>
      <c r="U69" s="176"/>
      <c r="V69" s="176"/>
      <c r="W69" s="176"/>
      <c r="X69" s="176"/>
      <c r="Y69" s="176"/>
      <c r="Z69" s="177"/>
      <c r="AB69" s="485">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85">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85">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85">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85">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85">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85">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85">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85">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85">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8">
        <f ca="1">IF(OR($D69&lt;&gt;"Serviço",AND(AUTOEVENTO="Manual",$M69=$A$15)),0,
         IF(OFFSET(CRONOPLE!$F$15,$M69-$A$15,AM$13)="",10^12,OFFSET(CRONOPLE!$F$15,$M69-$A$15,AM$13)))</f>
        <v>6</v>
      </c>
      <c r="AN69" s="178">
        <f ca="1">IF(OR($D69&lt;&gt;"Serviço",AND(AUTOEVENTO="Manual",$M69=$A$15)),0,
         IF(OFFSET(CRONOPLE!$F$15,$M69-$A$15,AN$13)="",10^12,OFFSET(CRONOPLE!$F$15,$M69-$A$15,AN$13)))</f>
        <v>1000000000000</v>
      </c>
      <c r="AO69" s="178">
        <f ca="1">IF(OR($D69&lt;&gt;"Serviço",AND(AUTOEVENTO="Manual",$M69=$A$15)),0,
         IF(OFFSET(CRONOPLE!$F$15,$M69-$A$15,AO$13)="",10^12,OFFSET(CRONOPLE!$F$15,$M69-$A$15,AO$13)))</f>
        <v>1000000000000</v>
      </c>
      <c r="AP69" s="178">
        <f ca="1">IF(OR($D69&lt;&gt;"Serviço",AND(AUTOEVENTO="Manual",$M69=$A$15)),0,
         IF(OFFSET(CRONOPLE!$F$15,$M69-$A$15,AP$13)="",10^12,OFFSET(CRONOPLE!$F$15,$M69-$A$15,AP$13)))</f>
        <v>1000000000000</v>
      </c>
      <c r="AQ69" s="178">
        <f ca="1">IF(OR($D69&lt;&gt;"Serviço",AND(AUTOEVENTO="Manual",$M69=$A$15)),0,
         IF(OFFSET(CRONOPLE!$F$15,$M69-$A$15,AQ$13)="",10^12,OFFSET(CRONOPLE!$F$15,$M69-$A$15,AQ$13)))</f>
        <v>1000000000000</v>
      </c>
      <c r="AR69" s="178">
        <f ca="1">IF(OR($D69&lt;&gt;"Serviço",AND(AUTOEVENTO="Manual",$M69=$A$15)),0,
         IF(OFFSET(CRONOPLE!$F$15,$M69-$A$15,AR$13)="",10^12,OFFSET(CRONOPLE!$F$15,$M69-$A$15,AR$13)))</f>
        <v>1000000000000</v>
      </c>
      <c r="AS69" s="178">
        <f ca="1">IF(OR($D69&lt;&gt;"Serviço",AND(AUTOEVENTO="Manual",$M69=$A$15)),0,
         IF(OFFSET(CRONOPLE!$F$15,$M69-$A$15,AS$13)="",10^12,OFFSET(CRONOPLE!$F$15,$M69-$A$15,AS$13)))</f>
        <v>1000000000000</v>
      </c>
      <c r="AT69" s="178">
        <f ca="1">IF(OR($D69&lt;&gt;"Serviço",AND(AUTOEVENTO="Manual",$M69=$A$15)),0,
         IF(OFFSET(CRONOPLE!$F$15,$M69-$A$15,AT$13)="",10^12,OFFSET(CRONOPLE!$F$15,$M69-$A$15,AT$13)))</f>
        <v>1000000000000</v>
      </c>
      <c r="AU69" s="178">
        <f ca="1">IF(OR($D69&lt;&gt;"Serviço",AND(AUTOEVENTO="Manual",$M69=$A$15)),0,
         IF(OFFSET(CRONOPLE!$F$15,$M69-$A$15,AU$13)="",10^12,OFFSET(CRONOPLE!$F$15,$M69-$A$15,AU$13)))</f>
        <v>1000000000000</v>
      </c>
      <c r="AV69" s="178">
        <f ca="1">IF(OR($D69&lt;&gt;"Serviço",AND(AUTOEVENTO="Manual",$M69=$A$15)),0,
         IF(OFFSET(CRONOPLE!$F$15,$M69-$A$15,AV$13)="",10^12,OFFSET(CRONOPLE!$F$15,$M69-$A$15,AV$13)))</f>
        <v>1000000000000</v>
      </c>
      <c r="AX69" s="179">
        <f ca="1">IF(OR($D69&lt;&gt;"Serviço",AND(AUTOEVENTO="Manual",$M69=$A$15),$M69&gt;(ROW(PLE.lastrow)-ROW(PLE.firstrow))),0,
           IF(OFFSET(PLE!$G$15,$M69-$A$15,AX$13)="",10^12,OFFSET(PLE!$G$15,$M69-$A$15,AX$13)))</f>
        <v>1000000000000</v>
      </c>
      <c r="AY69" s="179">
        <f ca="1">IF(OR($D69&lt;&gt;"Serviço",AND(AUTOEVENTO="Manual",$M69=$A$15),$M69&gt;(ROW(PLE.lastrow)-ROW(PLE.firstrow))),0,
           IF(OFFSET(PLE!$G$15,$M69-$A$15,AY$13)="",10^12,OFFSET(PLE!$G$15,$M69-$A$15,AY$13)))</f>
        <v>1000000000000</v>
      </c>
      <c r="AZ69" s="179">
        <f ca="1">IF(OR($D69&lt;&gt;"Serviço",AND(AUTOEVENTO="Manual",$M69=$A$15),$M69&gt;(ROW(PLE.lastrow)-ROW(PLE.firstrow))),0,
           IF(OFFSET(PLE!$G$15,$M69-$A$15,AZ$13)="",10^12,OFFSET(PLE!$G$15,$M69-$A$15,AZ$13)))</f>
        <v>1000000000000</v>
      </c>
      <c r="BA69" s="179">
        <f ca="1">IF(OR($D69&lt;&gt;"Serviço",AND(AUTOEVENTO="Manual",$M69=$A$15),$M69&gt;(ROW(PLE.lastrow)-ROW(PLE.firstrow))),0,
           IF(OFFSET(PLE!$G$15,$M69-$A$15,BA$13)="",10^12,OFFSET(PLE!$G$15,$M69-$A$15,BA$13)))</f>
        <v>1000000000000</v>
      </c>
      <c r="BB69" s="179">
        <f ca="1">IF(OR($D69&lt;&gt;"Serviço",AND(AUTOEVENTO="Manual",$M69=$A$15),$M69&gt;(ROW(PLE.lastrow)-ROW(PLE.firstrow))),0,
           IF(OFFSET(PLE!$G$15,$M69-$A$15,BB$13)="",10^12,OFFSET(PLE!$G$15,$M69-$A$15,BB$13)))</f>
        <v>1000000000000</v>
      </c>
      <c r="BC69" s="179">
        <f ca="1">IF(OR($D69&lt;&gt;"Serviço",AND(AUTOEVENTO="Manual",$M69=$A$15),$M69&gt;(ROW(PLE.lastrow)-ROW(PLE.firstrow))),0,
           IF(OFFSET(PLE!$G$15,$M69-$A$15,BC$13)="",10^12,OFFSET(PLE!$G$15,$M69-$A$15,BC$13)))</f>
        <v>1000000000000</v>
      </c>
      <c r="BD69" s="179">
        <f ca="1">IF(OR($D69&lt;&gt;"Serviço",AND(AUTOEVENTO="Manual",$M69=$A$15),$M69&gt;(ROW(PLE.lastrow)-ROW(PLE.firstrow))),0,
           IF(OFFSET(PLE!$G$15,$M69-$A$15,BD$13)="",10^12,OFFSET(PLE!$G$15,$M69-$A$15,BD$13)))</f>
        <v>1000000000000</v>
      </c>
      <c r="BE69" s="179">
        <f ca="1">IF(OR($D69&lt;&gt;"Serviço",AND(AUTOEVENTO="Manual",$M69=$A$15),$M69&gt;(ROW(PLE.lastrow)-ROW(PLE.firstrow))),0,
           IF(OFFSET(PLE!$G$15,$M69-$A$15,BE$13)="",10^12,OFFSET(PLE!$G$15,$M69-$A$15,BE$13)))</f>
        <v>1000000000000</v>
      </c>
      <c r="BF69" s="179">
        <f ca="1">IF(OR($D69&lt;&gt;"Serviço",AND(AUTOEVENTO="Manual",$M69=$A$15),$M69&gt;(ROW(PLE.lastrow)-ROW(PLE.firstrow))),0,
           IF(OFFSET(PLE!$G$15,$M69-$A$15,BF$13)="",10^12,OFFSET(PLE!$G$15,$M69-$A$15,BF$13)))</f>
        <v>1000000000000</v>
      </c>
      <c r="BG69" s="179">
        <f ca="1">IF(OR($D69&lt;&gt;"Serviço",AND(AUTOEVENTO="Manual",$M69=$A$15),$M69&gt;(ROW(PLE.lastrow)-ROW(PLE.firstrow))),0,
           IF(OFFSET(PLE!$G$15,$M69-$A$15,BG$13)="",10^12,OFFSET(PLE!$G$15,$M69-$A$15,BG$13)))</f>
        <v>1000000000000</v>
      </c>
    </row>
    <row r="70" spans="1:59" ht="38.25" x14ac:dyDescent="0.2">
      <c r="A70" s="7" t="str">
        <f ca="1">IF(AUTOEVENTO="Manual",IF(K70&lt;&gt;"",MIN(VALUE(LEFT(K70,FIND(".",K70)-1)),COUNTA(EVENTOS.Lista)),0),IF(OR($B70&gt;AUTOEVENTO,$B70="S",$B70=0),SUBSTITUTE(OFFSET($A70,-1,0),IF($D70="Serviço",".",""),""),ROW(A70)-ROW($A$15)&amp;"."))</f>
        <v>53</v>
      </c>
      <c r="B70" s="7" t="str">
        <f ca="1">OFFSET(ORÇAMENTO!C$15,ROW(B70)-ROW(B$15),0)</f>
        <v>S</v>
      </c>
      <c r="C70" s="7" t="str">
        <f ca="1">OFFSET(ORÇAMENTO!L$15,ROW(C70)-ROW(C$15),0)</f>
        <v/>
      </c>
      <c r="D70" s="118" t="str">
        <f ca="1">OFFSET(ORÇAMENTO!N$15,ROW(D70)-ROW(D$15),0)</f>
        <v>Serviço</v>
      </c>
      <c r="E70" s="119" t="str">
        <f ca="1">OFFSET(ORÇAMENTO!O$15,ROW(E70)-ROW(E$15),0)</f>
        <v>-</v>
      </c>
      <c r="F70" s="170" t="str">
        <f ca="1">OFFSET(ORÇAMENTO!R$15,ROW(F70)-ROW(F$15),0)</f>
        <v>(abra o arquivo 'Referência 04-2026.xlsm)</v>
      </c>
      <c r="G70" s="171" t="str">
        <f ca="1">IF($D70&lt;&gt;"Serviço","",OFFSET(ORÇAMENTO!S$15,ROW(G70)-ROW(G$15),0))</f>
        <v>-</v>
      </c>
      <c r="H70" s="124" cm="1">
        <f t="array" aca="1" ref="H70" ca="1">IF($D70&lt;&gt;"Serviço",0,IF(_xlfn.SINGLE(ACOMPANHAMENTO)="BM",ROUND(OFFSET(ORÇAMENTO!AJ$15,ROW(H70)-ROW(H$15),0),15-13*ORÇAMENTO!$AF$7),SUMPRODUCT(($Q$1:$AA$1)*ROUND($Q70:$AA70,15-13*ORÇAMENTO!$AF$7))))</f>
        <v>2.2999999999999998</v>
      </c>
      <c r="I70" s="500" t="s">
        <v>1041</v>
      </c>
      <c r="J70" s="633" t="str" cm="1">
        <f t="array" aca="1" ref="J70" ca="1">IF(B70&lt;&gt;"S","",IF(AND(ACOMPANHAMENTO="PLE",AUTOEVENTO="Manual",OR(H70&gt;0,ORÇAMENTO!AC70="QUANT."),OR(K70="",M70=0,N70="")),"►",IF(AND(ACOMPANHAMENTO="PLE",ORÇAMENTO!AC70="QUANT."),"►►",IF(AND(COUNTIF($P$11:$AA$11,"▼")=0,H70&gt;0,I70=""),"◄",""))))</f>
        <v/>
      </c>
      <c r="K70" s="624"/>
      <c r="L70" s="172" t="s">
        <v>253</v>
      </c>
      <c r="M70" s="173">
        <f ca="1">IF($D70&lt;&gt;"Serviço","",
          IF(AUTOEVENTO="manual",$A70,
                IF(ISERROR(MATCH($A70,$A$15:OFFSET($A70,-1,0),0)),MAX($M$15:OFFSET(M70,-1,0))+1,
                      INDEX($M$15:OFFSET(M70,-1,0),MATCH($A70,$A$15:OFFSET($A70,-1,0),0)))))</f>
        <v>9</v>
      </c>
      <c r="N70" s="174" t="str">
        <f ca="1">IF($D70&lt;&gt;"Serviço","",
         IF(AUTOEVENTO="Manual",
                IF($A70=0,"&lt;-- defina o número do agrupador",
                       OFFSET(EVENTOS!$D$15,$A70-$A$15,0)),
                OFFSET($F$15,$A70,0)))</f>
        <v>ESQUADRIAS</v>
      </c>
      <c r="O70" s="175"/>
      <c r="Q70" s="175">
        <f>2*1.15</f>
        <v>2.2999999999999998</v>
      </c>
      <c r="R70" s="176"/>
      <c r="S70" s="176"/>
      <c r="T70" s="176"/>
      <c r="U70" s="176"/>
      <c r="V70" s="176"/>
      <c r="W70" s="176"/>
      <c r="X70" s="176"/>
      <c r="Y70" s="176"/>
      <c r="Z70" s="177"/>
      <c r="AB70" s="485">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85">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85">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85">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85">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85">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85">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85">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85">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85">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8">
        <f ca="1">IF(OR($D70&lt;&gt;"Serviço",AND(AUTOEVENTO="Manual",$M70=$A$15)),0,
         IF(OFFSET(CRONOPLE!$F$15,$M70-$A$15,AM$13)="",10^12,OFFSET(CRONOPLE!$F$15,$M70-$A$15,AM$13)))</f>
        <v>6</v>
      </c>
      <c r="AN70" s="178">
        <f ca="1">IF(OR($D70&lt;&gt;"Serviço",AND(AUTOEVENTO="Manual",$M70=$A$15)),0,
         IF(OFFSET(CRONOPLE!$F$15,$M70-$A$15,AN$13)="",10^12,OFFSET(CRONOPLE!$F$15,$M70-$A$15,AN$13)))</f>
        <v>1000000000000</v>
      </c>
      <c r="AO70" s="178">
        <f ca="1">IF(OR($D70&lt;&gt;"Serviço",AND(AUTOEVENTO="Manual",$M70=$A$15)),0,
         IF(OFFSET(CRONOPLE!$F$15,$M70-$A$15,AO$13)="",10^12,OFFSET(CRONOPLE!$F$15,$M70-$A$15,AO$13)))</f>
        <v>1000000000000</v>
      </c>
      <c r="AP70" s="178">
        <f ca="1">IF(OR($D70&lt;&gt;"Serviço",AND(AUTOEVENTO="Manual",$M70=$A$15)),0,
         IF(OFFSET(CRONOPLE!$F$15,$M70-$A$15,AP$13)="",10^12,OFFSET(CRONOPLE!$F$15,$M70-$A$15,AP$13)))</f>
        <v>1000000000000</v>
      </c>
      <c r="AQ70" s="178">
        <f ca="1">IF(OR($D70&lt;&gt;"Serviço",AND(AUTOEVENTO="Manual",$M70=$A$15)),0,
         IF(OFFSET(CRONOPLE!$F$15,$M70-$A$15,AQ$13)="",10^12,OFFSET(CRONOPLE!$F$15,$M70-$A$15,AQ$13)))</f>
        <v>1000000000000</v>
      </c>
      <c r="AR70" s="178">
        <f ca="1">IF(OR($D70&lt;&gt;"Serviço",AND(AUTOEVENTO="Manual",$M70=$A$15)),0,
         IF(OFFSET(CRONOPLE!$F$15,$M70-$A$15,AR$13)="",10^12,OFFSET(CRONOPLE!$F$15,$M70-$A$15,AR$13)))</f>
        <v>1000000000000</v>
      </c>
      <c r="AS70" s="178">
        <f ca="1">IF(OR($D70&lt;&gt;"Serviço",AND(AUTOEVENTO="Manual",$M70=$A$15)),0,
         IF(OFFSET(CRONOPLE!$F$15,$M70-$A$15,AS$13)="",10^12,OFFSET(CRONOPLE!$F$15,$M70-$A$15,AS$13)))</f>
        <v>1000000000000</v>
      </c>
      <c r="AT70" s="178">
        <f ca="1">IF(OR($D70&lt;&gt;"Serviço",AND(AUTOEVENTO="Manual",$M70=$A$15)),0,
         IF(OFFSET(CRONOPLE!$F$15,$M70-$A$15,AT$13)="",10^12,OFFSET(CRONOPLE!$F$15,$M70-$A$15,AT$13)))</f>
        <v>1000000000000</v>
      </c>
      <c r="AU70" s="178">
        <f ca="1">IF(OR($D70&lt;&gt;"Serviço",AND(AUTOEVENTO="Manual",$M70=$A$15)),0,
         IF(OFFSET(CRONOPLE!$F$15,$M70-$A$15,AU$13)="",10^12,OFFSET(CRONOPLE!$F$15,$M70-$A$15,AU$13)))</f>
        <v>1000000000000</v>
      </c>
      <c r="AV70" s="178">
        <f ca="1">IF(OR($D70&lt;&gt;"Serviço",AND(AUTOEVENTO="Manual",$M70=$A$15)),0,
         IF(OFFSET(CRONOPLE!$F$15,$M70-$A$15,AV$13)="",10^12,OFFSET(CRONOPLE!$F$15,$M70-$A$15,AV$13)))</f>
        <v>1000000000000</v>
      </c>
      <c r="AX70" s="179">
        <f ca="1">IF(OR($D70&lt;&gt;"Serviço",AND(AUTOEVENTO="Manual",$M70=$A$15),$M70&gt;(ROW(PLE.lastrow)-ROW(PLE.firstrow))),0,
           IF(OFFSET(PLE!$G$15,$M70-$A$15,AX$13)="",10^12,OFFSET(PLE!$G$15,$M70-$A$15,AX$13)))</f>
        <v>1000000000000</v>
      </c>
      <c r="AY70" s="179">
        <f ca="1">IF(OR($D70&lt;&gt;"Serviço",AND(AUTOEVENTO="Manual",$M70=$A$15),$M70&gt;(ROW(PLE.lastrow)-ROW(PLE.firstrow))),0,
           IF(OFFSET(PLE!$G$15,$M70-$A$15,AY$13)="",10^12,OFFSET(PLE!$G$15,$M70-$A$15,AY$13)))</f>
        <v>1000000000000</v>
      </c>
      <c r="AZ70" s="179">
        <f ca="1">IF(OR($D70&lt;&gt;"Serviço",AND(AUTOEVENTO="Manual",$M70=$A$15),$M70&gt;(ROW(PLE.lastrow)-ROW(PLE.firstrow))),0,
           IF(OFFSET(PLE!$G$15,$M70-$A$15,AZ$13)="",10^12,OFFSET(PLE!$G$15,$M70-$A$15,AZ$13)))</f>
        <v>1000000000000</v>
      </c>
      <c r="BA70" s="179">
        <f ca="1">IF(OR($D70&lt;&gt;"Serviço",AND(AUTOEVENTO="Manual",$M70=$A$15),$M70&gt;(ROW(PLE.lastrow)-ROW(PLE.firstrow))),0,
           IF(OFFSET(PLE!$G$15,$M70-$A$15,BA$13)="",10^12,OFFSET(PLE!$G$15,$M70-$A$15,BA$13)))</f>
        <v>1000000000000</v>
      </c>
      <c r="BB70" s="179">
        <f ca="1">IF(OR($D70&lt;&gt;"Serviço",AND(AUTOEVENTO="Manual",$M70=$A$15),$M70&gt;(ROW(PLE.lastrow)-ROW(PLE.firstrow))),0,
           IF(OFFSET(PLE!$G$15,$M70-$A$15,BB$13)="",10^12,OFFSET(PLE!$G$15,$M70-$A$15,BB$13)))</f>
        <v>1000000000000</v>
      </c>
      <c r="BC70" s="179">
        <f ca="1">IF(OR($D70&lt;&gt;"Serviço",AND(AUTOEVENTO="Manual",$M70=$A$15),$M70&gt;(ROW(PLE.lastrow)-ROW(PLE.firstrow))),0,
           IF(OFFSET(PLE!$G$15,$M70-$A$15,BC$13)="",10^12,OFFSET(PLE!$G$15,$M70-$A$15,BC$13)))</f>
        <v>1000000000000</v>
      </c>
      <c r="BD70" s="179">
        <f ca="1">IF(OR($D70&lt;&gt;"Serviço",AND(AUTOEVENTO="Manual",$M70=$A$15),$M70&gt;(ROW(PLE.lastrow)-ROW(PLE.firstrow))),0,
           IF(OFFSET(PLE!$G$15,$M70-$A$15,BD$13)="",10^12,OFFSET(PLE!$G$15,$M70-$A$15,BD$13)))</f>
        <v>1000000000000</v>
      </c>
      <c r="BE70" s="179">
        <f ca="1">IF(OR($D70&lt;&gt;"Serviço",AND(AUTOEVENTO="Manual",$M70=$A$15),$M70&gt;(ROW(PLE.lastrow)-ROW(PLE.firstrow))),0,
           IF(OFFSET(PLE!$G$15,$M70-$A$15,BE$13)="",10^12,OFFSET(PLE!$G$15,$M70-$A$15,BE$13)))</f>
        <v>1000000000000</v>
      </c>
      <c r="BF70" s="179">
        <f ca="1">IF(OR($D70&lt;&gt;"Serviço",AND(AUTOEVENTO="Manual",$M70=$A$15),$M70&gt;(ROW(PLE.lastrow)-ROW(PLE.firstrow))),0,
           IF(OFFSET(PLE!$G$15,$M70-$A$15,BF$13)="",10^12,OFFSET(PLE!$G$15,$M70-$A$15,BF$13)))</f>
        <v>1000000000000</v>
      </c>
      <c r="BG70" s="179">
        <f ca="1">IF(OR($D70&lt;&gt;"Serviço",AND(AUTOEVENTO="Manual",$M70=$A$15),$M70&gt;(ROW(PLE.lastrow)-ROW(PLE.firstrow))),0,
           IF(OFFSET(PLE!$G$15,$M70-$A$15,BG$13)="",10^12,OFFSET(PLE!$G$15,$M70-$A$15,BG$13)))</f>
        <v>1000000000000</v>
      </c>
    </row>
    <row r="71" spans="1:59" ht="12.75" x14ac:dyDescent="0.2">
      <c r="A71" s="7" t="str">
        <f ca="1">IF(AUTOEVENTO="Manual",IF(K71&lt;&gt;"",MIN(VALUE(LEFT(K71,FIND(".",K71)-1)),COUNTA(EVENTOS.Lista)),0),IF(OR($B71&gt;AUTOEVENTO,$B71="S",$B71=0),SUBSTITUTE(OFFSET($A71,-1,0),IF($D71="Serviço",".",""),""),ROW(A71)-ROW($A$15)&amp;"."))</f>
        <v>56.</v>
      </c>
      <c r="B71" s="7">
        <f ca="1">OFFSET(ORÇAMENTO!C$15,ROW(B71)-ROW(B$15),0)</f>
        <v>2</v>
      </c>
      <c r="C71" s="7" t="str">
        <f ca="1">OFFSET(ORÇAMENTO!L$15,ROW(C71)-ROW(C$15),0)</f>
        <v>F</v>
      </c>
      <c r="D71" s="118" t="str">
        <f ca="1">OFFSET(ORÇAMENTO!N$15,ROW(D71)-ROW(D$15),0)</f>
        <v>Nível 2</v>
      </c>
      <c r="E71" s="119" t="str">
        <f ca="1">OFFSET(ORÇAMENTO!O$15,ROW(E71)-ROW(E$15),0)</f>
        <v>2.8.</v>
      </c>
      <c r="F71" s="170" t="str">
        <f ca="1">OFFSET(ORÇAMENTO!R$15,ROW(F71)-ROW(F$15),0)</f>
        <v>INSTALAÇÕES ELÉTRICAS</v>
      </c>
      <c r="G71" s="171" t="str">
        <f ca="1">IF($D71&lt;&gt;"Serviço","",OFFSET(ORÇAMENTO!S$15,ROW(G71)-ROW(G$15),0))</f>
        <v/>
      </c>
      <c r="H71" s="124" cm="1">
        <f t="array" aca="1" ref="H71" ca="1">IF($D71&lt;&gt;"Serviço",0,IF(_xlfn.SINGLE(ACOMPANHAMENTO)="BM",ROUND(OFFSET(ORÇAMENTO!AJ$15,ROW(H71)-ROW(H$15),0),15-13*ORÇAMENTO!$AF$7),SUMPRODUCT(($Q$1:$AA$1)*ROUND($Q71:$AA71,15-13*ORÇAMENTO!$AF$7))))</f>
        <v>0</v>
      </c>
      <c r="I71" s="500"/>
      <c r="J71" s="633" t="str" cm="1">
        <f t="array" aca="1" ref="J71" ca="1">IF(B71&lt;&gt;"S","",IF(AND(ACOMPANHAMENTO="PLE",AUTOEVENTO="Manual",OR(H71&gt;0,ORÇAMENTO!AC71="QUANT."),OR(K71="",M71=0,N71="")),"►",IF(AND(ACOMPANHAMENTO="PLE",ORÇAMENTO!AC71="QUANT."),"►►",IF(AND(COUNTIF($P$11:$AA$11,"▼")=0,H71&gt;0,I71=""),"◄",""))))</f>
        <v/>
      </c>
      <c r="K71" s="624"/>
      <c r="L71" s="172" t="s">
        <v>253</v>
      </c>
      <c r="M71" s="173" t="str">
        <f ca="1">IF($D71&lt;&gt;"Serviço","",
          IF(AUTOEVENTO="manual",$A71,
                IF(ISERROR(MATCH($A71,$A$15:OFFSET($A71,-1,0),0)),MAX($M$15:OFFSET(M71,-1,0))+1,
                      INDEX($M$15:OFFSET(M71,-1,0),MATCH($A71,$A$15:OFFSET($A71,-1,0),0)))))</f>
        <v/>
      </c>
      <c r="N71" s="174" t="str">
        <f ca="1">IF($D71&lt;&gt;"Serviço","",
         IF(AUTOEVENTO="Manual",
                IF($A71=0,"&lt;-- defina o número do agrupador",
                       OFFSET(EVENTOS!$D$15,$A71-$A$15,0)),
                OFFSET($F$15,$A71,0)))</f>
        <v/>
      </c>
      <c r="O71" s="175"/>
      <c r="Q71" s="175"/>
      <c r="R71" s="176"/>
      <c r="S71" s="176"/>
      <c r="T71" s="176"/>
      <c r="U71" s="176"/>
      <c r="V71" s="176"/>
      <c r="W71" s="176"/>
      <c r="X71" s="176"/>
      <c r="Y71" s="176"/>
      <c r="Z71" s="177"/>
      <c r="AB71" s="485">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85">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85">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85">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85">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85">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85">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85">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85">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85">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8">
        <f ca="1">IF(OR($D71&lt;&gt;"Serviço",AND(AUTOEVENTO="Manual",$M71=$A$15)),0,
         IF(OFFSET(CRONOPLE!$F$15,$M71-$A$15,AM$13)="",10^12,OFFSET(CRONOPLE!$F$15,$M71-$A$15,AM$13)))</f>
        <v>0</v>
      </c>
      <c r="AN71" s="178">
        <f ca="1">IF(OR($D71&lt;&gt;"Serviço",AND(AUTOEVENTO="Manual",$M71=$A$15)),0,
         IF(OFFSET(CRONOPLE!$F$15,$M71-$A$15,AN$13)="",10^12,OFFSET(CRONOPLE!$F$15,$M71-$A$15,AN$13)))</f>
        <v>0</v>
      </c>
      <c r="AO71" s="178">
        <f ca="1">IF(OR($D71&lt;&gt;"Serviço",AND(AUTOEVENTO="Manual",$M71=$A$15)),0,
         IF(OFFSET(CRONOPLE!$F$15,$M71-$A$15,AO$13)="",10^12,OFFSET(CRONOPLE!$F$15,$M71-$A$15,AO$13)))</f>
        <v>0</v>
      </c>
      <c r="AP71" s="178">
        <f ca="1">IF(OR($D71&lt;&gt;"Serviço",AND(AUTOEVENTO="Manual",$M71=$A$15)),0,
         IF(OFFSET(CRONOPLE!$F$15,$M71-$A$15,AP$13)="",10^12,OFFSET(CRONOPLE!$F$15,$M71-$A$15,AP$13)))</f>
        <v>0</v>
      </c>
      <c r="AQ71" s="178">
        <f ca="1">IF(OR($D71&lt;&gt;"Serviço",AND(AUTOEVENTO="Manual",$M71=$A$15)),0,
         IF(OFFSET(CRONOPLE!$F$15,$M71-$A$15,AQ$13)="",10^12,OFFSET(CRONOPLE!$F$15,$M71-$A$15,AQ$13)))</f>
        <v>0</v>
      </c>
      <c r="AR71" s="178">
        <f ca="1">IF(OR($D71&lt;&gt;"Serviço",AND(AUTOEVENTO="Manual",$M71=$A$15)),0,
         IF(OFFSET(CRONOPLE!$F$15,$M71-$A$15,AR$13)="",10^12,OFFSET(CRONOPLE!$F$15,$M71-$A$15,AR$13)))</f>
        <v>0</v>
      </c>
      <c r="AS71" s="178">
        <f ca="1">IF(OR($D71&lt;&gt;"Serviço",AND(AUTOEVENTO="Manual",$M71=$A$15)),0,
         IF(OFFSET(CRONOPLE!$F$15,$M71-$A$15,AS$13)="",10^12,OFFSET(CRONOPLE!$F$15,$M71-$A$15,AS$13)))</f>
        <v>0</v>
      </c>
      <c r="AT71" s="178">
        <f ca="1">IF(OR($D71&lt;&gt;"Serviço",AND(AUTOEVENTO="Manual",$M71=$A$15)),0,
         IF(OFFSET(CRONOPLE!$F$15,$M71-$A$15,AT$13)="",10^12,OFFSET(CRONOPLE!$F$15,$M71-$A$15,AT$13)))</f>
        <v>0</v>
      </c>
      <c r="AU71" s="178">
        <f ca="1">IF(OR($D71&lt;&gt;"Serviço",AND(AUTOEVENTO="Manual",$M71=$A$15)),0,
         IF(OFFSET(CRONOPLE!$F$15,$M71-$A$15,AU$13)="",10^12,OFFSET(CRONOPLE!$F$15,$M71-$A$15,AU$13)))</f>
        <v>0</v>
      </c>
      <c r="AV71" s="178">
        <f ca="1">IF(OR($D71&lt;&gt;"Serviço",AND(AUTOEVENTO="Manual",$M71=$A$15)),0,
         IF(OFFSET(CRONOPLE!$F$15,$M71-$A$15,AV$13)="",10^12,OFFSET(CRONOPLE!$F$15,$M71-$A$15,AV$13)))</f>
        <v>0</v>
      </c>
      <c r="AX71" s="179">
        <f ca="1">IF(OR($D71&lt;&gt;"Serviço",AND(AUTOEVENTO="Manual",$M71=$A$15),$M71&gt;(ROW(PLE.lastrow)-ROW(PLE.firstrow))),0,
           IF(OFFSET(PLE!$G$15,$M71-$A$15,AX$13)="",10^12,OFFSET(PLE!$G$15,$M71-$A$15,AX$13)))</f>
        <v>0</v>
      </c>
      <c r="AY71" s="179">
        <f ca="1">IF(OR($D71&lt;&gt;"Serviço",AND(AUTOEVENTO="Manual",$M71=$A$15),$M71&gt;(ROW(PLE.lastrow)-ROW(PLE.firstrow))),0,
           IF(OFFSET(PLE!$G$15,$M71-$A$15,AY$13)="",10^12,OFFSET(PLE!$G$15,$M71-$A$15,AY$13)))</f>
        <v>0</v>
      </c>
      <c r="AZ71" s="179">
        <f ca="1">IF(OR($D71&lt;&gt;"Serviço",AND(AUTOEVENTO="Manual",$M71=$A$15),$M71&gt;(ROW(PLE.lastrow)-ROW(PLE.firstrow))),0,
           IF(OFFSET(PLE!$G$15,$M71-$A$15,AZ$13)="",10^12,OFFSET(PLE!$G$15,$M71-$A$15,AZ$13)))</f>
        <v>0</v>
      </c>
      <c r="BA71" s="179">
        <f ca="1">IF(OR($D71&lt;&gt;"Serviço",AND(AUTOEVENTO="Manual",$M71=$A$15),$M71&gt;(ROW(PLE.lastrow)-ROW(PLE.firstrow))),0,
           IF(OFFSET(PLE!$G$15,$M71-$A$15,BA$13)="",10^12,OFFSET(PLE!$G$15,$M71-$A$15,BA$13)))</f>
        <v>0</v>
      </c>
      <c r="BB71" s="179">
        <f ca="1">IF(OR($D71&lt;&gt;"Serviço",AND(AUTOEVENTO="Manual",$M71=$A$15),$M71&gt;(ROW(PLE.lastrow)-ROW(PLE.firstrow))),0,
           IF(OFFSET(PLE!$G$15,$M71-$A$15,BB$13)="",10^12,OFFSET(PLE!$G$15,$M71-$A$15,BB$13)))</f>
        <v>0</v>
      </c>
      <c r="BC71" s="179">
        <f ca="1">IF(OR($D71&lt;&gt;"Serviço",AND(AUTOEVENTO="Manual",$M71=$A$15),$M71&gt;(ROW(PLE.lastrow)-ROW(PLE.firstrow))),0,
           IF(OFFSET(PLE!$G$15,$M71-$A$15,BC$13)="",10^12,OFFSET(PLE!$G$15,$M71-$A$15,BC$13)))</f>
        <v>0</v>
      </c>
      <c r="BD71" s="179">
        <f ca="1">IF(OR($D71&lt;&gt;"Serviço",AND(AUTOEVENTO="Manual",$M71=$A$15),$M71&gt;(ROW(PLE.lastrow)-ROW(PLE.firstrow))),0,
           IF(OFFSET(PLE!$G$15,$M71-$A$15,BD$13)="",10^12,OFFSET(PLE!$G$15,$M71-$A$15,BD$13)))</f>
        <v>0</v>
      </c>
      <c r="BE71" s="179">
        <f ca="1">IF(OR($D71&lt;&gt;"Serviço",AND(AUTOEVENTO="Manual",$M71=$A$15),$M71&gt;(ROW(PLE.lastrow)-ROW(PLE.firstrow))),0,
           IF(OFFSET(PLE!$G$15,$M71-$A$15,BE$13)="",10^12,OFFSET(PLE!$G$15,$M71-$A$15,BE$13)))</f>
        <v>0</v>
      </c>
      <c r="BF71" s="179">
        <f ca="1">IF(OR($D71&lt;&gt;"Serviço",AND(AUTOEVENTO="Manual",$M71=$A$15),$M71&gt;(ROW(PLE.lastrow)-ROW(PLE.firstrow))),0,
           IF(OFFSET(PLE!$G$15,$M71-$A$15,BF$13)="",10^12,OFFSET(PLE!$G$15,$M71-$A$15,BF$13)))</f>
        <v>0</v>
      </c>
      <c r="BG71" s="179">
        <f ca="1">IF(OR($D71&lt;&gt;"Serviço",AND(AUTOEVENTO="Manual",$M71=$A$15),$M71&gt;(ROW(PLE.lastrow)-ROW(PLE.firstrow))),0,
           IF(OFFSET(PLE!$G$15,$M71-$A$15,BG$13)="",10^12,OFFSET(PLE!$G$15,$M71-$A$15,BG$13)))</f>
        <v>0</v>
      </c>
    </row>
    <row r="72" spans="1:59" ht="12.75" x14ac:dyDescent="0.2">
      <c r="A72" s="7" t="str">
        <f ca="1">IF(AUTOEVENTO="Manual",IF(K72&lt;&gt;"",MIN(VALUE(LEFT(K72,FIND(".",K72)-1)),COUNTA(EVENTOS.Lista)),0),IF(OR($B72&gt;AUTOEVENTO,$B72="S",$B72=0),SUBSTITUTE(OFFSET($A72,-1,0),IF($D72="Serviço",".",""),""),ROW(A72)-ROW($A$15)&amp;"."))</f>
        <v>56</v>
      </c>
      <c r="B72" s="7" t="str">
        <f ca="1">OFFSET(ORÇAMENTO!C$15,ROW(B72)-ROW(B$15),0)</f>
        <v>S</v>
      </c>
      <c r="C72" s="7" t="str">
        <f ca="1">OFFSET(ORÇAMENTO!L$15,ROW(C72)-ROW(C$15),0)</f>
        <v/>
      </c>
      <c r="D72" s="118" t="str">
        <f ca="1">OFFSET(ORÇAMENTO!N$15,ROW(D72)-ROW(D$15),0)</f>
        <v>Serviço</v>
      </c>
      <c r="E72" s="119" t="str">
        <f ca="1">OFFSET(ORÇAMENTO!O$15,ROW(E72)-ROW(E$15),0)</f>
        <v>-</v>
      </c>
      <c r="F72" s="170" t="str">
        <f ca="1">OFFSET(ORÇAMENTO!R$15,ROW(F72)-ROW(F$15),0)</f>
        <v>(abra o arquivo 'Referência 04-2026.xlsm)</v>
      </c>
      <c r="G72" s="171" t="str">
        <f ca="1">IF($D72&lt;&gt;"Serviço","",OFFSET(ORÇAMENTO!S$15,ROW(G72)-ROW(G$15),0))</f>
        <v>-</v>
      </c>
      <c r="H72" s="124" cm="1">
        <f t="array" aca="1" ref="H72" ca="1">IF($D72&lt;&gt;"Serviço",0,IF(_xlfn.SINGLE(ACOMPANHAMENTO)="BM",ROUND(OFFSET(ORÇAMENTO!AJ$15,ROW(H72)-ROW(H$15),0),15-13*ORÇAMENTO!$AF$7),SUMPRODUCT(($Q$1:$AA$1)*ROUND($Q72:$AA72,15-13*ORÇAMENTO!$AF$7))))</f>
        <v>13</v>
      </c>
      <c r="I72" s="500" t="s">
        <v>1043</v>
      </c>
      <c r="J72" s="633" t="str" cm="1">
        <f t="array" aca="1" ref="J72" ca="1">IF(B72&lt;&gt;"S","",IF(AND(ACOMPANHAMENTO="PLE",AUTOEVENTO="Manual",OR(H72&gt;0,ORÇAMENTO!AC72="QUANT."),OR(K72="",M72=0,N72="")),"►",IF(AND(ACOMPANHAMENTO="PLE",ORÇAMENTO!AC72="QUANT."),"►►",IF(AND(COUNTIF($P$11:$AA$11,"▼")=0,H72&gt;0,I72=""),"◄",""))))</f>
        <v/>
      </c>
      <c r="K72" s="624"/>
      <c r="L72" s="172" t="s">
        <v>253</v>
      </c>
      <c r="M72" s="173">
        <f ca="1">IF($D72&lt;&gt;"Serviço","",
          IF(AUTOEVENTO="manual",$A72,
                IF(ISERROR(MATCH($A72,$A$15:OFFSET($A72,-1,0),0)),MAX($M$15:OFFSET(M72,-1,0))+1,
                      INDEX($M$15:OFFSET(M72,-1,0),MATCH($A72,$A$15:OFFSET($A72,-1,0),0)))))</f>
        <v>10</v>
      </c>
      <c r="N72" s="174" t="str">
        <f ca="1">IF($D72&lt;&gt;"Serviço","",
         IF(AUTOEVENTO="Manual",
                IF($A72=0,"&lt;-- defina o número do agrupador",
                       OFFSET(EVENTOS!$D$15,$A72-$A$15,0)),
                OFFSET($F$15,$A72,0)))</f>
        <v>INSTALAÇÕES ELÉTRICAS</v>
      </c>
      <c r="O72" s="175"/>
      <c r="Q72" s="175">
        <v>13</v>
      </c>
      <c r="R72" s="176"/>
      <c r="S72" s="176"/>
      <c r="T72" s="176"/>
      <c r="U72" s="176"/>
      <c r="V72" s="176"/>
      <c r="W72" s="176"/>
      <c r="X72" s="176"/>
      <c r="Y72" s="176"/>
      <c r="Z72" s="177"/>
      <c r="AB72" s="485">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85">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85">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85">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85">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85">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85">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85">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85">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85">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8">
        <f ca="1">IF(OR($D72&lt;&gt;"Serviço",AND(AUTOEVENTO="Manual",$M72=$A$15)),0,
         IF(OFFSET(CRONOPLE!$F$15,$M72-$A$15,AM$13)="",10^12,OFFSET(CRONOPLE!$F$15,$M72-$A$15,AM$13)))</f>
        <v>6</v>
      </c>
      <c r="AN72" s="178">
        <f ca="1">IF(OR($D72&lt;&gt;"Serviço",AND(AUTOEVENTO="Manual",$M72=$A$15)),0,
         IF(OFFSET(CRONOPLE!$F$15,$M72-$A$15,AN$13)="",10^12,OFFSET(CRONOPLE!$F$15,$M72-$A$15,AN$13)))</f>
        <v>1000000000000</v>
      </c>
      <c r="AO72" s="178">
        <f ca="1">IF(OR($D72&lt;&gt;"Serviço",AND(AUTOEVENTO="Manual",$M72=$A$15)),0,
         IF(OFFSET(CRONOPLE!$F$15,$M72-$A$15,AO$13)="",10^12,OFFSET(CRONOPLE!$F$15,$M72-$A$15,AO$13)))</f>
        <v>1000000000000</v>
      </c>
      <c r="AP72" s="178">
        <f ca="1">IF(OR($D72&lt;&gt;"Serviço",AND(AUTOEVENTO="Manual",$M72=$A$15)),0,
         IF(OFFSET(CRONOPLE!$F$15,$M72-$A$15,AP$13)="",10^12,OFFSET(CRONOPLE!$F$15,$M72-$A$15,AP$13)))</f>
        <v>1000000000000</v>
      </c>
      <c r="AQ72" s="178">
        <f ca="1">IF(OR($D72&lt;&gt;"Serviço",AND(AUTOEVENTO="Manual",$M72=$A$15)),0,
         IF(OFFSET(CRONOPLE!$F$15,$M72-$A$15,AQ$13)="",10^12,OFFSET(CRONOPLE!$F$15,$M72-$A$15,AQ$13)))</f>
        <v>1000000000000</v>
      </c>
      <c r="AR72" s="178">
        <f ca="1">IF(OR($D72&lt;&gt;"Serviço",AND(AUTOEVENTO="Manual",$M72=$A$15)),0,
         IF(OFFSET(CRONOPLE!$F$15,$M72-$A$15,AR$13)="",10^12,OFFSET(CRONOPLE!$F$15,$M72-$A$15,AR$13)))</f>
        <v>1000000000000</v>
      </c>
      <c r="AS72" s="178">
        <f ca="1">IF(OR($D72&lt;&gt;"Serviço",AND(AUTOEVENTO="Manual",$M72=$A$15)),0,
         IF(OFFSET(CRONOPLE!$F$15,$M72-$A$15,AS$13)="",10^12,OFFSET(CRONOPLE!$F$15,$M72-$A$15,AS$13)))</f>
        <v>1000000000000</v>
      </c>
      <c r="AT72" s="178">
        <f ca="1">IF(OR($D72&lt;&gt;"Serviço",AND(AUTOEVENTO="Manual",$M72=$A$15)),0,
         IF(OFFSET(CRONOPLE!$F$15,$M72-$A$15,AT$13)="",10^12,OFFSET(CRONOPLE!$F$15,$M72-$A$15,AT$13)))</f>
        <v>1000000000000</v>
      </c>
      <c r="AU72" s="178">
        <f ca="1">IF(OR($D72&lt;&gt;"Serviço",AND(AUTOEVENTO="Manual",$M72=$A$15)),0,
         IF(OFFSET(CRONOPLE!$F$15,$M72-$A$15,AU$13)="",10^12,OFFSET(CRONOPLE!$F$15,$M72-$A$15,AU$13)))</f>
        <v>1000000000000</v>
      </c>
      <c r="AV72" s="178">
        <f ca="1">IF(OR($D72&lt;&gt;"Serviço",AND(AUTOEVENTO="Manual",$M72=$A$15)),0,
         IF(OFFSET(CRONOPLE!$F$15,$M72-$A$15,AV$13)="",10^12,OFFSET(CRONOPLE!$F$15,$M72-$A$15,AV$13)))</f>
        <v>1000000000000</v>
      </c>
      <c r="AX72" s="179">
        <f ca="1">IF(OR($D72&lt;&gt;"Serviço",AND(AUTOEVENTO="Manual",$M72=$A$15),$M72&gt;(ROW(PLE.lastrow)-ROW(PLE.firstrow))),0,
           IF(OFFSET(PLE!$G$15,$M72-$A$15,AX$13)="",10^12,OFFSET(PLE!$G$15,$M72-$A$15,AX$13)))</f>
        <v>1000000000000</v>
      </c>
      <c r="AY72" s="179">
        <f ca="1">IF(OR($D72&lt;&gt;"Serviço",AND(AUTOEVENTO="Manual",$M72=$A$15),$M72&gt;(ROW(PLE.lastrow)-ROW(PLE.firstrow))),0,
           IF(OFFSET(PLE!$G$15,$M72-$A$15,AY$13)="",10^12,OFFSET(PLE!$G$15,$M72-$A$15,AY$13)))</f>
        <v>1000000000000</v>
      </c>
      <c r="AZ72" s="179">
        <f ca="1">IF(OR($D72&lt;&gt;"Serviço",AND(AUTOEVENTO="Manual",$M72=$A$15),$M72&gt;(ROW(PLE.lastrow)-ROW(PLE.firstrow))),0,
           IF(OFFSET(PLE!$G$15,$M72-$A$15,AZ$13)="",10^12,OFFSET(PLE!$G$15,$M72-$A$15,AZ$13)))</f>
        <v>1000000000000</v>
      </c>
      <c r="BA72" s="179">
        <f ca="1">IF(OR($D72&lt;&gt;"Serviço",AND(AUTOEVENTO="Manual",$M72=$A$15),$M72&gt;(ROW(PLE.lastrow)-ROW(PLE.firstrow))),0,
           IF(OFFSET(PLE!$G$15,$M72-$A$15,BA$13)="",10^12,OFFSET(PLE!$G$15,$M72-$A$15,BA$13)))</f>
        <v>1000000000000</v>
      </c>
      <c r="BB72" s="179">
        <f ca="1">IF(OR($D72&lt;&gt;"Serviço",AND(AUTOEVENTO="Manual",$M72=$A$15),$M72&gt;(ROW(PLE.lastrow)-ROW(PLE.firstrow))),0,
           IF(OFFSET(PLE!$G$15,$M72-$A$15,BB$13)="",10^12,OFFSET(PLE!$G$15,$M72-$A$15,BB$13)))</f>
        <v>1000000000000</v>
      </c>
      <c r="BC72" s="179">
        <f ca="1">IF(OR($D72&lt;&gt;"Serviço",AND(AUTOEVENTO="Manual",$M72=$A$15),$M72&gt;(ROW(PLE.lastrow)-ROW(PLE.firstrow))),0,
           IF(OFFSET(PLE!$G$15,$M72-$A$15,BC$13)="",10^12,OFFSET(PLE!$G$15,$M72-$A$15,BC$13)))</f>
        <v>1000000000000</v>
      </c>
      <c r="BD72" s="179">
        <f ca="1">IF(OR($D72&lt;&gt;"Serviço",AND(AUTOEVENTO="Manual",$M72=$A$15),$M72&gt;(ROW(PLE.lastrow)-ROW(PLE.firstrow))),0,
           IF(OFFSET(PLE!$G$15,$M72-$A$15,BD$13)="",10^12,OFFSET(PLE!$G$15,$M72-$A$15,BD$13)))</f>
        <v>1000000000000</v>
      </c>
      <c r="BE72" s="179">
        <f ca="1">IF(OR($D72&lt;&gt;"Serviço",AND(AUTOEVENTO="Manual",$M72=$A$15),$M72&gt;(ROW(PLE.lastrow)-ROW(PLE.firstrow))),0,
           IF(OFFSET(PLE!$G$15,$M72-$A$15,BE$13)="",10^12,OFFSET(PLE!$G$15,$M72-$A$15,BE$13)))</f>
        <v>1000000000000</v>
      </c>
      <c r="BF72" s="179">
        <f ca="1">IF(OR($D72&lt;&gt;"Serviço",AND(AUTOEVENTO="Manual",$M72=$A$15),$M72&gt;(ROW(PLE.lastrow)-ROW(PLE.firstrow))),0,
           IF(OFFSET(PLE!$G$15,$M72-$A$15,BF$13)="",10^12,OFFSET(PLE!$G$15,$M72-$A$15,BF$13)))</f>
        <v>1000000000000</v>
      </c>
      <c r="BG72" s="179">
        <f ca="1">IF(OR($D72&lt;&gt;"Serviço",AND(AUTOEVENTO="Manual",$M72=$A$15),$M72&gt;(ROW(PLE.lastrow)-ROW(PLE.firstrow))),0,
           IF(OFFSET(PLE!$G$15,$M72-$A$15,BG$13)="",10^12,OFFSET(PLE!$G$15,$M72-$A$15,BG$13)))</f>
        <v>1000000000000</v>
      </c>
    </row>
    <row r="73" spans="1:59" ht="25.5" x14ac:dyDescent="0.2">
      <c r="A73" s="7" t="str">
        <f ca="1">IF(AUTOEVENTO="Manual",IF(K73&lt;&gt;"",MIN(VALUE(LEFT(K73,FIND(".",K73)-1)),COUNTA(EVENTOS.Lista)),0),IF(OR($B73&gt;AUTOEVENTO,$B73="S",$B73=0),SUBSTITUTE(OFFSET($A73,-1,0),IF($D73="Serviço",".",""),""),ROW(A73)-ROW($A$15)&amp;"."))</f>
        <v>56</v>
      </c>
      <c r="B73" s="7" t="str">
        <f ca="1">OFFSET(ORÇAMENTO!C$15,ROW(B73)-ROW(B$15),0)</f>
        <v>S</v>
      </c>
      <c r="C73" s="7" t="str">
        <f ca="1">OFFSET(ORÇAMENTO!L$15,ROW(C73)-ROW(C$15),0)</f>
        <v/>
      </c>
      <c r="D73" s="118" t="str">
        <f ca="1">OFFSET(ORÇAMENTO!N$15,ROW(D73)-ROW(D$15),0)</f>
        <v>Serviço</v>
      </c>
      <c r="E73" s="119" t="str">
        <f ca="1">OFFSET(ORÇAMENTO!O$15,ROW(E73)-ROW(E$15),0)</f>
        <v>-</v>
      </c>
      <c r="F73" s="170" t="str">
        <f ca="1">OFFSET(ORÇAMENTO!R$15,ROW(F73)-ROW(F$15),0)</f>
        <v>(abra o arquivo 'Referência 04-2026.xlsm)</v>
      </c>
      <c r="G73" s="171" t="str">
        <f ca="1">IF($D73&lt;&gt;"Serviço","",OFFSET(ORÇAMENTO!S$15,ROW(G73)-ROW(G$15),0))</f>
        <v>-</v>
      </c>
      <c r="H73" s="124" cm="1">
        <f t="array" aca="1" ref="H73" ca="1">IF($D73&lt;&gt;"Serviço",0,IF(_xlfn.SINGLE(ACOMPANHAMENTO)="BM",ROUND(OFFSET(ORÇAMENTO!AJ$15,ROW(H73)-ROW(H$15),0),15-13*ORÇAMENTO!$AF$7),SUMPRODUCT(($Q$1:$AA$1)*ROUND($Q73:$AA73,15-13*ORÇAMENTO!$AF$7))))</f>
        <v>8</v>
      </c>
      <c r="I73" s="500"/>
      <c r="J73" s="633" t="str" cm="1">
        <f t="array" aca="1" ref="J73" ca="1">IF(B73&lt;&gt;"S","",IF(AND(ACOMPANHAMENTO="PLE",AUTOEVENTO="Manual",OR(H73&gt;0,ORÇAMENTO!AC73="QUANT."),OR(K73="",M73=0,N73="")),"►",IF(AND(ACOMPANHAMENTO="PLE",ORÇAMENTO!AC73="QUANT."),"►►",IF(AND(COUNTIF($P$11:$AA$11,"▼")=0,H73&gt;0,I73=""),"◄",""))))</f>
        <v/>
      </c>
      <c r="K73" s="624"/>
      <c r="L73" s="172" t="s">
        <v>253</v>
      </c>
      <c r="M73" s="173">
        <f ca="1">IF($D73&lt;&gt;"Serviço","",
          IF(AUTOEVENTO="manual",$A73,
                IF(ISERROR(MATCH($A73,$A$15:OFFSET($A73,-1,0),0)),MAX($M$15:OFFSET(M73,-1,0))+1,
                      INDEX($M$15:OFFSET(M73,-1,0),MATCH($A73,$A$15:OFFSET($A73,-1,0),0)))))</f>
        <v>10</v>
      </c>
      <c r="N73" s="174" t="str">
        <f ca="1">IF($D73&lt;&gt;"Serviço","",
         IF(AUTOEVENTO="Manual",
                IF($A73=0,"&lt;-- defina o número do agrupador",
                       OFFSET(EVENTOS!$D$15,$A73-$A$15,0)),
                OFFSET($F$15,$A73,0)))</f>
        <v>INSTALAÇÕES ELÉTRICAS</v>
      </c>
      <c r="O73" s="175"/>
      <c r="Q73" s="175">
        <v>8</v>
      </c>
      <c r="R73" s="176"/>
      <c r="S73" s="176"/>
      <c r="T73" s="176"/>
      <c r="U73" s="176"/>
      <c r="V73" s="176"/>
      <c r="W73" s="176"/>
      <c r="X73" s="176"/>
      <c r="Y73" s="176"/>
      <c r="Z73" s="177"/>
      <c r="AB73" s="485">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85">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85">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85">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85">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85">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85">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85">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85">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85">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8">
        <f ca="1">IF(OR($D73&lt;&gt;"Serviço",AND(AUTOEVENTO="Manual",$M73=$A$15)),0,
         IF(OFFSET(CRONOPLE!$F$15,$M73-$A$15,AM$13)="",10^12,OFFSET(CRONOPLE!$F$15,$M73-$A$15,AM$13)))</f>
        <v>6</v>
      </c>
      <c r="AN73" s="178">
        <f ca="1">IF(OR($D73&lt;&gt;"Serviço",AND(AUTOEVENTO="Manual",$M73=$A$15)),0,
         IF(OFFSET(CRONOPLE!$F$15,$M73-$A$15,AN$13)="",10^12,OFFSET(CRONOPLE!$F$15,$M73-$A$15,AN$13)))</f>
        <v>1000000000000</v>
      </c>
      <c r="AO73" s="178">
        <f ca="1">IF(OR($D73&lt;&gt;"Serviço",AND(AUTOEVENTO="Manual",$M73=$A$15)),0,
         IF(OFFSET(CRONOPLE!$F$15,$M73-$A$15,AO$13)="",10^12,OFFSET(CRONOPLE!$F$15,$M73-$A$15,AO$13)))</f>
        <v>1000000000000</v>
      </c>
      <c r="AP73" s="178">
        <f ca="1">IF(OR($D73&lt;&gt;"Serviço",AND(AUTOEVENTO="Manual",$M73=$A$15)),0,
         IF(OFFSET(CRONOPLE!$F$15,$M73-$A$15,AP$13)="",10^12,OFFSET(CRONOPLE!$F$15,$M73-$A$15,AP$13)))</f>
        <v>1000000000000</v>
      </c>
      <c r="AQ73" s="178">
        <f ca="1">IF(OR($D73&lt;&gt;"Serviço",AND(AUTOEVENTO="Manual",$M73=$A$15)),0,
         IF(OFFSET(CRONOPLE!$F$15,$M73-$A$15,AQ$13)="",10^12,OFFSET(CRONOPLE!$F$15,$M73-$A$15,AQ$13)))</f>
        <v>1000000000000</v>
      </c>
      <c r="AR73" s="178">
        <f ca="1">IF(OR($D73&lt;&gt;"Serviço",AND(AUTOEVENTO="Manual",$M73=$A$15)),0,
         IF(OFFSET(CRONOPLE!$F$15,$M73-$A$15,AR$13)="",10^12,OFFSET(CRONOPLE!$F$15,$M73-$A$15,AR$13)))</f>
        <v>1000000000000</v>
      </c>
      <c r="AS73" s="178">
        <f ca="1">IF(OR($D73&lt;&gt;"Serviço",AND(AUTOEVENTO="Manual",$M73=$A$15)),0,
         IF(OFFSET(CRONOPLE!$F$15,$M73-$A$15,AS$13)="",10^12,OFFSET(CRONOPLE!$F$15,$M73-$A$15,AS$13)))</f>
        <v>1000000000000</v>
      </c>
      <c r="AT73" s="178">
        <f ca="1">IF(OR($D73&lt;&gt;"Serviço",AND(AUTOEVENTO="Manual",$M73=$A$15)),0,
         IF(OFFSET(CRONOPLE!$F$15,$M73-$A$15,AT$13)="",10^12,OFFSET(CRONOPLE!$F$15,$M73-$A$15,AT$13)))</f>
        <v>1000000000000</v>
      </c>
      <c r="AU73" s="178">
        <f ca="1">IF(OR($D73&lt;&gt;"Serviço",AND(AUTOEVENTO="Manual",$M73=$A$15)),0,
         IF(OFFSET(CRONOPLE!$F$15,$M73-$A$15,AU$13)="",10^12,OFFSET(CRONOPLE!$F$15,$M73-$A$15,AU$13)))</f>
        <v>1000000000000</v>
      </c>
      <c r="AV73" s="178">
        <f ca="1">IF(OR($D73&lt;&gt;"Serviço",AND(AUTOEVENTO="Manual",$M73=$A$15)),0,
         IF(OFFSET(CRONOPLE!$F$15,$M73-$A$15,AV$13)="",10^12,OFFSET(CRONOPLE!$F$15,$M73-$A$15,AV$13)))</f>
        <v>1000000000000</v>
      </c>
      <c r="AX73" s="179">
        <f ca="1">IF(OR($D73&lt;&gt;"Serviço",AND(AUTOEVENTO="Manual",$M73=$A$15),$M73&gt;(ROW(PLE.lastrow)-ROW(PLE.firstrow))),0,
           IF(OFFSET(PLE!$G$15,$M73-$A$15,AX$13)="",10^12,OFFSET(PLE!$G$15,$M73-$A$15,AX$13)))</f>
        <v>1000000000000</v>
      </c>
      <c r="AY73" s="179">
        <f ca="1">IF(OR($D73&lt;&gt;"Serviço",AND(AUTOEVENTO="Manual",$M73=$A$15),$M73&gt;(ROW(PLE.lastrow)-ROW(PLE.firstrow))),0,
           IF(OFFSET(PLE!$G$15,$M73-$A$15,AY$13)="",10^12,OFFSET(PLE!$G$15,$M73-$A$15,AY$13)))</f>
        <v>1000000000000</v>
      </c>
      <c r="AZ73" s="179">
        <f ca="1">IF(OR($D73&lt;&gt;"Serviço",AND(AUTOEVENTO="Manual",$M73=$A$15),$M73&gt;(ROW(PLE.lastrow)-ROW(PLE.firstrow))),0,
           IF(OFFSET(PLE!$G$15,$M73-$A$15,AZ$13)="",10^12,OFFSET(PLE!$G$15,$M73-$A$15,AZ$13)))</f>
        <v>1000000000000</v>
      </c>
      <c r="BA73" s="179">
        <f ca="1">IF(OR($D73&lt;&gt;"Serviço",AND(AUTOEVENTO="Manual",$M73=$A$15),$M73&gt;(ROW(PLE.lastrow)-ROW(PLE.firstrow))),0,
           IF(OFFSET(PLE!$G$15,$M73-$A$15,BA$13)="",10^12,OFFSET(PLE!$G$15,$M73-$A$15,BA$13)))</f>
        <v>1000000000000</v>
      </c>
      <c r="BB73" s="179">
        <f ca="1">IF(OR($D73&lt;&gt;"Serviço",AND(AUTOEVENTO="Manual",$M73=$A$15),$M73&gt;(ROW(PLE.lastrow)-ROW(PLE.firstrow))),0,
           IF(OFFSET(PLE!$G$15,$M73-$A$15,BB$13)="",10^12,OFFSET(PLE!$G$15,$M73-$A$15,BB$13)))</f>
        <v>1000000000000</v>
      </c>
      <c r="BC73" s="179">
        <f ca="1">IF(OR($D73&lt;&gt;"Serviço",AND(AUTOEVENTO="Manual",$M73=$A$15),$M73&gt;(ROW(PLE.lastrow)-ROW(PLE.firstrow))),0,
           IF(OFFSET(PLE!$G$15,$M73-$A$15,BC$13)="",10^12,OFFSET(PLE!$G$15,$M73-$A$15,BC$13)))</f>
        <v>1000000000000</v>
      </c>
      <c r="BD73" s="179">
        <f ca="1">IF(OR($D73&lt;&gt;"Serviço",AND(AUTOEVENTO="Manual",$M73=$A$15),$M73&gt;(ROW(PLE.lastrow)-ROW(PLE.firstrow))),0,
           IF(OFFSET(PLE!$G$15,$M73-$A$15,BD$13)="",10^12,OFFSET(PLE!$G$15,$M73-$A$15,BD$13)))</f>
        <v>1000000000000</v>
      </c>
      <c r="BE73" s="179">
        <f ca="1">IF(OR($D73&lt;&gt;"Serviço",AND(AUTOEVENTO="Manual",$M73=$A$15),$M73&gt;(ROW(PLE.lastrow)-ROW(PLE.firstrow))),0,
           IF(OFFSET(PLE!$G$15,$M73-$A$15,BE$13)="",10^12,OFFSET(PLE!$G$15,$M73-$A$15,BE$13)))</f>
        <v>1000000000000</v>
      </c>
      <c r="BF73" s="179">
        <f ca="1">IF(OR($D73&lt;&gt;"Serviço",AND(AUTOEVENTO="Manual",$M73=$A$15),$M73&gt;(ROW(PLE.lastrow)-ROW(PLE.firstrow))),0,
           IF(OFFSET(PLE!$G$15,$M73-$A$15,BF$13)="",10^12,OFFSET(PLE!$G$15,$M73-$A$15,BF$13)))</f>
        <v>1000000000000</v>
      </c>
      <c r="BG73" s="179">
        <f ca="1">IF(OR($D73&lt;&gt;"Serviço",AND(AUTOEVENTO="Manual",$M73=$A$15),$M73&gt;(ROW(PLE.lastrow)-ROW(PLE.firstrow))),0,
           IF(OFFSET(PLE!$G$15,$M73-$A$15,BG$13)="",10^12,OFFSET(PLE!$G$15,$M73-$A$15,BG$13)))</f>
        <v>1000000000000</v>
      </c>
    </row>
    <row r="74" spans="1:59" ht="25.5" x14ac:dyDescent="0.2">
      <c r="A74" s="7" t="str">
        <f ca="1">IF(AUTOEVENTO="Manual",IF(K74&lt;&gt;"",MIN(VALUE(LEFT(K74,FIND(".",K74)-1)),COUNTA(EVENTOS.Lista)),0),IF(OR($B74&gt;AUTOEVENTO,$B74="S",$B74=0),SUBSTITUTE(OFFSET($A74,-1,0),IF($D74="Serviço",".",""),""),ROW(A74)-ROW($A$15)&amp;"."))</f>
        <v>56</v>
      </c>
      <c r="B74" s="7" t="str">
        <f ca="1">OFFSET(ORÇAMENTO!C$15,ROW(B74)-ROW(B$15),0)</f>
        <v>S</v>
      </c>
      <c r="C74" s="7" t="str">
        <f ca="1">OFFSET(ORÇAMENTO!L$15,ROW(C74)-ROW(C$15),0)</f>
        <v/>
      </c>
      <c r="D74" s="118" t="str">
        <f ca="1">OFFSET(ORÇAMENTO!N$15,ROW(D74)-ROW(D$15),0)</f>
        <v>Serviço</v>
      </c>
      <c r="E74" s="119" t="str">
        <f ca="1">OFFSET(ORÇAMENTO!O$15,ROW(E74)-ROW(E$15),0)</f>
        <v>-</v>
      </c>
      <c r="F74" s="170" t="str">
        <f ca="1">OFFSET(ORÇAMENTO!R$15,ROW(F74)-ROW(F$15),0)</f>
        <v>(abra o arquivo 'Referência 04-2026.xlsm)</v>
      </c>
      <c r="G74" s="171" t="str">
        <f ca="1">IF($D74&lt;&gt;"Serviço","",OFFSET(ORÇAMENTO!S$15,ROW(G74)-ROW(G$15),0))</f>
        <v>-</v>
      </c>
      <c r="H74" s="124" cm="1">
        <f t="array" aca="1" ref="H74" ca="1">IF($D74&lt;&gt;"Serviço",0,IF(_xlfn.SINGLE(ACOMPANHAMENTO)="BM",ROUND(OFFSET(ORÇAMENTO!AJ$15,ROW(H74)-ROW(H$15),0),15-13*ORÇAMENTO!$AF$7),SUMPRODUCT(($Q$1:$AA$1)*ROUND($Q74:$AA74,15-13*ORÇAMENTO!$AF$7))))</f>
        <v>13</v>
      </c>
      <c r="I74" s="500" t="s">
        <v>1043</v>
      </c>
      <c r="J74" s="633" t="str" cm="1">
        <f t="array" aca="1" ref="J74" ca="1">IF(B74&lt;&gt;"S","",IF(AND(ACOMPANHAMENTO="PLE",AUTOEVENTO="Manual",OR(H74&gt;0,ORÇAMENTO!AC74="QUANT."),OR(K74="",M74=0,N74="")),"►",IF(AND(ACOMPANHAMENTO="PLE",ORÇAMENTO!AC74="QUANT."),"►►",IF(AND(COUNTIF($P$11:$AA$11,"▼")=0,H74&gt;0,I74=""),"◄",""))))</f>
        <v/>
      </c>
      <c r="K74" s="624"/>
      <c r="L74" s="172" t="s">
        <v>253</v>
      </c>
      <c r="M74" s="173">
        <f ca="1">IF($D74&lt;&gt;"Serviço","",
          IF(AUTOEVENTO="manual",$A74,
                IF(ISERROR(MATCH($A74,$A$15:OFFSET($A74,-1,0),0)),MAX($M$15:OFFSET(M74,-1,0))+1,
                      INDEX($M$15:OFFSET(M74,-1,0),MATCH($A74,$A$15:OFFSET($A74,-1,0),0)))))</f>
        <v>10</v>
      </c>
      <c r="N74" s="174" t="str">
        <f ca="1">IF($D74&lt;&gt;"Serviço","",
         IF(AUTOEVENTO="Manual",
                IF($A74=0,"&lt;-- defina o número do agrupador",
                       OFFSET(EVENTOS!$D$15,$A74-$A$15,0)),
                OFFSET($F$15,$A74,0)))</f>
        <v>INSTALAÇÕES ELÉTRICAS</v>
      </c>
      <c r="O74" s="175"/>
      <c r="Q74" s="175">
        <v>13</v>
      </c>
      <c r="R74" s="176"/>
      <c r="S74" s="176"/>
      <c r="T74" s="176"/>
      <c r="U74" s="176"/>
      <c r="V74" s="176"/>
      <c r="W74" s="176"/>
      <c r="X74" s="176"/>
      <c r="Y74" s="176"/>
      <c r="Z74" s="177"/>
      <c r="AB74" s="485">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85">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85">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85">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85">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85">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85">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85">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85">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85">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8">
        <f ca="1">IF(OR($D74&lt;&gt;"Serviço",AND(AUTOEVENTO="Manual",$M74=$A$15)),0,
         IF(OFFSET(CRONOPLE!$F$15,$M74-$A$15,AM$13)="",10^12,OFFSET(CRONOPLE!$F$15,$M74-$A$15,AM$13)))</f>
        <v>6</v>
      </c>
      <c r="AN74" s="178">
        <f ca="1">IF(OR($D74&lt;&gt;"Serviço",AND(AUTOEVENTO="Manual",$M74=$A$15)),0,
         IF(OFFSET(CRONOPLE!$F$15,$M74-$A$15,AN$13)="",10^12,OFFSET(CRONOPLE!$F$15,$M74-$A$15,AN$13)))</f>
        <v>1000000000000</v>
      </c>
      <c r="AO74" s="178">
        <f ca="1">IF(OR($D74&lt;&gt;"Serviço",AND(AUTOEVENTO="Manual",$M74=$A$15)),0,
         IF(OFFSET(CRONOPLE!$F$15,$M74-$A$15,AO$13)="",10^12,OFFSET(CRONOPLE!$F$15,$M74-$A$15,AO$13)))</f>
        <v>1000000000000</v>
      </c>
      <c r="AP74" s="178">
        <f ca="1">IF(OR($D74&lt;&gt;"Serviço",AND(AUTOEVENTO="Manual",$M74=$A$15)),0,
         IF(OFFSET(CRONOPLE!$F$15,$M74-$A$15,AP$13)="",10^12,OFFSET(CRONOPLE!$F$15,$M74-$A$15,AP$13)))</f>
        <v>1000000000000</v>
      </c>
      <c r="AQ74" s="178">
        <f ca="1">IF(OR($D74&lt;&gt;"Serviço",AND(AUTOEVENTO="Manual",$M74=$A$15)),0,
         IF(OFFSET(CRONOPLE!$F$15,$M74-$A$15,AQ$13)="",10^12,OFFSET(CRONOPLE!$F$15,$M74-$A$15,AQ$13)))</f>
        <v>1000000000000</v>
      </c>
      <c r="AR74" s="178">
        <f ca="1">IF(OR($D74&lt;&gt;"Serviço",AND(AUTOEVENTO="Manual",$M74=$A$15)),0,
         IF(OFFSET(CRONOPLE!$F$15,$M74-$A$15,AR$13)="",10^12,OFFSET(CRONOPLE!$F$15,$M74-$A$15,AR$13)))</f>
        <v>1000000000000</v>
      </c>
      <c r="AS74" s="178">
        <f ca="1">IF(OR($D74&lt;&gt;"Serviço",AND(AUTOEVENTO="Manual",$M74=$A$15)),0,
         IF(OFFSET(CRONOPLE!$F$15,$M74-$A$15,AS$13)="",10^12,OFFSET(CRONOPLE!$F$15,$M74-$A$15,AS$13)))</f>
        <v>1000000000000</v>
      </c>
      <c r="AT74" s="178">
        <f ca="1">IF(OR($D74&lt;&gt;"Serviço",AND(AUTOEVENTO="Manual",$M74=$A$15)),0,
         IF(OFFSET(CRONOPLE!$F$15,$M74-$A$15,AT$13)="",10^12,OFFSET(CRONOPLE!$F$15,$M74-$A$15,AT$13)))</f>
        <v>1000000000000</v>
      </c>
      <c r="AU74" s="178">
        <f ca="1">IF(OR($D74&lt;&gt;"Serviço",AND(AUTOEVENTO="Manual",$M74=$A$15)),0,
         IF(OFFSET(CRONOPLE!$F$15,$M74-$A$15,AU$13)="",10^12,OFFSET(CRONOPLE!$F$15,$M74-$A$15,AU$13)))</f>
        <v>1000000000000</v>
      </c>
      <c r="AV74" s="178">
        <f ca="1">IF(OR($D74&lt;&gt;"Serviço",AND(AUTOEVENTO="Manual",$M74=$A$15)),0,
         IF(OFFSET(CRONOPLE!$F$15,$M74-$A$15,AV$13)="",10^12,OFFSET(CRONOPLE!$F$15,$M74-$A$15,AV$13)))</f>
        <v>1000000000000</v>
      </c>
      <c r="AX74" s="179">
        <f ca="1">IF(OR($D74&lt;&gt;"Serviço",AND(AUTOEVENTO="Manual",$M74=$A$15),$M74&gt;(ROW(PLE.lastrow)-ROW(PLE.firstrow))),0,
           IF(OFFSET(PLE!$G$15,$M74-$A$15,AX$13)="",10^12,OFFSET(PLE!$G$15,$M74-$A$15,AX$13)))</f>
        <v>1000000000000</v>
      </c>
      <c r="AY74" s="179">
        <f ca="1">IF(OR($D74&lt;&gt;"Serviço",AND(AUTOEVENTO="Manual",$M74=$A$15),$M74&gt;(ROW(PLE.lastrow)-ROW(PLE.firstrow))),0,
           IF(OFFSET(PLE!$G$15,$M74-$A$15,AY$13)="",10^12,OFFSET(PLE!$G$15,$M74-$A$15,AY$13)))</f>
        <v>1000000000000</v>
      </c>
      <c r="AZ74" s="179">
        <f ca="1">IF(OR($D74&lt;&gt;"Serviço",AND(AUTOEVENTO="Manual",$M74=$A$15),$M74&gt;(ROW(PLE.lastrow)-ROW(PLE.firstrow))),0,
           IF(OFFSET(PLE!$G$15,$M74-$A$15,AZ$13)="",10^12,OFFSET(PLE!$G$15,$M74-$A$15,AZ$13)))</f>
        <v>1000000000000</v>
      </c>
      <c r="BA74" s="179">
        <f ca="1">IF(OR($D74&lt;&gt;"Serviço",AND(AUTOEVENTO="Manual",$M74=$A$15),$M74&gt;(ROW(PLE.lastrow)-ROW(PLE.firstrow))),0,
           IF(OFFSET(PLE!$G$15,$M74-$A$15,BA$13)="",10^12,OFFSET(PLE!$G$15,$M74-$A$15,BA$13)))</f>
        <v>1000000000000</v>
      </c>
      <c r="BB74" s="179">
        <f ca="1">IF(OR($D74&lt;&gt;"Serviço",AND(AUTOEVENTO="Manual",$M74=$A$15),$M74&gt;(ROW(PLE.lastrow)-ROW(PLE.firstrow))),0,
           IF(OFFSET(PLE!$G$15,$M74-$A$15,BB$13)="",10^12,OFFSET(PLE!$G$15,$M74-$A$15,BB$13)))</f>
        <v>1000000000000</v>
      </c>
      <c r="BC74" s="179">
        <f ca="1">IF(OR($D74&lt;&gt;"Serviço",AND(AUTOEVENTO="Manual",$M74=$A$15),$M74&gt;(ROW(PLE.lastrow)-ROW(PLE.firstrow))),0,
           IF(OFFSET(PLE!$G$15,$M74-$A$15,BC$13)="",10^12,OFFSET(PLE!$G$15,$M74-$A$15,BC$13)))</f>
        <v>1000000000000</v>
      </c>
      <c r="BD74" s="179">
        <f ca="1">IF(OR($D74&lt;&gt;"Serviço",AND(AUTOEVENTO="Manual",$M74=$A$15),$M74&gt;(ROW(PLE.lastrow)-ROW(PLE.firstrow))),0,
           IF(OFFSET(PLE!$G$15,$M74-$A$15,BD$13)="",10^12,OFFSET(PLE!$G$15,$M74-$A$15,BD$13)))</f>
        <v>1000000000000</v>
      </c>
      <c r="BE74" s="179">
        <f ca="1">IF(OR($D74&lt;&gt;"Serviço",AND(AUTOEVENTO="Manual",$M74=$A$15),$M74&gt;(ROW(PLE.lastrow)-ROW(PLE.firstrow))),0,
           IF(OFFSET(PLE!$G$15,$M74-$A$15,BE$13)="",10^12,OFFSET(PLE!$G$15,$M74-$A$15,BE$13)))</f>
        <v>1000000000000</v>
      </c>
      <c r="BF74" s="179">
        <f ca="1">IF(OR($D74&lt;&gt;"Serviço",AND(AUTOEVENTO="Manual",$M74=$A$15),$M74&gt;(ROW(PLE.lastrow)-ROW(PLE.firstrow))),0,
           IF(OFFSET(PLE!$G$15,$M74-$A$15,BF$13)="",10^12,OFFSET(PLE!$G$15,$M74-$A$15,BF$13)))</f>
        <v>1000000000000</v>
      </c>
      <c r="BG74" s="179">
        <f ca="1">IF(OR($D74&lt;&gt;"Serviço",AND(AUTOEVENTO="Manual",$M74=$A$15),$M74&gt;(ROW(PLE.lastrow)-ROW(PLE.firstrow))),0,
           IF(OFFSET(PLE!$G$15,$M74-$A$15,BG$13)="",10^12,OFFSET(PLE!$G$15,$M74-$A$15,BG$13)))</f>
        <v>1000000000000</v>
      </c>
    </row>
    <row r="75" spans="1:59" ht="38.25" x14ac:dyDescent="0.2">
      <c r="A75" s="7" t="str">
        <f ca="1">IF(AUTOEVENTO="Manual",IF(K75&lt;&gt;"",MIN(VALUE(LEFT(K75,FIND(".",K75)-1)),COUNTA(EVENTOS.Lista)),0),IF(OR($B75&gt;AUTOEVENTO,$B75="S",$B75=0),SUBSTITUTE(OFFSET($A75,-1,0),IF($D75="Serviço",".",""),""),ROW(A75)-ROW($A$15)&amp;"."))</f>
        <v>56</v>
      </c>
      <c r="B75" s="7" t="str">
        <f ca="1">OFFSET(ORÇAMENTO!C$15,ROW(B75)-ROW(B$15),0)</f>
        <v>S</v>
      </c>
      <c r="C75" s="7" t="str">
        <f ca="1">OFFSET(ORÇAMENTO!L$15,ROW(C75)-ROW(C$15),0)</f>
        <v/>
      </c>
      <c r="D75" s="118" t="str">
        <f ca="1">OFFSET(ORÇAMENTO!N$15,ROW(D75)-ROW(D$15),0)</f>
        <v>Serviço</v>
      </c>
      <c r="E75" s="119" t="str">
        <f ca="1">OFFSET(ORÇAMENTO!O$15,ROW(E75)-ROW(E$15),0)</f>
        <v>-</v>
      </c>
      <c r="F75" s="170" t="str">
        <f ca="1">OFFSET(ORÇAMENTO!R$15,ROW(F75)-ROW(F$15),0)</f>
        <v>(abra o arquivo 'Referência 04-2026.xlsm)</v>
      </c>
      <c r="G75" s="171" t="str">
        <f ca="1">IF($D75&lt;&gt;"Serviço","",OFFSET(ORÇAMENTO!S$15,ROW(G75)-ROW(G$15),0))</f>
        <v>-</v>
      </c>
      <c r="H75" s="124" cm="1">
        <f t="array" aca="1" ref="H75" ca="1">IF($D75&lt;&gt;"Serviço",0,IF(_xlfn.SINGLE(ACOMPANHAMENTO)="BM",ROUND(OFFSET(ORÇAMENTO!AJ$15,ROW(H75)-ROW(H$15),0),15-13*ORÇAMENTO!$AF$7),SUMPRODUCT(($Q$1:$AA$1)*ROUND($Q75:$AA75,15-13*ORÇAMENTO!$AF$7))))</f>
        <v>192.26</v>
      </c>
      <c r="I75" s="500" t="s">
        <v>1044</v>
      </c>
      <c r="J75" s="633" t="str" cm="1">
        <f t="array" aca="1" ref="J75" ca="1">IF(B75&lt;&gt;"S","",IF(AND(ACOMPANHAMENTO="PLE",AUTOEVENTO="Manual",OR(H75&gt;0,ORÇAMENTO!AC75="QUANT."),OR(K75="",M75=0,N75="")),"►",IF(AND(ACOMPANHAMENTO="PLE",ORÇAMENTO!AC75="QUANT."),"►►",IF(AND(COUNTIF($P$11:$AA$11,"▼")=0,H75&gt;0,I75=""),"◄",""))))</f>
        <v/>
      </c>
      <c r="K75" s="624"/>
      <c r="L75" s="172" t="s">
        <v>253</v>
      </c>
      <c r="M75" s="173">
        <f ca="1">IF($D75&lt;&gt;"Serviço","",
          IF(AUTOEVENTO="manual",$A75,
                IF(ISERROR(MATCH($A75,$A$15:OFFSET($A75,-1,0),0)),MAX($M$15:OFFSET(M75,-1,0))+1,
                      INDEX($M$15:OFFSET(M75,-1,0),MATCH($A75,$A$15:OFFSET($A75,-1,0),0)))))</f>
        <v>10</v>
      </c>
      <c r="N75" s="174" t="str">
        <f ca="1">IF($D75&lt;&gt;"Serviço","",
         IF(AUTOEVENTO="Manual",
                IF($A75=0,"&lt;-- defina o número do agrupador",
                       OFFSET(EVENTOS!$D$15,$A75-$A$15,0)),
                OFFSET($F$15,$A75,0)))</f>
        <v>INSTALAÇÕES ELÉTRICAS</v>
      </c>
      <c r="O75" s="175"/>
      <c r="Q75" s="175">
        <v>192.26</v>
      </c>
      <c r="R75" s="176"/>
      <c r="S75" s="176"/>
      <c r="T75" s="176"/>
      <c r="U75" s="176"/>
      <c r="V75" s="176"/>
      <c r="W75" s="176"/>
      <c r="X75" s="176"/>
      <c r="Y75" s="176"/>
      <c r="Z75" s="177"/>
      <c r="AB75" s="485">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85">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85">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85">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85">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85">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85">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85">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85">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85">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8">
        <f ca="1">IF(OR($D75&lt;&gt;"Serviço",AND(AUTOEVENTO="Manual",$M75=$A$15)),0,
         IF(OFFSET(CRONOPLE!$F$15,$M75-$A$15,AM$13)="",10^12,OFFSET(CRONOPLE!$F$15,$M75-$A$15,AM$13)))</f>
        <v>6</v>
      </c>
      <c r="AN75" s="178">
        <f ca="1">IF(OR($D75&lt;&gt;"Serviço",AND(AUTOEVENTO="Manual",$M75=$A$15)),0,
         IF(OFFSET(CRONOPLE!$F$15,$M75-$A$15,AN$13)="",10^12,OFFSET(CRONOPLE!$F$15,$M75-$A$15,AN$13)))</f>
        <v>1000000000000</v>
      </c>
      <c r="AO75" s="178">
        <f ca="1">IF(OR($D75&lt;&gt;"Serviço",AND(AUTOEVENTO="Manual",$M75=$A$15)),0,
         IF(OFFSET(CRONOPLE!$F$15,$M75-$A$15,AO$13)="",10^12,OFFSET(CRONOPLE!$F$15,$M75-$A$15,AO$13)))</f>
        <v>1000000000000</v>
      </c>
      <c r="AP75" s="178">
        <f ca="1">IF(OR($D75&lt;&gt;"Serviço",AND(AUTOEVENTO="Manual",$M75=$A$15)),0,
         IF(OFFSET(CRONOPLE!$F$15,$M75-$A$15,AP$13)="",10^12,OFFSET(CRONOPLE!$F$15,$M75-$A$15,AP$13)))</f>
        <v>1000000000000</v>
      </c>
      <c r="AQ75" s="178">
        <f ca="1">IF(OR($D75&lt;&gt;"Serviço",AND(AUTOEVENTO="Manual",$M75=$A$15)),0,
         IF(OFFSET(CRONOPLE!$F$15,$M75-$A$15,AQ$13)="",10^12,OFFSET(CRONOPLE!$F$15,$M75-$A$15,AQ$13)))</f>
        <v>1000000000000</v>
      </c>
      <c r="AR75" s="178">
        <f ca="1">IF(OR($D75&lt;&gt;"Serviço",AND(AUTOEVENTO="Manual",$M75=$A$15)),0,
         IF(OFFSET(CRONOPLE!$F$15,$M75-$A$15,AR$13)="",10^12,OFFSET(CRONOPLE!$F$15,$M75-$A$15,AR$13)))</f>
        <v>1000000000000</v>
      </c>
      <c r="AS75" s="178">
        <f ca="1">IF(OR($D75&lt;&gt;"Serviço",AND(AUTOEVENTO="Manual",$M75=$A$15)),0,
         IF(OFFSET(CRONOPLE!$F$15,$M75-$A$15,AS$13)="",10^12,OFFSET(CRONOPLE!$F$15,$M75-$A$15,AS$13)))</f>
        <v>1000000000000</v>
      </c>
      <c r="AT75" s="178">
        <f ca="1">IF(OR($D75&lt;&gt;"Serviço",AND(AUTOEVENTO="Manual",$M75=$A$15)),0,
         IF(OFFSET(CRONOPLE!$F$15,$M75-$A$15,AT$13)="",10^12,OFFSET(CRONOPLE!$F$15,$M75-$A$15,AT$13)))</f>
        <v>1000000000000</v>
      </c>
      <c r="AU75" s="178">
        <f ca="1">IF(OR($D75&lt;&gt;"Serviço",AND(AUTOEVENTO="Manual",$M75=$A$15)),0,
         IF(OFFSET(CRONOPLE!$F$15,$M75-$A$15,AU$13)="",10^12,OFFSET(CRONOPLE!$F$15,$M75-$A$15,AU$13)))</f>
        <v>1000000000000</v>
      </c>
      <c r="AV75" s="178">
        <f ca="1">IF(OR($D75&lt;&gt;"Serviço",AND(AUTOEVENTO="Manual",$M75=$A$15)),0,
         IF(OFFSET(CRONOPLE!$F$15,$M75-$A$15,AV$13)="",10^12,OFFSET(CRONOPLE!$F$15,$M75-$A$15,AV$13)))</f>
        <v>1000000000000</v>
      </c>
      <c r="AX75" s="179">
        <f ca="1">IF(OR($D75&lt;&gt;"Serviço",AND(AUTOEVENTO="Manual",$M75=$A$15),$M75&gt;(ROW(PLE.lastrow)-ROW(PLE.firstrow))),0,
           IF(OFFSET(PLE!$G$15,$M75-$A$15,AX$13)="",10^12,OFFSET(PLE!$G$15,$M75-$A$15,AX$13)))</f>
        <v>1000000000000</v>
      </c>
      <c r="AY75" s="179">
        <f ca="1">IF(OR($D75&lt;&gt;"Serviço",AND(AUTOEVENTO="Manual",$M75=$A$15),$M75&gt;(ROW(PLE.lastrow)-ROW(PLE.firstrow))),0,
           IF(OFFSET(PLE!$G$15,$M75-$A$15,AY$13)="",10^12,OFFSET(PLE!$G$15,$M75-$A$15,AY$13)))</f>
        <v>1000000000000</v>
      </c>
      <c r="AZ75" s="179">
        <f ca="1">IF(OR($D75&lt;&gt;"Serviço",AND(AUTOEVENTO="Manual",$M75=$A$15),$M75&gt;(ROW(PLE.lastrow)-ROW(PLE.firstrow))),0,
           IF(OFFSET(PLE!$G$15,$M75-$A$15,AZ$13)="",10^12,OFFSET(PLE!$G$15,$M75-$A$15,AZ$13)))</f>
        <v>1000000000000</v>
      </c>
      <c r="BA75" s="179">
        <f ca="1">IF(OR($D75&lt;&gt;"Serviço",AND(AUTOEVENTO="Manual",$M75=$A$15),$M75&gt;(ROW(PLE.lastrow)-ROW(PLE.firstrow))),0,
           IF(OFFSET(PLE!$G$15,$M75-$A$15,BA$13)="",10^12,OFFSET(PLE!$G$15,$M75-$A$15,BA$13)))</f>
        <v>1000000000000</v>
      </c>
      <c r="BB75" s="179">
        <f ca="1">IF(OR($D75&lt;&gt;"Serviço",AND(AUTOEVENTO="Manual",$M75=$A$15),$M75&gt;(ROW(PLE.lastrow)-ROW(PLE.firstrow))),0,
           IF(OFFSET(PLE!$G$15,$M75-$A$15,BB$13)="",10^12,OFFSET(PLE!$G$15,$M75-$A$15,BB$13)))</f>
        <v>1000000000000</v>
      </c>
      <c r="BC75" s="179">
        <f ca="1">IF(OR($D75&lt;&gt;"Serviço",AND(AUTOEVENTO="Manual",$M75=$A$15),$M75&gt;(ROW(PLE.lastrow)-ROW(PLE.firstrow))),0,
           IF(OFFSET(PLE!$G$15,$M75-$A$15,BC$13)="",10^12,OFFSET(PLE!$G$15,$M75-$A$15,BC$13)))</f>
        <v>1000000000000</v>
      </c>
      <c r="BD75" s="179">
        <f ca="1">IF(OR($D75&lt;&gt;"Serviço",AND(AUTOEVENTO="Manual",$M75=$A$15),$M75&gt;(ROW(PLE.lastrow)-ROW(PLE.firstrow))),0,
           IF(OFFSET(PLE!$G$15,$M75-$A$15,BD$13)="",10^12,OFFSET(PLE!$G$15,$M75-$A$15,BD$13)))</f>
        <v>1000000000000</v>
      </c>
      <c r="BE75" s="179">
        <f ca="1">IF(OR($D75&lt;&gt;"Serviço",AND(AUTOEVENTO="Manual",$M75=$A$15),$M75&gt;(ROW(PLE.lastrow)-ROW(PLE.firstrow))),0,
           IF(OFFSET(PLE!$G$15,$M75-$A$15,BE$13)="",10^12,OFFSET(PLE!$G$15,$M75-$A$15,BE$13)))</f>
        <v>1000000000000</v>
      </c>
      <c r="BF75" s="179">
        <f ca="1">IF(OR($D75&lt;&gt;"Serviço",AND(AUTOEVENTO="Manual",$M75=$A$15),$M75&gt;(ROW(PLE.lastrow)-ROW(PLE.firstrow))),0,
           IF(OFFSET(PLE!$G$15,$M75-$A$15,BF$13)="",10^12,OFFSET(PLE!$G$15,$M75-$A$15,BF$13)))</f>
        <v>1000000000000</v>
      </c>
      <c r="BG75" s="179">
        <f ca="1">IF(OR($D75&lt;&gt;"Serviço",AND(AUTOEVENTO="Manual",$M75=$A$15),$M75&gt;(ROW(PLE.lastrow)-ROW(PLE.firstrow))),0,
           IF(OFFSET(PLE!$G$15,$M75-$A$15,BG$13)="",10^12,OFFSET(PLE!$G$15,$M75-$A$15,BG$13)))</f>
        <v>1000000000000</v>
      </c>
    </row>
    <row r="76" spans="1:59" ht="38.25" x14ac:dyDescent="0.2">
      <c r="A76" s="7" t="str">
        <f ca="1">IF(AUTOEVENTO="Manual",IF(K76&lt;&gt;"",MIN(VALUE(LEFT(K76,FIND(".",K76)-1)),COUNTA(EVENTOS.Lista)),0),IF(OR($B76&gt;AUTOEVENTO,$B76="S",$B76=0),SUBSTITUTE(OFFSET($A76,-1,0),IF($D76="Serviço",".",""),""),ROW(A76)-ROW($A$15)&amp;"."))</f>
        <v>56</v>
      </c>
      <c r="B76" s="7" t="str">
        <f ca="1">OFFSET(ORÇAMENTO!C$15,ROW(B76)-ROW(B$15),0)</f>
        <v>S</v>
      </c>
      <c r="C76" s="7" t="str">
        <f ca="1">OFFSET(ORÇAMENTO!L$15,ROW(C76)-ROW(C$15),0)</f>
        <v/>
      </c>
      <c r="D76" s="118" t="str">
        <f ca="1">OFFSET(ORÇAMENTO!N$15,ROW(D76)-ROW(D$15),0)</f>
        <v>Serviço</v>
      </c>
      <c r="E76" s="119" t="str">
        <f ca="1">OFFSET(ORÇAMENTO!O$15,ROW(E76)-ROW(E$15),0)</f>
        <v>-</v>
      </c>
      <c r="F76" s="170" t="str">
        <f ca="1">OFFSET(ORÇAMENTO!R$15,ROW(F76)-ROW(F$15),0)</f>
        <v>(abra o arquivo 'Referência 04-2026.xlsm)</v>
      </c>
      <c r="G76" s="171" t="str">
        <f ca="1">IF($D76&lt;&gt;"Serviço","",OFFSET(ORÇAMENTO!S$15,ROW(G76)-ROW(G$15),0))</f>
        <v>-</v>
      </c>
      <c r="H76" s="124" cm="1">
        <f t="array" aca="1" ref="H76" ca="1">IF($D76&lt;&gt;"Serviço",0,IF(_xlfn.SINGLE(ACOMPANHAMENTO)="BM",ROUND(OFFSET(ORÇAMENTO!AJ$15,ROW(H76)-ROW(H$15),0),15-13*ORÇAMENTO!$AF$7),SUMPRODUCT(($Q$1:$AA$1)*ROUND($Q76:$AA76,15-13*ORÇAMENTO!$AF$7))))</f>
        <v>161.34</v>
      </c>
      <c r="I76" s="500" t="s">
        <v>1045</v>
      </c>
      <c r="J76" s="633" t="str" cm="1">
        <f t="array" aca="1" ref="J76" ca="1">IF(B76&lt;&gt;"S","",IF(AND(ACOMPANHAMENTO="PLE",AUTOEVENTO="Manual",OR(H76&gt;0,ORÇAMENTO!AC76="QUANT."),OR(K76="",M76=0,N76="")),"►",IF(AND(ACOMPANHAMENTO="PLE",ORÇAMENTO!AC76="QUANT."),"►►",IF(AND(COUNTIF($P$11:$AA$11,"▼")=0,H76&gt;0,I76=""),"◄",""))))</f>
        <v/>
      </c>
      <c r="K76" s="624"/>
      <c r="L76" s="172" t="s">
        <v>253</v>
      </c>
      <c r="M76" s="173">
        <f ca="1">IF($D76&lt;&gt;"Serviço","",
          IF(AUTOEVENTO="manual",$A76,
                IF(ISERROR(MATCH($A76,$A$15:OFFSET($A76,-1,0),0)),MAX($M$15:OFFSET(M76,-1,0))+1,
                      INDEX($M$15:OFFSET(M76,-1,0),MATCH($A76,$A$15:OFFSET($A76,-1,0),0)))))</f>
        <v>10</v>
      </c>
      <c r="N76" s="174" t="str">
        <f ca="1">IF($D76&lt;&gt;"Serviço","",
         IF(AUTOEVENTO="Manual",
                IF($A76=0,"&lt;-- defina o número do agrupador",
                       OFFSET(EVENTOS!$D$15,$A76-$A$15,0)),
                OFFSET($F$15,$A76,0)))</f>
        <v>INSTALAÇÕES ELÉTRICAS</v>
      </c>
      <c r="O76" s="175"/>
      <c r="Q76" s="175">
        <v>161.34</v>
      </c>
      <c r="R76" s="176"/>
      <c r="S76" s="176"/>
      <c r="T76" s="176"/>
      <c r="U76" s="176"/>
      <c r="V76" s="176"/>
      <c r="W76" s="176"/>
      <c r="X76" s="176"/>
      <c r="Y76" s="176"/>
      <c r="Z76" s="177"/>
      <c r="AB76" s="485">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85">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85">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85">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85">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85">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85">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85">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85">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85">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8">
        <f ca="1">IF(OR($D76&lt;&gt;"Serviço",AND(AUTOEVENTO="Manual",$M76=$A$15)),0,
         IF(OFFSET(CRONOPLE!$F$15,$M76-$A$15,AM$13)="",10^12,OFFSET(CRONOPLE!$F$15,$M76-$A$15,AM$13)))</f>
        <v>6</v>
      </c>
      <c r="AN76" s="178">
        <f ca="1">IF(OR($D76&lt;&gt;"Serviço",AND(AUTOEVENTO="Manual",$M76=$A$15)),0,
         IF(OFFSET(CRONOPLE!$F$15,$M76-$A$15,AN$13)="",10^12,OFFSET(CRONOPLE!$F$15,$M76-$A$15,AN$13)))</f>
        <v>1000000000000</v>
      </c>
      <c r="AO76" s="178">
        <f ca="1">IF(OR($D76&lt;&gt;"Serviço",AND(AUTOEVENTO="Manual",$M76=$A$15)),0,
         IF(OFFSET(CRONOPLE!$F$15,$M76-$A$15,AO$13)="",10^12,OFFSET(CRONOPLE!$F$15,$M76-$A$15,AO$13)))</f>
        <v>1000000000000</v>
      </c>
      <c r="AP76" s="178">
        <f ca="1">IF(OR($D76&lt;&gt;"Serviço",AND(AUTOEVENTO="Manual",$M76=$A$15)),0,
         IF(OFFSET(CRONOPLE!$F$15,$M76-$A$15,AP$13)="",10^12,OFFSET(CRONOPLE!$F$15,$M76-$A$15,AP$13)))</f>
        <v>1000000000000</v>
      </c>
      <c r="AQ76" s="178">
        <f ca="1">IF(OR($D76&lt;&gt;"Serviço",AND(AUTOEVENTO="Manual",$M76=$A$15)),0,
         IF(OFFSET(CRONOPLE!$F$15,$M76-$A$15,AQ$13)="",10^12,OFFSET(CRONOPLE!$F$15,$M76-$A$15,AQ$13)))</f>
        <v>1000000000000</v>
      </c>
      <c r="AR76" s="178">
        <f ca="1">IF(OR($D76&lt;&gt;"Serviço",AND(AUTOEVENTO="Manual",$M76=$A$15)),0,
         IF(OFFSET(CRONOPLE!$F$15,$M76-$A$15,AR$13)="",10^12,OFFSET(CRONOPLE!$F$15,$M76-$A$15,AR$13)))</f>
        <v>1000000000000</v>
      </c>
      <c r="AS76" s="178">
        <f ca="1">IF(OR($D76&lt;&gt;"Serviço",AND(AUTOEVENTO="Manual",$M76=$A$15)),0,
         IF(OFFSET(CRONOPLE!$F$15,$M76-$A$15,AS$13)="",10^12,OFFSET(CRONOPLE!$F$15,$M76-$A$15,AS$13)))</f>
        <v>1000000000000</v>
      </c>
      <c r="AT76" s="178">
        <f ca="1">IF(OR($D76&lt;&gt;"Serviço",AND(AUTOEVENTO="Manual",$M76=$A$15)),0,
         IF(OFFSET(CRONOPLE!$F$15,$M76-$A$15,AT$13)="",10^12,OFFSET(CRONOPLE!$F$15,$M76-$A$15,AT$13)))</f>
        <v>1000000000000</v>
      </c>
      <c r="AU76" s="178">
        <f ca="1">IF(OR($D76&lt;&gt;"Serviço",AND(AUTOEVENTO="Manual",$M76=$A$15)),0,
         IF(OFFSET(CRONOPLE!$F$15,$M76-$A$15,AU$13)="",10^12,OFFSET(CRONOPLE!$F$15,$M76-$A$15,AU$13)))</f>
        <v>1000000000000</v>
      </c>
      <c r="AV76" s="178">
        <f ca="1">IF(OR($D76&lt;&gt;"Serviço",AND(AUTOEVENTO="Manual",$M76=$A$15)),0,
         IF(OFFSET(CRONOPLE!$F$15,$M76-$A$15,AV$13)="",10^12,OFFSET(CRONOPLE!$F$15,$M76-$A$15,AV$13)))</f>
        <v>1000000000000</v>
      </c>
      <c r="AX76" s="179">
        <f ca="1">IF(OR($D76&lt;&gt;"Serviço",AND(AUTOEVENTO="Manual",$M76=$A$15),$M76&gt;(ROW(PLE.lastrow)-ROW(PLE.firstrow))),0,
           IF(OFFSET(PLE!$G$15,$M76-$A$15,AX$13)="",10^12,OFFSET(PLE!$G$15,$M76-$A$15,AX$13)))</f>
        <v>1000000000000</v>
      </c>
      <c r="AY76" s="179">
        <f ca="1">IF(OR($D76&lt;&gt;"Serviço",AND(AUTOEVENTO="Manual",$M76=$A$15),$M76&gt;(ROW(PLE.lastrow)-ROW(PLE.firstrow))),0,
           IF(OFFSET(PLE!$G$15,$M76-$A$15,AY$13)="",10^12,OFFSET(PLE!$G$15,$M76-$A$15,AY$13)))</f>
        <v>1000000000000</v>
      </c>
      <c r="AZ76" s="179">
        <f ca="1">IF(OR($D76&lt;&gt;"Serviço",AND(AUTOEVENTO="Manual",$M76=$A$15),$M76&gt;(ROW(PLE.lastrow)-ROW(PLE.firstrow))),0,
           IF(OFFSET(PLE!$G$15,$M76-$A$15,AZ$13)="",10^12,OFFSET(PLE!$G$15,$M76-$A$15,AZ$13)))</f>
        <v>1000000000000</v>
      </c>
      <c r="BA76" s="179">
        <f ca="1">IF(OR($D76&lt;&gt;"Serviço",AND(AUTOEVENTO="Manual",$M76=$A$15),$M76&gt;(ROW(PLE.lastrow)-ROW(PLE.firstrow))),0,
           IF(OFFSET(PLE!$G$15,$M76-$A$15,BA$13)="",10^12,OFFSET(PLE!$G$15,$M76-$A$15,BA$13)))</f>
        <v>1000000000000</v>
      </c>
      <c r="BB76" s="179">
        <f ca="1">IF(OR($D76&lt;&gt;"Serviço",AND(AUTOEVENTO="Manual",$M76=$A$15),$M76&gt;(ROW(PLE.lastrow)-ROW(PLE.firstrow))),0,
           IF(OFFSET(PLE!$G$15,$M76-$A$15,BB$13)="",10^12,OFFSET(PLE!$G$15,$M76-$A$15,BB$13)))</f>
        <v>1000000000000</v>
      </c>
      <c r="BC76" s="179">
        <f ca="1">IF(OR($D76&lt;&gt;"Serviço",AND(AUTOEVENTO="Manual",$M76=$A$15),$M76&gt;(ROW(PLE.lastrow)-ROW(PLE.firstrow))),0,
           IF(OFFSET(PLE!$G$15,$M76-$A$15,BC$13)="",10^12,OFFSET(PLE!$G$15,$M76-$A$15,BC$13)))</f>
        <v>1000000000000</v>
      </c>
      <c r="BD76" s="179">
        <f ca="1">IF(OR($D76&lt;&gt;"Serviço",AND(AUTOEVENTO="Manual",$M76=$A$15),$M76&gt;(ROW(PLE.lastrow)-ROW(PLE.firstrow))),0,
           IF(OFFSET(PLE!$G$15,$M76-$A$15,BD$13)="",10^12,OFFSET(PLE!$G$15,$M76-$A$15,BD$13)))</f>
        <v>1000000000000</v>
      </c>
      <c r="BE76" s="179">
        <f ca="1">IF(OR($D76&lt;&gt;"Serviço",AND(AUTOEVENTO="Manual",$M76=$A$15),$M76&gt;(ROW(PLE.lastrow)-ROW(PLE.firstrow))),0,
           IF(OFFSET(PLE!$G$15,$M76-$A$15,BE$13)="",10^12,OFFSET(PLE!$G$15,$M76-$A$15,BE$13)))</f>
        <v>1000000000000</v>
      </c>
      <c r="BF76" s="179">
        <f ca="1">IF(OR($D76&lt;&gt;"Serviço",AND(AUTOEVENTO="Manual",$M76=$A$15),$M76&gt;(ROW(PLE.lastrow)-ROW(PLE.firstrow))),0,
           IF(OFFSET(PLE!$G$15,$M76-$A$15,BF$13)="",10^12,OFFSET(PLE!$G$15,$M76-$A$15,BF$13)))</f>
        <v>1000000000000</v>
      </c>
      <c r="BG76" s="179">
        <f ca="1">IF(OR($D76&lt;&gt;"Serviço",AND(AUTOEVENTO="Manual",$M76=$A$15),$M76&gt;(ROW(PLE.lastrow)-ROW(PLE.firstrow))),0,
           IF(OFFSET(PLE!$G$15,$M76-$A$15,BG$13)="",10^12,OFFSET(PLE!$G$15,$M76-$A$15,BG$13)))</f>
        <v>1000000000000</v>
      </c>
    </row>
    <row r="77" spans="1:59" ht="38.25" x14ac:dyDescent="0.2">
      <c r="A77" s="7" t="str">
        <f ca="1">IF(AUTOEVENTO="Manual",IF(K77&lt;&gt;"",MIN(VALUE(LEFT(K77,FIND(".",K77)-1)),COUNTA(EVENTOS.Lista)),0),IF(OR($B77&gt;AUTOEVENTO,$B77="S",$B77=0),SUBSTITUTE(OFFSET($A77,-1,0),IF($D77="Serviço",".",""),""),ROW(A77)-ROW($A$15)&amp;"."))</f>
        <v>56</v>
      </c>
      <c r="B77" s="7" t="str">
        <f ca="1">OFFSET(ORÇAMENTO!C$15,ROW(B77)-ROW(B$15),0)</f>
        <v>S</v>
      </c>
      <c r="C77" s="7" t="str">
        <f ca="1">OFFSET(ORÇAMENTO!L$15,ROW(C77)-ROW(C$15),0)</f>
        <v/>
      </c>
      <c r="D77" s="118" t="str">
        <f ca="1">OFFSET(ORÇAMENTO!N$15,ROW(D77)-ROW(D$15),0)</f>
        <v>Serviço</v>
      </c>
      <c r="E77" s="119" t="str">
        <f ca="1">OFFSET(ORÇAMENTO!O$15,ROW(E77)-ROW(E$15),0)</f>
        <v>-</v>
      </c>
      <c r="F77" s="170" t="str">
        <f ca="1">OFFSET(ORÇAMENTO!R$15,ROW(F77)-ROW(F$15),0)</f>
        <v>(abra o arquivo 'Referência 04-2026.xlsm)</v>
      </c>
      <c r="G77" s="171" t="str">
        <f ca="1">IF($D77&lt;&gt;"Serviço","",OFFSET(ORÇAMENTO!S$15,ROW(G77)-ROW(G$15),0))</f>
        <v>-</v>
      </c>
      <c r="H77" s="124" cm="1">
        <f t="array" aca="1" ref="H77" ca="1">IF($D77&lt;&gt;"Serviço",0,IF(_xlfn.SINGLE(ACOMPANHAMENTO)="BM",ROUND(OFFSET(ORÇAMENTO!AJ$15,ROW(H77)-ROW(H$15),0),15-13*ORÇAMENTO!$AF$7),SUMPRODUCT(($Q$1:$AA$1)*ROUND($Q77:$AA77,15-13*ORÇAMENTO!$AF$7))))</f>
        <v>48.7</v>
      </c>
      <c r="I77" s="500" t="s">
        <v>1046</v>
      </c>
      <c r="J77" s="633" t="str" cm="1">
        <f t="array" aca="1" ref="J77" ca="1">IF(B77&lt;&gt;"S","",IF(AND(ACOMPANHAMENTO="PLE",AUTOEVENTO="Manual",OR(H77&gt;0,ORÇAMENTO!AC77="QUANT."),OR(K77="",M77=0,N77="")),"►",IF(AND(ACOMPANHAMENTO="PLE",ORÇAMENTO!AC77="QUANT."),"►►",IF(AND(COUNTIF($P$11:$AA$11,"▼")=0,H77&gt;0,I77=""),"◄",""))))</f>
        <v/>
      </c>
      <c r="K77" s="624"/>
      <c r="L77" s="172" t="s">
        <v>253</v>
      </c>
      <c r="M77" s="173">
        <f ca="1">IF($D77&lt;&gt;"Serviço","",
          IF(AUTOEVENTO="manual",$A77,
                IF(ISERROR(MATCH($A77,$A$15:OFFSET($A77,-1,0),0)),MAX($M$15:OFFSET(M77,-1,0))+1,
                      INDEX($M$15:OFFSET(M77,-1,0),MATCH($A77,$A$15:OFFSET($A77,-1,0),0)))))</f>
        <v>10</v>
      </c>
      <c r="N77" s="174" t="str">
        <f ca="1">IF($D77&lt;&gt;"Serviço","",
         IF(AUTOEVENTO="Manual",
                IF($A77=0,"&lt;-- defina o número do agrupador",
                       OFFSET(EVENTOS!$D$15,$A77-$A$15,0)),
                OFFSET($F$15,$A77,0)))</f>
        <v>INSTALAÇÕES ELÉTRICAS</v>
      </c>
      <c r="O77" s="175"/>
      <c r="Q77" s="175">
        <v>48.7</v>
      </c>
      <c r="R77" s="176"/>
      <c r="S77" s="176"/>
      <c r="T77" s="176"/>
      <c r="U77" s="176"/>
      <c r="V77" s="176"/>
      <c r="W77" s="176"/>
      <c r="X77" s="176"/>
      <c r="Y77" s="176"/>
      <c r="Z77" s="177"/>
      <c r="AB77" s="485">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85">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85">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85">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85">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85">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85">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85">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85">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85">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8">
        <f ca="1">IF(OR($D77&lt;&gt;"Serviço",AND(AUTOEVENTO="Manual",$M77=$A$15)),0,
         IF(OFFSET(CRONOPLE!$F$15,$M77-$A$15,AM$13)="",10^12,OFFSET(CRONOPLE!$F$15,$M77-$A$15,AM$13)))</f>
        <v>6</v>
      </c>
      <c r="AN77" s="178">
        <f ca="1">IF(OR($D77&lt;&gt;"Serviço",AND(AUTOEVENTO="Manual",$M77=$A$15)),0,
         IF(OFFSET(CRONOPLE!$F$15,$M77-$A$15,AN$13)="",10^12,OFFSET(CRONOPLE!$F$15,$M77-$A$15,AN$13)))</f>
        <v>1000000000000</v>
      </c>
      <c r="AO77" s="178">
        <f ca="1">IF(OR($D77&lt;&gt;"Serviço",AND(AUTOEVENTO="Manual",$M77=$A$15)),0,
         IF(OFFSET(CRONOPLE!$F$15,$M77-$A$15,AO$13)="",10^12,OFFSET(CRONOPLE!$F$15,$M77-$A$15,AO$13)))</f>
        <v>1000000000000</v>
      </c>
      <c r="AP77" s="178">
        <f ca="1">IF(OR($D77&lt;&gt;"Serviço",AND(AUTOEVENTO="Manual",$M77=$A$15)),0,
         IF(OFFSET(CRONOPLE!$F$15,$M77-$A$15,AP$13)="",10^12,OFFSET(CRONOPLE!$F$15,$M77-$A$15,AP$13)))</f>
        <v>1000000000000</v>
      </c>
      <c r="AQ77" s="178">
        <f ca="1">IF(OR($D77&lt;&gt;"Serviço",AND(AUTOEVENTO="Manual",$M77=$A$15)),0,
         IF(OFFSET(CRONOPLE!$F$15,$M77-$A$15,AQ$13)="",10^12,OFFSET(CRONOPLE!$F$15,$M77-$A$15,AQ$13)))</f>
        <v>1000000000000</v>
      </c>
      <c r="AR77" s="178">
        <f ca="1">IF(OR($D77&lt;&gt;"Serviço",AND(AUTOEVENTO="Manual",$M77=$A$15)),0,
         IF(OFFSET(CRONOPLE!$F$15,$M77-$A$15,AR$13)="",10^12,OFFSET(CRONOPLE!$F$15,$M77-$A$15,AR$13)))</f>
        <v>1000000000000</v>
      </c>
      <c r="AS77" s="178">
        <f ca="1">IF(OR($D77&lt;&gt;"Serviço",AND(AUTOEVENTO="Manual",$M77=$A$15)),0,
         IF(OFFSET(CRONOPLE!$F$15,$M77-$A$15,AS$13)="",10^12,OFFSET(CRONOPLE!$F$15,$M77-$A$15,AS$13)))</f>
        <v>1000000000000</v>
      </c>
      <c r="AT77" s="178">
        <f ca="1">IF(OR($D77&lt;&gt;"Serviço",AND(AUTOEVENTO="Manual",$M77=$A$15)),0,
         IF(OFFSET(CRONOPLE!$F$15,$M77-$A$15,AT$13)="",10^12,OFFSET(CRONOPLE!$F$15,$M77-$A$15,AT$13)))</f>
        <v>1000000000000</v>
      </c>
      <c r="AU77" s="178">
        <f ca="1">IF(OR($D77&lt;&gt;"Serviço",AND(AUTOEVENTO="Manual",$M77=$A$15)),0,
         IF(OFFSET(CRONOPLE!$F$15,$M77-$A$15,AU$13)="",10^12,OFFSET(CRONOPLE!$F$15,$M77-$A$15,AU$13)))</f>
        <v>1000000000000</v>
      </c>
      <c r="AV77" s="178">
        <f ca="1">IF(OR($D77&lt;&gt;"Serviço",AND(AUTOEVENTO="Manual",$M77=$A$15)),0,
         IF(OFFSET(CRONOPLE!$F$15,$M77-$A$15,AV$13)="",10^12,OFFSET(CRONOPLE!$F$15,$M77-$A$15,AV$13)))</f>
        <v>1000000000000</v>
      </c>
      <c r="AX77" s="179">
        <f ca="1">IF(OR($D77&lt;&gt;"Serviço",AND(AUTOEVENTO="Manual",$M77=$A$15),$M77&gt;(ROW(PLE.lastrow)-ROW(PLE.firstrow))),0,
           IF(OFFSET(PLE!$G$15,$M77-$A$15,AX$13)="",10^12,OFFSET(PLE!$G$15,$M77-$A$15,AX$13)))</f>
        <v>1000000000000</v>
      </c>
      <c r="AY77" s="179">
        <f ca="1">IF(OR($D77&lt;&gt;"Serviço",AND(AUTOEVENTO="Manual",$M77=$A$15),$M77&gt;(ROW(PLE.lastrow)-ROW(PLE.firstrow))),0,
           IF(OFFSET(PLE!$G$15,$M77-$A$15,AY$13)="",10^12,OFFSET(PLE!$G$15,$M77-$A$15,AY$13)))</f>
        <v>1000000000000</v>
      </c>
      <c r="AZ77" s="179">
        <f ca="1">IF(OR($D77&lt;&gt;"Serviço",AND(AUTOEVENTO="Manual",$M77=$A$15),$M77&gt;(ROW(PLE.lastrow)-ROW(PLE.firstrow))),0,
           IF(OFFSET(PLE!$G$15,$M77-$A$15,AZ$13)="",10^12,OFFSET(PLE!$G$15,$M77-$A$15,AZ$13)))</f>
        <v>1000000000000</v>
      </c>
      <c r="BA77" s="179">
        <f ca="1">IF(OR($D77&lt;&gt;"Serviço",AND(AUTOEVENTO="Manual",$M77=$A$15),$M77&gt;(ROW(PLE.lastrow)-ROW(PLE.firstrow))),0,
           IF(OFFSET(PLE!$G$15,$M77-$A$15,BA$13)="",10^12,OFFSET(PLE!$G$15,$M77-$A$15,BA$13)))</f>
        <v>1000000000000</v>
      </c>
      <c r="BB77" s="179">
        <f ca="1">IF(OR($D77&lt;&gt;"Serviço",AND(AUTOEVENTO="Manual",$M77=$A$15),$M77&gt;(ROW(PLE.lastrow)-ROW(PLE.firstrow))),0,
           IF(OFFSET(PLE!$G$15,$M77-$A$15,BB$13)="",10^12,OFFSET(PLE!$G$15,$M77-$A$15,BB$13)))</f>
        <v>1000000000000</v>
      </c>
      <c r="BC77" s="179">
        <f ca="1">IF(OR($D77&lt;&gt;"Serviço",AND(AUTOEVENTO="Manual",$M77=$A$15),$M77&gt;(ROW(PLE.lastrow)-ROW(PLE.firstrow))),0,
           IF(OFFSET(PLE!$G$15,$M77-$A$15,BC$13)="",10^12,OFFSET(PLE!$G$15,$M77-$A$15,BC$13)))</f>
        <v>1000000000000</v>
      </c>
      <c r="BD77" s="179">
        <f ca="1">IF(OR($D77&lt;&gt;"Serviço",AND(AUTOEVENTO="Manual",$M77=$A$15),$M77&gt;(ROW(PLE.lastrow)-ROW(PLE.firstrow))),0,
           IF(OFFSET(PLE!$G$15,$M77-$A$15,BD$13)="",10^12,OFFSET(PLE!$G$15,$M77-$A$15,BD$13)))</f>
        <v>1000000000000</v>
      </c>
      <c r="BE77" s="179">
        <f ca="1">IF(OR($D77&lt;&gt;"Serviço",AND(AUTOEVENTO="Manual",$M77=$A$15),$M77&gt;(ROW(PLE.lastrow)-ROW(PLE.firstrow))),0,
           IF(OFFSET(PLE!$G$15,$M77-$A$15,BE$13)="",10^12,OFFSET(PLE!$G$15,$M77-$A$15,BE$13)))</f>
        <v>1000000000000</v>
      </c>
      <c r="BF77" s="179">
        <f ca="1">IF(OR($D77&lt;&gt;"Serviço",AND(AUTOEVENTO="Manual",$M77=$A$15),$M77&gt;(ROW(PLE.lastrow)-ROW(PLE.firstrow))),0,
           IF(OFFSET(PLE!$G$15,$M77-$A$15,BF$13)="",10^12,OFFSET(PLE!$G$15,$M77-$A$15,BF$13)))</f>
        <v>1000000000000</v>
      </c>
      <c r="BG77" s="179">
        <f ca="1">IF(OR($D77&lt;&gt;"Serviço",AND(AUTOEVENTO="Manual",$M77=$A$15),$M77&gt;(ROW(PLE.lastrow)-ROW(PLE.firstrow))),0,
           IF(OFFSET(PLE!$G$15,$M77-$A$15,BG$13)="",10^12,OFFSET(PLE!$G$15,$M77-$A$15,BG$13)))</f>
        <v>1000000000000</v>
      </c>
    </row>
    <row r="78" spans="1:59" ht="12.75" x14ac:dyDescent="0.2">
      <c r="A78" s="7" t="str">
        <f ca="1">IF(AUTOEVENTO="Manual",IF(K78&lt;&gt;"",MIN(VALUE(LEFT(K78,FIND(".",K78)-1)),COUNTA(EVENTOS.Lista)),0),IF(OR($B78&gt;AUTOEVENTO,$B78="S",$B78=0),SUBSTITUTE(OFFSET($A78,-1,0),IF($D78="Serviço",".",""),""),ROW(A78)-ROW($A$15)&amp;"."))</f>
        <v>56</v>
      </c>
      <c r="B78" s="7" t="str">
        <f ca="1">OFFSET(ORÇAMENTO!C$15,ROW(B78)-ROW(B$15),0)</f>
        <v>S</v>
      </c>
      <c r="C78" s="7" t="str">
        <f ca="1">OFFSET(ORÇAMENTO!L$15,ROW(C78)-ROW(C$15),0)</f>
        <v/>
      </c>
      <c r="D78" s="118" t="str">
        <f ca="1">OFFSET(ORÇAMENTO!N$15,ROW(D78)-ROW(D$15),0)</f>
        <v>Serviço</v>
      </c>
      <c r="E78" s="119" t="str">
        <f ca="1">OFFSET(ORÇAMENTO!O$15,ROW(E78)-ROW(E$15),0)</f>
        <v>-</v>
      </c>
      <c r="F78" s="170" t="str">
        <f ca="1">OFFSET(ORÇAMENTO!R$15,ROW(F78)-ROW(F$15),0)</f>
        <v>(abra o arquivo 'Referência 04-2026.xlsm)</v>
      </c>
      <c r="G78" s="171" t="str">
        <f ca="1">IF($D78&lt;&gt;"Serviço","",OFFSET(ORÇAMENTO!S$15,ROW(G78)-ROW(G$15),0))</f>
        <v>-</v>
      </c>
      <c r="H78" s="124" cm="1">
        <f t="array" aca="1" ref="H78" ca="1">IF($D78&lt;&gt;"Serviço",0,IF(_xlfn.SINGLE(ACOMPANHAMENTO)="BM",ROUND(OFFSET(ORÇAMENTO!AJ$15,ROW(H78)-ROW(H$15),0),15-13*ORÇAMENTO!$AF$7),SUMPRODUCT(($Q$1:$AA$1)*ROUND($Q78:$AA78,15-13*ORÇAMENTO!$AF$7))))</f>
        <v>102</v>
      </c>
      <c r="I78" s="500" t="s">
        <v>1047</v>
      </c>
      <c r="J78" s="633" t="str" cm="1">
        <f t="array" aca="1" ref="J78" ca="1">IF(B78&lt;&gt;"S","",IF(AND(ACOMPANHAMENTO="PLE",AUTOEVENTO="Manual",OR(H78&gt;0,ORÇAMENTO!AC78="QUANT."),OR(K78="",M78=0,N78="")),"►",IF(AND(ACOMPANHAMENTO="PLE",ORÇAMENTO!AC78="QUANT."),"►►",IF(AND(COUNTIF($P$11:$AA$11,"▼")=0,H78&gt;0,I78=""),"◄",""))))</f>
        <v/>
      </c>
      <c r="K78" s="624"/>
      <c r="L78" s="172" t="s">
        <v>253</v>
      </c>
      <c r="M78" s="173">
        <f ca="1">IF($D78&lt;&gt;"Serviço","",
          IF(AUTOEVENTO="manual",$A78,
                IF(ISERROR(MATCH($A78,$A$15:OFFSET($A78,-1,0),0)),MAX($M$15:OFFSET(M78,-1,0))+1,
                      INDEX($M$15:OFFSET(M78,-1,0),MATCH($A78,$A$15:OFFSET($A78,-1,0),0)))))</f>
        <v>10</v>
      </c>
      <c r="N78" s="174" t="str">
        <f ca="1">IF($D78&lt;&gt;"Serviço","",
         IF(AUTOEVENTO="Manual",
                IF($A78=0,"&lt;-- defina o número do agrupador",
                       OFFSET(EVENTOS!$D$15,$A78-$A$15,0)),
                OFFSET($F$15,$A78,0)))</f>
        <v>INSTALAÇÕES ELÉTRICAS</v>
      </c>
      <c r="O78" s="175"/>
      <c r="Q78" s="175">
        <v>102</v>
      </c>
      <c r="R78" s="176"/>
      <c r="S78" s="176"/>
      <c r="T78" s="176"/>
      <c r="U78" s="176"/>
      <c r="V78" s="176"/>
      <c r="W78" s="176"/>
      <c r="X78" s="176"/>
      <c r="Y78" s="176"/>
      <c r="Z78" s="177"/>
      <c r="AB78" s="485">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85">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85">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85">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85">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85">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85">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85">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85">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85">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8">
        <f ca="1">IF(OR($D78&lt;&gt;"Serviço",AND(AUTOEVENTO="Manual",$M78=$A$15)),0,
         IF(OFFSET(CRONOPLE!$F$15,$M78-$A$15,AM$13)="",10^12,OFFSET(CRONOPLE!$F$15,$M78-$A$15,AM$13)))</f>
        <v>6</v>
      </c>
      <c r="AN78" s="178">
        <f ca="1">IF(OR($D78&lt;&gt;"Serviço",AND(AUTOEVENTO="Manual",$M78=$A$15)),0,
         IF(OFFSET(CRONOPLE!$F$15,$M78-$A$15,AN$13)="",10^12,OFFSET(CRONOPLE!$F$15,$M78-$A$15,AN$13)))</f>
        <v>1000000000000</v>
      </c>
      <c r="AO78" s="178">
        <f ca="1">IF(OR($D78&lt;&gt;"Serviço",AND(AUTOEVENTO="Manual",$M78=$A$15)),0,
         IF(OFFSET(CRONOPLE!$F$15,$M78-$A$15,AO$13)="",10^12,OFFSET(CRONOPLE!$F$15,$M78-$A$15,AO$13)))</f>
        <v>1000000000000</v>
      </c>
      <c r="AP78" s="178">
        <f ca="1">IF(OR($D78&lt;&gt;"Serviço",AND(AUTOEVENTO="Manual",$M78=$A$15)),0,
         IF(OFFSET(CRONOPLE!$F$15,$M78-$A$15,AP$13)="",10^12,OFFSET(CRONOPLE!$F$15,$M78-$A$15,AP$13)))</f>
        <v>1000000000000</v>
      </c>
      <c r="AQ78" s="178">
        <f ca="1">IF(OR($D78&lt;&gt;"Serviço",AND(AUTOEVENTO="Manual",$M78=$A$15)),0,
         IF(OFFSET(CRONOPLE!$F$15,$M78-$A$15,AQ$13)="",10^12,OFFSET(CRONOPLE!$F$15,$M78-$A$15,AQ$13)))</f>
        <v>1000000000000</v>
      </c>
      <c r="AR78" s="178">
        <f ca="1">IF(OR($D78&lt;&gt;"Serviço",AND(AUTOEVENTO="Manual",$M78=$A$15)),0,
         IF(OFFSET(CRONOPLE!$F$15,$M78-$A$15,AR$13)="",10^12,OFFSET(CRONOPLE!$F$15,$M78-$A$15,AR$13)))</f>
        <v>1000000000000</v>
      </c>
      <c r="AS78" s="178">
        <f ca="1">IF(OR($D78&lt;&gt;"Serviço",AND(AUTOEVENTO="Manual",$M78=$A$15)),0,
         IF(OFFSET(CRONOPLE!$F$15,$M78-$A$15,AS$13)="",10^12,OFFSET(CRONOPLE!$F$15,$M78-$A$15,AS$13)))</f>
        <v>1000000000000</v>
      </c>
      <c r="AT78" s="178">
        <f ca="1">IF(OR($D78&lt;&gt;"Serviço",AND(AUTOEVENTO="Manual",$M78=$A$15)),0,
         IF(OFFSET(CRONOPLE!$F$15,$M78-$A$15,AT$13)="",10^12,OFFSET(CRONOPLE!$F$15,$M78-$A$15,AT$13)))</f>
        <v>1000000000000</v>
      </c>
      <c r="AU78" s="178">
        <f ca="1">IF(OR($D78&lt;&gt;"Serviço",AND(AUTOEVENTO="Manual",$M78=$A$15)),0,
         IF(OFFSET(CRONOPLE!$F$15,$M78-$A$15,AU$13)="",10^12,OFFSET(CRONOPLE!$F$15,$M78-$A$15,AU$13)))</f>
        <v>1000000000000</v>
      </c>
      <c r="AV78" s="178">
        <f ca="1">IF(OR($D78&lt;&gt;"Serviço",AND(AUTOEVENTO="Manual",$M78=$A$15)),0,
         IF(OFFSET(CRONOPLE!$F$15,$M78-$A$15,AV$13)="",10^12,OFFSET(CRONOPLE!$F$15,$M78-$A$15,AV$13)))</f>
        <v>1000000000000</v>
      </c>
      <c r="AX78" s="179">
        <f ca="1">IF(OR($D78&lt;&gt;"Serviço",AND(AUTOEVENTO="Manual",$M78=$A$15),$M78&gt;(ROW(PLE.lastrow)-ROW(PLE.firstrow))),0,
           IF(OFFSET(PLE!$G$15,$M78-$A$15,AX$13)="",10^12,OFFSET(PLE!$G$15,$M78-$A$15,AX$13)))</f>
        <v>1000000000000</v>
      </c>
      <c r="AY78" s="179">
        <f ca="1">IF(OR($D78&lt;&gt;"Serviço",AND(AUTOEVENTO="Manual",$M78=$A$15),$M78&gt;(ROW(PLE.lastrow)-ROW(PLE.firstrow))),0,
           IF(OFFSET(PLE!$G$15,$M78-$A$15,AY$13)="",10^12,OFFSET(PLE!$G$15,$M78-$A$15,AY$13)))</f>
        <v>1000000000000</v>
      </c>
      <c r="AZ78" s="179">
        <f ca="1">IF(OR($D78&lt;&gt;"Serviço",AND(AUTOEVENTO="Manual",$M78=$A$15),$M78&gt;(ROW(PLE.lastrow)-ROW(PLE.firstrow))),0,
           IF(OFFSET(PLE!$G$15,$M78-$A$15,AZ$13)="",10^12,OFFSET(PLE!$G$15,$M78-$A$15,AZ$13)))</f>
        <v>1000000000000</v>
      </c>
      <c r="BA78" s="179">
        <f ca="1">IF(OR($D78&lt;&gt;"Serviço",AND(AUTOEVENTO="Manual",$M78=$A$15),$M78&gt;(ROW(PLE.lastrow)-ROW(PLE.firstrow))),0,
           IF(OFFSET(PLE!$G$15,$M78-$A$15,BA$13)="",10^12,OFFSET(PLE!$G$15,$M78-$A$15,BA$13)))</f>
        <v>1000000000000</v>
      </c>
      <c r="BB78" s="179">
        <f ca="1">IF(OR($D78&lt;&gt;"Serviço",AND(AUTOEVENTO="Manual",$M78=$A$15),$M78&gt;(ROW(PLE.lastrow)-ROW(PLE.firstrow))),0,
           IF(OFFSET(PLE!$G$15,$M78-$A$15,BB$13)="",10^12,OFFSET(PLE!$G$15,$M78-$A$15,BB$13)))</f>
        <v>1000000000000</v>
      </c>
      <c r="BC78" s="179">
        <f ca="1">IF(OR($D78&lt;&gt;"Serviço",AND(AUTOEVENTO="Manual",$M78=$A$15),$M78&gt;(ROW(PLE.lastrow)-ROW(PLE.firstrow))),0,
           IF(OFFSET(PLE!$G$15,$M78-$A$15,BC$13)="",10^12,OFFSET(PLE!$G$15,$M78-$A$15,BC$13)))</f>
        <v>1000000000000</v>
      </c>
      <c r="BD78" s="179">
        <f ca="1">IF(OR($D78&lt;&gt;"Serviço",AND(AUTOEVENTO="Manual",$M78=$A$15),$M78&gt;(ROW(PLE.lastrow)-ROW(PLE.firstrow))),0,
           IF(OFFSET(PLE!$G$15,$M78-$A$15,BD$13)="",10^12,OFFSET(PLE!$G$15,$M78-$A$15,BD$13)))</f>
        <v>1000000000000</v>
      </c>
      <c r="BE78" s="179">
        <f ca="1">IF(OR($D78&lt;&gt;"Serviço",AND(AUTOEVENTO="Manual",$M78=$A$15),$M78&gt;(ROW(PLE.lastrow)-ROW(PLE.firstrow))),0,
           IF(OFFSET(PLE!$G$15,$M78-$A$15,BE$13)="",10^12,OFFSET(PLE!$G$15,$M78-$A$15,BE$13)))</f>
        <v>1000000000000</v>
      </c>
      <c r="BF78" s="179">
        <f ca="1">IF(OR($D78&lt;&gt;"Serviço",AND(AUTOEVENTO="Manual",$M78=$A$15),$M78&gt;(ROW(PLE.lastrow)-ROW(PLE.firstrow))),0,
           IF(OFFSET(PLE!$G$15,$M78-$A$15,BF$13)="",10^12,OFFSET(PLE!$G$15,$M78-$A$15,BF$13)))</f>
        <v>1000000000000</v>
      </c>
      <c r="BG78" s="179">
        <f ca="1">IF(OR($D78&lt;&gt;"Serviço",AND(AUTOEVENTO="Manual",$M78=$A$15),$M78&gt;(ROW(PLE.lastrow)-ROW(PLE.firstrow))),0,
           IF(OFFSET(PLE!$G$15,$M78-$A$15,BG$13)="",10^12,OFFSET(PLE!$G$15,$M78-$A$15,BG$13)))</f>
        <v>1000000000000</v>
      </c>
    </row>
    <row r="79" spans="1:59" ht="25.5" x14ac:dyDescent="0.2">
      <c r="A79" s="7" t="str">
        <f ca="1">IF(AUTOEVENTO="Manual",IF(K79&lt;&gt;"",MIN(VALUE(LEFT(K79,FIND(".",K79)-1)),COUNTA(EVENTOS.Lista)),0),IF(OR($B79&gt;AUTOEVENTO,$B79="S",$B79=0),SUBSTITUTE(OFFSET($A79,-1,0),IF($D79="Serviço",".",""),""),ROW(A79)-ROW($A$15)&amp;"."))</f>
        <v>56</v>
      </c>
      <c r="B79" s="7" t="str">
        <f ca="1">OFFSET(ORÇAMENTO!C$15,ROW(B79)-ROW(B$15),0)</f>
        <v>S</v>
      </c>
      <c r="C79" s="7" t="str">
        <f ca="1">OFFSET(ORÇAMENTO!L$15,ROW(C79)-ROW(C$15),0)</f>
        <v/>
      </c>
      <c r="D79" s="118" t="str">
        <f ca="1">OFFSET(ORÇAMENTO!N$15,ROW(D79)-ROW(D$15),0)</f>
        <v>Serviço</v>
      </c>
      <c r="E79" s="119" t="str">
        <f ca="1">OFFSET(ORÇAMENTO!O$15,ROW(E79)-ROW(E$15),0)</f>
        <v>-</v>
      </c>
      <c r="F79" s="170" t="str">
        <f ca="1">OFFSET(ORÇAMENTO!R$15,ROW(F79)-ROW(F$15),0)</f>
        <v>(abra o arquivo 'Referência 04-2026.xlsm)</v>
      </c>
      <c r="G79" s="171" t="str">
        <f ca="1">IF($D79&lt;&gt;"Serviço","",OFFSET(ORÇAMENTO!S$15,ROW(G79)-ROW(G$15),0))</f>
        <v>-</v>
      </c>
      <c r="H79" s="124" cm="1">
        <f t="array" aca="1" ref="H79" ca="1">IF($D79&lt;&gt;"Serviço",0,IF(_xlfn.SINGLE(ACOMPANHAMENTO)="BM",ROUND(OFFSET(ORÇAMENTO!AJ$15,ROW(H79)-ROW(H$15),0),15-13*ORÇAMENTO!$AF$7),SUMPRODUCT(($Q$1:$AA$1)*ROUND($Q79:$AA79,15-13*ORÇAMENTO!$AF$7))))</f>
        <v>13</v>
      </c>
      <c r="I79" s="500" t="s">
        <v>1043</v>
      </c>
      <c r="J79" s="633" t="str" cm="1">
        <f t="array" aca="1" ref="J79" ca="1">IF(B79&lt;&gt;"S","",IF(AND(ACOMPANHAMENTO="PLE",AUTOEVENTO="Manual",OR(H79&gt;0,ORÇAMENTO!AC79="QUANT."),OR(K79="",M79=0,N79="")),"►",IF(AND(ACOMPANHAMENTO="PLE",ORÇAMENTO!AC79="QUANT."),"►►",IF(AND(COUNTIF($P$11:$AA$11,"▼")=0,H79&gt;0,I79=""),"◄",""))))</f>
        <v/>
      </c>
      <c r="K79" s="624"/>
      <c r="L79" s="172" t="s">
        <v>253</v>
      </c>
      <c r="M79" s="173">
        <f ca="1">IF($D79&lt;&gt;"Serviço","",
          IF(AUTOEVENTO="manual",$A79,
                IF(ISERROR(MATCH($A79,$A$15:OFFSET($A79,-1,0),0)),MAX($M$15:OFFSET(M79,-1,0))+1,
                      INDEX($M$15:OFFSET(M79,-1,0),MATCH($A79,$A$15:OFFSET($A79,-1,0),0)))))</f>
        <v>10</v>
      </c>
      <c r="N79" s="174" t="str">
        <f ca="1">IF($D79&lt;&gt;"Serviço","",
         IF(AUTOEVENTO="Manual",
                IF($A79=0,"&lt;-- defina o número do agrupador",
                       OFFSET(EVENTOS!$D$15,$A79-$A$15,0)),
                OFFSET($F$15,$A79,0)))</f>
        <v>INSTALAÇÕES ELÉTRICAS</v>
      </c>
      <c r="O79" s="175"/>
      <c r="Q79" s="175">
        <v>13</v>
      </c>
      <c r="R79" s="176"/>
      <c r="S79" s="176"/>
      <c r="T79" s="176"/>
      <c r="U79" s="176"/>
      <c r="V79" s="176"/>
      <c r="W79" s="176"/>
      <c r="X79" s="176"/>
      <c r="Y79" s="176"/>
      <c r="Z79" s="177"/>
      <c r="AB79" s="485">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85">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85">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85">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85">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85">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85">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85">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85">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85">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8">
        <f ca="1">IF(OR($D79&lt;&gt;"Serviço",AND(AUTOEVENTO="Manual",$M79=$A$15)),0,
         IF(OFFSET(CRONOPLE!$F$15,$M79-$A$15,AM$13)="",10^12,OFFSET(CRONOPLE!$F$15,$M79-$A$15,AM$13)))</f>
        <v>6</v>
      </c>
      <c r="AN79" s="178">
        <f ca="1">IF(OR($D79&lt;&gt;"Serviço",AND(AUTOEVENTO="Manual",$M79=$A$15)),0,
         IF(OFFSET(CRONOPLE!$F$15,$M79-$A$15,AN$13)="",10^12,OFFSET(CRONOPLE!$F$15,$M79-$A$15,AN$13)))</f>
        <v>1000000000000</v>
      </c>
      <c r="AO79" s="178">
        <f ca="1">IF(OR($D79&lt;&gt;"Serviço",AND(AUTOEVENTO="Manual",$M79=$A$15)),0,
         IF(OFFSET(CRONOPLE!$F$15,$M79-$A$15,AO$13)="",10^12,OFFSET(CRONOPLE!$F$15,$M79-$A$15,AO$13)))</f>
        <v>1000000000000</v>
      </c>
      <c r="AP79" s="178">
        <f ca="1">IF(OR($D79&lt;&gt;"Serviço",AND(AUTOEVENTO="Manual",$M79=$A$15)),0,
         IF(OFFSET(CRONOPLE!$F$15,$M79-$A$15,AP$13)="",10^12,OFFSET(CRONOPLE!$F$15,$M79-$A$15,AP$13)))</f>
        <v>1000000000000</v>
      </c>
      <c r="AQ79" s="178">
        <f ca="1">IF(OR($D79&lt;&gt;"Serviço",AND(AUTOEVENTO="Manual",$M79=$A$15)),0,
         IF(OFFSET(CRONOPLE!$F$15,$M79-$A$15,AQ$13)="",10^12,OFFSET(CRONOPLE!$F$15,$M79-$A$15,AQ$13)))</f>
        <v>1000000000000</v>
      </c>
      <c r="AR79" s="178">
        <f ca="1">IF(OR($D79&lt;&gt;"Serviço",AND(AUTOEVENTO="Manual",$M79=$A$15)),0,
         IF(OFFSET(CRONOPLE!$F$15,$M79-$A$15,AR$13)="",10^12,OFFSET(CRONOPLE!$F$15,$M79-$A$15,AR$13)))</f>
        <v>1000000000000</v>
      </c>
      <c r="AS79" s="178">
        <f ca="1">IF(OR($D79&lt;&gt;"Serviço",AND(AUTOEVENTO="Manual",$M79=$A$15)),0,
         IF(OFFSET(CRONOPLE!$F$15,$M79-$A$15,AS$13)="",10^12,OFFSET(CRONOPLE!$F$15,$M79-$A$15,AS$13)))</f>
        <v>1000000000000</v>
      </c>
      <c r="AT79" s="178">
        <f ca="1">IF(OR($D79&lt;&gt;"Serviço",AND(AUTOEVENTO="Manual",$M79=$A$15)),0,
         IF(OFFSET(CRONOPLE!$F$15,$M79-$A$15,AT$13)="",10^12,OFFSET(CRONOPLE!$F$15,$M79-$A$15,AT$13)))</f>
        <v>1000000000000</v>
      </c>
      <c r="AU79" s="178">
        <f ca="1">IF(OR($D79&lt;&gt;"Serviço",AND(AUTOEVENTO="Manual",$M79=$A$15)),0,
         IF(OFFSET(CRONOPLE!$F$15,$M79-$A$15,AU$13)="",10^12,OFFSET(CRONOPLE!$F$15,$M79-$A$15,AU$13)))</f>
        <v>1000000000000</v>
      </c>
      <c r="AV79" s="178">
        <f ca="1">IF(OR($D79&lt;&gt;"Serviço",AND(AUTOEVENTO="Manual",$M79=$A$15)),0,
         IF(OFFSET(CRONOPLE!$F$15,$M79-$A$15,AV$13)="",10^12,OFFSET(CRONOPLE!$F$15,$M79-$A$15,AV$13)))</f>
        <v>1000000000000</v>
      </c>
      <c r="AX79" s="179">
        <f ca="1">IF(OR($D79&lt;&gt;"Serviço",AND(AUTOEVENTO="Manual",$M79=$A$15),$M79&gt;(ROW(PLE.lastrow)-ROW(PLE.firstrow))),0,
           IF(OFFSET(PLE!$G$15,$M79-$A$15,AX$13)="",10^12,OFFSET(PLE!$G$15,$M79-$A$15,AX$13)))</f>
        <v>1000000000000</v>
      </c>
      <c r="AY79" s="179">
        <f ca="1">IF(OR($D79&lt;&gt;"Serviço",AND(AUTOEVENTO="Manual",$M79=$A$15),$M79&gt;(ROW(PLE.lastrow)-ROW(PLE.firstrow))),0,
           IF(OFFSET(PLE!$G$15,$M79-$A$15,AY$13)="",10^12,OFFSET(PLE!$G$15,$M79-$A$15,AY$13)))</f>
        <v>1000000000000</v>
      </c>
      <c r="AZ79" s="179">
        <f ca="1">IF(OR($D79&lt;&gt;"Serviço",AND(AUTOEVENTO="Manual",$M79=$A$15),$M79&gt;(ROW(PLE.lastrow)-ROW(PLE.firstrow))),0,
           IF(OFFSET(PLE!$G$15,$M79-$A$15,AZ$13)="",10^12,OFFSET(PLE!$G$15,$M79-$A$15,AZ$13)))</f>
        <v>1000000000000</v>
      </c>
      <c r="BA79" s="179">
        <f ca="1">IF(OR($D79&lt;&gt;"Serviço",AND(AUTOEVENTO="Manual",$M79=$A$15),$M79&gt;(ROW(PLE.lastrow)-ROW(PLE.firstrow))),0,
           IF(OFFSET(PLE!$G$15,$M79-$A$15,BA$13)="",10^12,OFFSET(PLE!$G$15,$M79-$A$15,BA$13)))</f>
        <v>1000000000000</v>
      </c>
      <c r="BB79" s="179">
        <f ca="1">IF(OR($D79&lt;&gt;"Serviço",AND(AUTOEVENTO="Manual",$M79=$A$15),$M79&gt;(ROW(PLE.lastrow)-ROW(PLE.firstrow))),0,
           IF(OFFSET(PLE!$G$15,$M79-$A$15,BB$13)="",10^12,OFFSET(PLE!$G$15,$M79-$A$15,BB$13)))</f>
        <v>1000000000000</v>
      </c>
      <c r="BC79" s="179">
        <f ca="1">IF(OR($D79&lt;&gt;"Serviço",AND(AUTOEVENTO="Manual",$M79=$A$15),$M79&gt;(ROW(PLE.lastrow)-ROW(PLE.firstrow))),0,
           IF(OFFSET(PLE!$G$15,$M79-$A$15,BC$13)="",10^12,OFFSET(PLE!$G$15,$M79-$A$15,BC$13)))</f>
        <v>1000000000000</v>
      </c>
      <c r="BD79" s="179">
        <f ca="1">IF(OR($D79&lt;&gt;"Serviço",AND(AUTOEVENTO="Manual",$M79=$A$15),$M79&gt;(ROW(PLE.lastrow)-ROW(PLE.firstrow))),0,
           IF(OFFSET(PLE!$G$15,$M79-$A$15,BD$13)="",10^12,OFFSET(PLE!$G$15,$M79-$A$15,BD$13)))</f>
        <v>1000000000000</v>
      </c>
      <c r="BE79" s="179">
        <f ca="1">IF(OR($D79&lt;&gt;"Serviço",AND(AUTOEVENTO="Manual",$M79=$A$15),$M79&gt;(ROW(PLE.lastrow)-ROW(PLE.firstrow))),0,
           IF(OFFSET(PLE!$G$15,$M79-$A$15,BE$13)="",10^12,OFFSET(PLE!$G$15,$M79-$A$15,BE$13)))</f>
        <v>1000000000000</v>
      </c>
      <c r="BF79" s="179">
        <f ca="1">IF(OR($D79&lt;&gt;"Serviço",AND(AUTOEVENTO="Manual",$M79=$A$15),$M79&gt;(ROW(PLE.lastrow)-ROW(PLE.firstrow))),0,
           IF(OFFSET(PLE!$G$15,$M79-$A$15,BF$13)="",10^12,OFFSET(PLE!$G$15,$M79-$A$15,BF$13)))</f>
        <v>1000000000000</v>
      </c>
      <c r="BG79" s="179">
        <f ca="1">IF(OR($D79&lt;&gt;"Serviço",AND(AUTOEVENTO="Manual",$M79=$A$15),$M79&gt;(ROW(PLE.lastrow)-ROW(PLE.firstrow))),0,
           IF(OFFSET(PLE!$G$15,$M79-$A$15,BG$13)="",10^12,OFFSET(PLE!$G$15,$M79-$A$15,BG$13)))</f>
        <v>1000000000000</v>
      </c>
    </row>
    <row r="80" spans="1:59" ht="25.5" x14ac:dyDescent="0.2">
      <c r="A80" s="7" t="str">
        <f ca="1">IF(AUTOEVENTO="Manual",IF(K80&lt;&gt;"",MIN(VALUE(LEFT(K80,FIND(".",K80)-1)),COUNTA(EVENTOS.Lista)),0),IF(OR($B80&gt;AUTOEVENTO,$B80="S",$B80=0),SUBSTITUTE(OFFSET($A80,-1,0),IF($D80="Serviço",".",""),""),ROW(A80)-ROW($A$15)&amp;"."))</f>
        <v>56</v>
      </c>
      <c r="B80" s="7" t="str">
        <f ca="1">OFFSET(ORÇAMENTO!C$15,ROW(B80)-ROW(B$15),0)</f>
        <v>S</v>
      </c>
      <c r="C80" s="7" t="str">
        <f ca="1">OFFSET(ORÇAMENTO!L$15,ROW(C80)-ROW(C$15),0)</f>
        <v/>
      </c>
      <c r="D80" s="118" t="str">
        <f ca="1">OFFSET(ORÇAMENTO!N$15,ROW(D80)-ROW(D$15),0)</f>
        <v>Serviço</v>
      </c>
      <c r="E80" s="119" t="str">
        <f ca="1">OFFSET(ORÇAMENTO!O$15,ROW(E80)-ROW(E$15),0)</f>
        <v>-</v>
      </c>
      <c r="F80" s="170" t="str">
        <f ca="1">OFFSET(ORÇAMENTO!R$15,ROW(F80)-ROW(F$15),0)</f>
        <v>(abra o arquivo 'Referência 04-2026.xlsm)</v>
      </c>
      <c r="G80" s="171" t="str">
        <f ca="1">IF($D80&lt;&gt;"Serviço","",OFFSET(ORÇAMENTO!S$15,ROW(G80)-ROW(G$15),0))</f>
        <v>-</v>
      </c>
      <c r="H80" s="124" cm="1">
        <f t="array" aca="1" ref="H80" ca="1">IF($D80&lt;&gt;"Serviço",0,IF(_xlfn.SINGLE(ACOMPANHAMENTO)="BM",ROUND(OFFSET(ORÇAMENTO!AJ$15,ROW(H80)-ROW(H$15),0),15-13*ORÇAMENTO!$AF$7),SUMPRODUCT(($Q$1:$AA$1)*ROUND($Q80:$AA80,15-13*ORÇAMENTO!$AF$7))))</f>
        <v>3</v>
      </c>
      <c r="I80" s="500" t="s">
        <v>1048</v>
      </c>
      <c r="J80" s="633" t="str" cm="1">
        <f t="array" aca="1" ref="J80" ca="1">IF(B80&lt;&gt;"S","",IF(AND(ACOMPANHAMENTO="PLE",AUTOEVENTO="Manual",OR(H80&gt;0,ORÇAMENTO!AC80="QUANT."),OR(K80="",M80=0,N80="")),"►",IF(AND(ACOMPANHAMENTO="PLE",ORÇAMENTO!AC80="QUANT."),"►►",IF(AND(COUNTIF($P$11:$AA$11,"▼")=0,H80&gt;0,I80=""),"◄",""))))</f>
        <v/>
      </c>
      <c r="K80" s="624"/>
      <c r="L80" s="172" t="s">
        <v>253</v>
      </c>
      <c r="M80" s="173">
        <f ca="1">IF($D80&lt;&gt;"Serviço","",
          IF(AUTOEVENTO="manual",$A80,
                IF(ISERROR(MATCH($A80,$A$15:OFFSET($A80,-1,0),0)),MAX($M$15:OFFSET(M80,-1,0))+1,
                      INDEX($M$15:OFFSET(M80,-1,0),MATCH($A80,$A$15:OFFSET($A80,-1,0),0)))))</f>
        <v>10</v>
      </c>
      <c r="N80" s="174" t="str">
        <f ca="1">IF($D80&lt;&gt;"Serviço","",
         IF(AUTOEVENTO="Manual",
                IF($A80=0,"&lt;-- defina o número do agrupador",
                       OFFSET(EVENTOS!$D$15,$A80-$A$15,0)),
                OFFSET($F$15,$A80,0)))</f>
        <v>INSTALAÇÕES ELÉTRICAS</v>
      </c>
      <c r="O80" s="175"/>
      <c r="Q80" s="175">
        <v>3</v>
      </c>
      <c r="R80" s="176"/>
      <c r="S80" s="176"/>
      <c r="T80" s="176"/>
      <c r="U80" s="176"/>
      <c r="V80" s="176"/>
      <c r="W80" s="176"/>
      <c r="X80" s="176"/>
      <c r="Y80" s="176"/>
      <c r="Z80" s="177"/>
      <c r="AB80" s="485">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85">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85">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85">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85">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85">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85">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85">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85">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85">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8">
        <f ca="1">IF(OR($D80&lt;&gt;"Serviço",AND(AUTOEVENTO="Manual",$M80=$A$15)),0,
         IF(OFFSET(CRONOPLE!$F$15,$M80-$A$15,AM$13)="",10^12,OFFSET(CRONOPLE!$F$15,$M80-$A$15,AM$13)))</f>
        <v>6</v>
      </c>
      <c r="AN80" s="178">
        <f ca="1">IF(OR($D80&lt;&gt;"Serviço",AND(AUTOEVENTO="Manual",$M80=$A$15)),0,
         IF(OFFSET(CRONOPLE!$F$15,$M80-$A$15,AN$13)="",10^12,OFFSET(CRONOPLE!$F$15,$M80-$A$15,AN$13)))</f>
        <v>1000000000000</v>
      </c>
      <c r="AO80" s="178">
        <f ca="1">IF(OR($D80&lt;&gt;"Serviço",AND(AUTOEVENTO="Manual",$M80=$A$15)),0,
         IF(OFFSET(CRONOPLE!$F$15,$M80-$A$15,AO$13)="",10^12,OFFSET(CRONOPLE!$F$15,$M80-$A$15,AO$13)))</f>
        <v>1000000000000</v>
      </c>
      <c r="AP80" s="178">
        <f ca="1">IF(OR($D80&lt;&gt;"Serviço",AND(AUTOEVENTO="Manual",$M80=$A$15)),0,
         IF(OFFSET(CRONOPLE!$F$15,$M80-$A$15,AP$13)="",10^12,OFFSET(CRONOPLE!$F$15,$M80-$A$15,AP$13)))</f>
        <v>1000000000000</v>
      </c>
      <c r="AQ80" s="178">
        <f ca="1">IF(OR($D80&lt;&gt;"Serviço",AND(AUTOEVENTO="Manual",$M80=$A$15)),0,
         IF(OFFSET(CRONOPLE!$F$15,$M80-$A$15,AQ$13)="",10^12,OFFSET(CRONOPLE!$F$15,$M80-$A$15,AQ$13)))</f>
        <v>1000000000000</v>
      </c>
      <c r="AR80" s="178">
        <f ca="1">IF(OR($D80&lt;&gt;"Serviço",AND(AUTOEVENTO="Manual",$M80=$A$15)),0,
         IF(OFFSET(CRONOPLE!$F$15,$M80-$A$15,AR$13)="",10^12,OFFSET(CRONOPLE!$F$15,$M80-$A$15,AR$13)))</f>
        <v>1000000000000</v>
      </c>
      <c r="AS80" s="178">
        <f ca="1">IF(OR($D80&lt;&gt;"Serviço",AND(AUTOEVENTO="Manual",$M80=$A$15)),0,
         IF(OFFSET(CRONOPLE!$F$15,$M80-$A$15,AS$13)="",10^12,OFFSET(CRONOPLE!$F$15,$M80-$A$15,AS$13)))</f>
        <v>1000000000000</v>
      </c>
      <c r="AT80" s="178">
        <f ca="1">IF(OR($D80&lt;&gt;"Serviço",AND(AUTOEVENTO="Manual",$M80=$A$15)),0,
         IF(OFFSET(CRONOPLE!$F$15,$M80-$A$15,AT$13)="",10^12,OFFSET(CRONOPLE!$F$15,$M80-$A$15,AT$13)))</f>
        <v>1000000000000</v>
      </c>
      <c r="AU80" s="178">
        <f ca="1">IF(OR($D80&lt;&gt;"Serviço",AND(AUTOEVENTO="Manual",$M80=$A$15)),0,
         IF(OFFSET(CRONOPLE!$F$15,$M80-$A$15,AU$13)="",10^12,OFFSET(CRONOPLE!$F$15,$M80-$A$15,AU$13)))</f>
        <v>1000000000000</v>
      </c>
      <c r="AV80" s="178">
        <f ca="1">IF(OR($D80&lt;&gt;"Serviço",AND(AUTOEVENTO="Manual",$M80=$A$15)),0,
         IF(OFFSET(CRONOPLE!$F$15,$M80-$A$15,AV$13)="",10^12,OFFSET(CRONOPLE!$F$15,$M80-$A$15,AV$13)))</f>
        <v>1000000000000</v>
      </c>
      <c r="AX80" s="179">
        <f ca="1">IF(OR($D80&lt;&gt;"Serviço",AND(AUTOEVENTO="Manual",$M80=$A$15),$M80&gt;(ROW(PLE.lastrow)-ROW(PLE.firstrow))),0,
           IF(OFFSET(PLE!$G$15,$M80-$A$15,AX$13)="",10^12,OFFSET(PLE!$G$15,$M80-$A$15,AX$13)))</f>
        <v>1000000000000</v>
      </c>
      <c r="AY80" s="179">
        <f ca="1">IF(OR($D80&lt;&gt;"Serviço",AND(AUTOEVENTO="Manual",$M80=$A$15),$M80&gt;(ROW(PLE.lastrow)-ROW(PLE.firstrow))),0,
           IF(OFFSET(PLE!$G$15,$M80-$A$15,AY$13)="",10^12,OFFSET(PLE!$G$15,$M80-$A$15,AY$13)))</f>
        <v>1000000000000</v>
      </c>
      <c r="AZ80" s="179">
        <f ca="1">IF(OR($D80&lt;&gt;"Serviço",AND(AUTOEVENTO="Manual",$M80=$A$15),$M80&gt;(ROW(PLE.lastrow)-ROW(PLE.firstrow))),0,
           IF(OFFSET(PLE!$G$15,$M80-$A$15,AZ$13)="",10^12,OFFSET(PLE!$G$15,$M80-$A$15,AZ$13)))</f>
        <v>1000000000000</v>
      </c>
      <c r="BA80" s="179">
        <f ca="1">IF(OR($D80&lt;&gt;"Serviço",AND(AUTOEVENTO="Manual",$M80=$A$15),$M80&gt;(ROW(PLE.lastrow)-ROW(PLE.firstrow))),0,
           IF(OFFSET(PLE!$G$15,$M80-$A$15,BA$13)="",10^12,OFFSET(PLE!$G$15,$M80-$A$15,BA$13)))</f>
        <v>1000000000000</v>
      </c>
      <c r="BB80" s="179">
        <f ca="1">IF(OR($D80&lt;&gt;"Serviço",AND(AUTOEVENTO="Manual",$M80=$A$15),$M80&gt;(ROW(PLE.lastrow)-ROW(PLE.firstrow))),0,
           IF(OFFSET(PLE!$G$15,$M80-$A$15,BB$13)="",10^12,OFFSET(PLE!$G$15,$M80-$A$15,BB$13)))</f>
        <v>1000000000000</v>
      </c>
      <c r="BC80" s="179">
        <f ca="1">IF(OR($D80&lt;&gt;"Serviço",AND(AUTOEVENTO="Manual",$M80=$A$15),$M80&gt;(ROW(PLE.lastrow)-ROW(PLE.firstrow))),0,
           IF(OFFSET(PLE!$G$15,$M80-$A$15,BC$13)="",10^12,OFFSET(PLE!$G$15,$M80-$A$15,BC$13)))</f>
        <v>1000000000000</v>
      </c>
      <c r="BD80" s="179">
        <f ca="1">IF(OR($D80&lt;&gt;"Serviço",AND(AUTOEVENTO="Manual",$M80=$A$15),$M80&gt;(ROW(PLE.lastrow)-ROW(PLE.firstrow))),0,
           IF(OFFSET(PLE!$G$15,$M80-$A$15,BD$13)="",10^12,OFFSET(PLE!$G$15,$M80-$A$15,BD$13)))</f>
        <v>1000000000000</v>
      </c>
      <c r="BE80" s="179">
        <f ca="1">IF(OR($D80&lt;&gt;"Serviço",AND(AUTOEVENTO="Manual",$M80=$A$15),$M80&gt;(ROW(PLE.lastrow)-ROW(PLE.firstrow))),0,
           IF(OFFSET(PLE!$G$15,$M80-$A$15,BE$13)="",10^12,OFFSET(PLE!$G$15,$M80-$A$15,BE$13)))</f>
        <v>1000000000000</v>
      </c>
      <c r="BF80" s="179">
        <f ca="1">IF(OR($D80&lt;&gt;"Serviço",AND(AUTOEVENTO="Manual",$M80=$A$15),$M80&gt;(ROW(PLE.lastrow)-ROW(PLE.firstrow))),0,
           IF(OFFSET(PLE!$G$15,$M80-$A$15,BF$13)="",10^12,OFFSET(PLE!$G$15,$M80-$A$15,BF$13)))</f>
        <v>1000000000000</v>
      </c>
      <c r="BG80" s="179">
        <f ca="1">IF(OR($D80&lt;&gt;"Serviço",AND(AUTOEVENTO="Manual",$M80=$A$15),$M80&gt;(ROW(PLE.lastrow)-ROW(PLE.firstrow))),0,
           IF(OFFSET(PLE!$G$15,$M80-$A$15,BG$13)="",10^12,OFFSET(PLE!$G$15,$M80-$A$15,BG$13)))</f>
        <v>1000000000000</v>
      </c>
    </row>
    <row r="81" spans="1:59" ht="25.5" x14ac:dyDescent="0.2">
      <c r="A81" s="7" t="str">
        <f ca="1">IF(AUTOEVENTO="Manual",IF(K81&lt;&gt;"",MIN(VALUE(LEFT(K81,FIND(".",K81)-1)),COUNTA(EVENTOS.Lista)),0),IF(OR($B81&gt;AUTOEVENTO,$B81="S",$B81=0),SUBSTITUTE(OFFSET($A81,-1,0),IF($D81="Serviço",".",""),""),ROW(A81)-ROW($A$15)&amp;"."))</f>
        <v>56</v>
      </c>
      <c r="B81" s="7" t="str">
        <f ca="1">OFFSET(ORÇAMENTO!C$15,ROW(B81)-ROW(B$15),0)</f>
        <v>S</v>
      </c>
      <c r="C81" s="7" t="str">
        <f ca="1">OFFSET(ORÇAMENTO!L$15,ROW(C81)-ROW(C$15),0)</f>
        <v/>
      </c>
      <c r="D81" s="118" t="str">
        <f ca="1">OFFSET(ORÇAMENTO!N$15,ROW(D81)-ROW(D$15),0)</f>
        <v>Serviço</v>
      </c>
      <c r="E81" s="119" t="str">
        <f ca="1">OFFSET(ORÇAMENTO!O$15,ROW(E81)-ROW(E$15),0)</f>
        <v>-</v>
      </c>
      <c r="F81" s="170" t="str">
        <f ca="1">OFFSET(ORÇAMENTO!R$15,ROW(F81)-ROW(F$15),0)</f>
        <v>(abra o arquivo 'Referência 04-2026.xlsm)</v>
      </c>
      <c r="G81" s="171" t="str">
        <f ca="1">IF($D81&lt;&gt;"Serviço","",OFFSET(ORÇAMENTO!S$15,ROW(G81)-ROW(G$15),0))</f>
        <v>-</v>
      </c>
      <c r="H81" s="124" cm="1">
        <f t="array" aca="1" ref="H81" ca="1">IF($D81&lt;&gt;"Serviço",0,IF(_xlfn.SINGLE(ACOMPANHAMENTO)="BM",ROUND(OFFSET(ORÇAMENTO!AJ$15,ROW(H81)-ROW(H$15),0),15-13*ORÇAMENTO!$AF$7),SUMPRODUCT(($Q$1:$AA$1)*ROUND($Q81:$AA81,15-13*ORÇAMENTO!$AF$7))))</f>
        <v>4</v>
      </c>
      <c r="I81" s="500" t="s">
        <v>1049</v>
      </c>
      <c r="J81" s="633" t="str" cm="1">
        <f t="array" aca="1" ref="J81" ca="1">IF(B81&lt;&gt;"S","",IF(AND(ACOMPANHAMENTO="PLE",AUTOEVENTO="Manual",OR(H81&gt;0,ORÇAMENTO!AC81="QUANT."),OR(K81="",M81=0,N81="")),"►",IF(AND(ACOMPANHAMENTO="PLE",ORÇAMENTO!AC81="QUANT."),"►►",IF(AND(COUNTIF($P$11:$AA$11,"▼")=0,H81&gt;0,I81=""),"◄",""))))</f>
        <v/>
      </c>
      <c r="K81" s="624"/>
      <c r="L81" s="172" t="s">
        <v>253</v>
      </c>
      <c r="M81" s="173">
        <f ca="1">IF($D81&lt;&gt;"Serviço","",
          IF(AUTOEVENTO="manual",$A81,
                IF(ISERROR(MATCH($A81,$A$15:OFFSET($A81,-1,0),0)),MAX($M$15:OFFSET(M81,-1,0))+1,
                      INDEX($M$15:OFFSET(M81,-1,0),MATCH($A81,$A$15:OFFSET($A81,-1,0),0)))))</f>
        <v>10</v>
      </c>
      <c r="N81" s="174" t="str">
        <f ca="1">IF($D81&lt;&gt;"Serviço","",
         IF(AUTOEVENTO="Manual",
                IF($A81=0,"&lt;-- defina o número do agrupador",
                       OFFSET(EVENTOS!$D$15,$A81-$A$15,0)),
                OFFSET($F$15,$A81,0)))</f>
        <v>INSTALAÇÕES ELÉTRICAS</v>
      </c>
      <c r="O81" s="175"/>
      <c r="Q81" s="175">
        <v>4</v>
      </c>
      <c r="R81" s="176"/>
      <c r="S81" s="176"/>
      <c r="T81" s="176"/>
      <c r="U81" s="176"/>
      <c r="V81" s="176"/>
      <c r="W81" s="176"/>
      <c r="X81" s="176"/>
      <c r="Y81" s="176"/>
      <c r="Z81" s="177"/>
      <c r="AB81" s="485">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85">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85">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85">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85">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85">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85">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85">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85">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85">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8">
        <f ca="1">IF(OR($D81&lt;&gt;"Serviço",AND(AUTOEVENTO="Manual",$M81=$A$15)),0,
         IF(OFFSET(CRONOPLE!$F$15,$M81-$A$15,AM$13)="",10^12,OFFSET(CRONOPLE!$F$15,$M81-$A$15,AM$13)))</f>
        <v>6</v>
      </c>
      <c r="AN81" s="178">
        <f ca="1">IF(OR($D81&lt;&gt;"Serviço",AND(AUTOEVENTO="Manual",$M81=$A$15)),0,
         IF(OFFSET(CRONOPLE!$F$15,$M81-$A$15,AN$13)="",10^12,OFFSET(CRONOPLE!$F$15,$M81-$A$15,AN$13)))</f>
        <v>1000000000000</v>
      </c>
      <c r="AO81" s="178">
        <f ca="1">IF(OR($D81&lt;&gt;"Serviço",AND(AUTOEVENTO="Manual",$M81=$A$15)),0,
         IF(OFFSET(CRONOPLE!$F$15,$M81-$A$15,AO$13)="",10^12,OFFSET(CRONOPLE!$F$15,$M81-$A$15,AO$13)))</f>
        <v>1000000000000</v>
      </c>
      <c r="AP81" s="178">
        <f ca="1">IF(OR($D81&lt;&gt;"Serviço",AND(AUTOEVENTO="Manual",$M81=$A$15)),0,
         IF(OFFSET(CRONOPLE!$F$15,$M81-$A$15,AP$13)="",10^12,OFFSET(CRONOPLE!$F$15,$M81-$A$15,AP$13)))</f>
        <v>1000000000000</v>
      </c>
      <c r="AQ81" s="178">
        <f ca="1">IF(OR($D81&lt;&gt;"Serviço",AND(AUTOEVENTO="Manual",$M81=$A$15)),0,
         IF(OFFSET(CRONOPLE!$F$15,$M81-$A$15,AQ$13)="",10^12,OFFSET(CRONOPLE!$F$15,$M81-$A$15,AQ$13)))</f>
        <v>1000000000000</v>
      </c>
      <c r="AR81" s="178">
        <f ca="1">IF(OR($D81&lt;&gt;"Serviço",AND(AUTOEVENTO="Manual",$M81=$A$15)),0,
         IF(OFFSET(CRONOPLE!$F$15,$M81-$A$15,AR$13)="",10^12,OFFSET(CRONOPLE!$F$15,$M81-$A$15,AR$13)))</f>
        <v>1000000000000</v>
      </c>
      <c r="AS81" s="178">
        <f ca="1">IF(OR($D81&lt;&gt;"Serviço",AND(AUTOEVENTO="Manual",$M81=$A$15)),0,
         IF(OFFSET(CRONOPLE!$F$15,$M81-$A$15,AS$13)="",10^12,OFFSET(CRONOPLE!$F$15,$M81-$A$15,AS$13)))</f>
        <v>1000000000000</v>
      </c>
      <c r="AT81" s="178">
        <f ca="1">IF(OR($D81&lt;&gt;"Serviço",AND(AUTOEVENTO="Manual",$M81=$A$15)),0,
         IF(OFFSET(CRONOPLE!$F$15,$M81-$A$15,AT$13)="",10^12,OFFSET(CRONOPLE!$F$15,$M81-$A$15,AT$13)))</f>
        <v>1000000000000</v>
      </c>
      <c r="AU81" s="178">
        <f ca="1">IF(OR($D81&lt;&gt;"Serviço",AND(AUTOEVENTO="Manual",$M81=$A$15)),0,
         IF(OFFSET(CRONOPLE!$F$15,$M81-$A$15,AU$13)="",10^12,OFFSET(CRONOPLE!$F$15,$M81-$A$15,AU$13)))</f>
        <v>1000000000000</v>
      </c>
      <c r="AV81" s="178">
        <f ca="1">IF(OR($D81&lt;&gt;"Serviço",AND(AUTOEVENTO="Manual",$M81=$A$15)),0,
         IF(OFFSET(CRONOPLE!$F$15,$M81-$A$15,AV$13)="",10^12,OFFSET(CRONOPLE!$F$15,$M81-$A$15,AV$13)))</f>
        <v>1000000000000</v>
      </c>
      <c r="AX81" s="179">
        <f ca="1">IF(OR($D81&lt;&gt;"Serviço",AND(AUTOEVENTO="Manual",$M81=$A$15),$M81&gt;(ROW(PLE.lastrow)-ROW(PLE.firstrow))),0,
           IF(OFFSET(PLE!$G$15,$M81-$A$15,AX$13)="",10^12,OFFSET(PLE!$G$15,$M81-$A$15,AX$13)))</f>
        <v>1000000000000</v>
      </c>
      <c r="AY81" s="179">
        <f ca="1">IF(OR($D81&lt;&gt;"Serviço",AND(AUTOEVENTO="Manual",$M81=$A$15),$M81&gt;(ROW(PLE.lastrow)-ROW(PLE.firstrow))),0,
           IF(OFFSET(PLE!$G$15,$M81-$A$15,AY$13)="",10^12,OFFSET(PLE!$G$15,$M81-$A$15,AY$13)))</f>
        <v>1000000000000</v>
      </c>
      <c r="AZ81" s="179">
        <f ca="1">IF(OR($D81&lt;&gt;"Serviço",AND(AUTOEVENTO="Manual",$M81=$A$15),$M81&gt;(ROW(PLE.lastrow)-ROW(PLE.firstrow))),0,
           IF(OFFSET(PLE!$G$15,$M81-$A$15,AZ$13)="",10^12,OFFSET(PLE!$G$15,$M81-$A$15,AZ$13)))</f>
        <v>1000000000000</v>
      </c>
      <c r="BA81" s="179">
        <f ca="1">IF(OR($D81&lt;&gt;"Serviço",AND(AUTOEVENTO="Manual",$M81=$A$15),$M81&gt;(ROW(PLE.lastrow)-ROW(PLE.firstrow))),0,
           IF(OFFSET(PLE!$G$15,$M81-$A$15,BA$13)="",10^12,OFFSET(PLE!$G$15,$M81-$A$15,BA$13)))</f>
        <v>1000000000000</v>
      </c>
      <c r="BB81" s="179">
        <f ca="1">IF(OR($D81&lt;&gt;"Serviço",AND(AUTOEVENTO="Manual",$M81=$A$15),$M81&gt;(ROW(PLE.lastrow)-ROW(PLE.firstrow))),0,
           IF(OFFSET(PLE!$G$15,$M81-$A$15,BB$13)="",10^12,OFFSET(PLE!$G$15,$M81-$A$15,BB$13)))</f>
        <v>1000000000000</v>
      </c>
      <c r="BC81" s="179">
        <f ca="1">IF(OR($D81&lt;&gt;"Serviço",AND(AUTOEVENTO="Manual",$M81=$A$15),$M81&gt;(ROW(PLE.lastrow)-ROW(PLE.firstrow))),0,
           IF(OFFSET(PLE!$G$15,$M81-$A$15,BC$13)="",10^12,OFFSET(PLE!$G$15,$M81-$A$15,BC$13)))</f>
        <v>1000000000000</v>
      </c>
      <c r="BD81" s="179">
        <f ca="1">IF(OR($D81&lt;&gt;"Serviço",AND(AUTOEVENTO="Manual",$M81=$A$15),$M81&gt;(ROW(PLE.lastrow)-ROW(PLE.firstrow))),0,
           IF(OFFSET(PLE!$G$15,$M81-$A$15,BD$13)="",10^12,OFFSET(PLE!$G$15,$M81-$A$15,BD$13)))</f>
        <v>1000000000000</v>
      </c>
      <c r="BE81" s="179">
        <f ca="1">IF(OR($D81&lt;&gt;"Serviço",AND(AUTOEVENTO="Manual",$M81=$A$15),$M81&gt;(ROW(PLE.lastrow)-ROW(PLE.firstrow))),0,
           IF(OFFSET(PLE!$G$15,$M81-$A$15,BE$13)="",10^12,OFFSET(PLE!$G$15,$M81-$A$15,BE$13)))</f>
        <v>1000000000000</v>
      </c>
      <c r="BF81" s="179">
        <f ca="1">IF(OR($D81&lt;&gt;"Serviço",AND(AUTOEVENTO="Manual",$M81=$A$15),$M81&gt;(ROW(PLE.lastrow)-ROW(PLE.firstrow))),0,
           IF(OFFSET(PLE!$G$15,$M81-$A$15,BF$13)="",10^12,OFFSET(PLE!$G$15,$M81-$A$15,BF$13)))</f>
        <v>1000000000000</v>
      </c>
      <c r="BG81" s="179">
        <f ca="1">IF(OR($D81&lt;&gt;"Serviço",AND(AUTOEVENTO="Manual",$M81=$A$15),$M81&gt;(ROW(PLE.lastrow)-ROW(PLE.firstrow))),0,
           IF(OFFSET(PLE!$G$15,$M81-$A$15,BG$13)="",10^12,OFFSET(PLE!$G$15,$M81-$A$15,BG$13)))</f>
        <v>1000000000000</v>
      </c>
    </row>
    <row r="82" spans="1:59" ht="25.5" x14ac:dyDescent="0.2">
      <c r="A82" s="7" t="str">
        <f ca="1">IF(AUTOEVENTO="Manual",IF(K82&lt;&gt;"",MIN(VALUE(LEFT(K82,FIND(".",K82)-1)),COUNTA(EVENTOS.Lista)),0),IF(OR($B82&gt;AUTOEVENTO,$B82="S",$B82=0),SUBSTITUTE(OFFSET($A82,-1,0),IF($D82="Serviço",".",""),""),ROW(A82)-ROW($A$15)&amp;"."))</f>
        <v>56</v>
      </c>
      <c r="B82" s="7" t="str">
        <f ca="1">OFFSET(ORÇAMENTO!C$15,ROW(B82)-ROW(B$15),0)</f>
        <v>S</v>
      </c>
      <c r="C82" s="7" t="str">
        <f ca="1">OFFSET(ORÇAMENTO!L$15,ROW(C82)-ROW(C$15),0)</f>
        <v/>
      </c>
      <c r="D82" s="118" t="str">
        <f ca="1">OFFSET(ORÇAMENTO!N$15,ROW(D82)-ROW(D$15),0)</f>
        <v>Serviço</v>
      </c>
      <c r="E82" s="119" t="str">
        <f ca="1">OFFSET(ORÇAMENTO!O$15,ROW(E82)-ROW(E$15),0)</f>
        <v>-</v>
      </c>
      <c r="F82" s="170" t="str">
        <f ca="1">OFFSET(ORÇAMENTO!R$15,ROW(F82)-ROW(F$15),0)</f>
        <v>(abra o arquivo 'Referência 04-2026.xlsm)</v>
      </c>
      <c r="G82" s="171" t="str">
        <f ca="1">IF($D82&lt;&gt;"Serviço","",OFFSET(ORÇAMENTO!S$15,ROW(G82)-ROW(G$15),0))</f>
        <v>-</v>
      </c>
      <c r="H82" s="124" cm="1">
        <f t="array" aca="1" ref="H82" ca="1">IF($D82&lt;&gt;"Serviço",0,IF(_xlfn.SINGLE(ACOMPANHAMENTO)="BM",ROUND(OFFSET(ORÇAMENTO!AJ$15,ROW(H82)-ROW(H$15),0),15-13*ORÇAMENTO!$AF$7),SUMPRODUCT(($Q$1:$AA$1)*ROUND($Q82:$AA82,15-13*ORÇAMENTO!$AF$7))))</f>
        <v>35</v>
      </c>
      <c r="I82" s="500" t="s">
        <v>975</v>
      </c>
      <c r="J82" s="633" t="str" cm="1">
        <f t="array" aca="1" ref="J82" ca="1">IF(B82&lt;&gt;"S","",IF(AND(ACOMPANHAMENTO="PLE",AUTOEVENTO="Manual",OR(H82&gt;0,ORÇAMENTO!AC82="QUANT."),OR(K82="",M82=0,N82="")),"►",IF(AND(ACOMPANHAMENTO="PLE",ORÇAMENTO!AC82="QUANT."),"►►",IF(AND(COUNTIF($P$11:$AA$11,"▼")=0,H82&gt;0,I82=""),"◄",""))))</f>
        <v/>
      </c>
      <c r="K82" s="624"/>
      <c r="L82" s="172" t="s">
        <v>253</v>
      </c>
      <c r="M82" s="173">
        <f ca="1">IF($D82&lt;&gt;"Serviço","",
          IF(AUTOEVENTO="manual",$A82,
                IF(ISERROR(MATCH($A82,$A$15:OFFSET($A82,-1,0),0)),MAX($M$15:OFFSET(M82,-1,0))+1,
                      INDEX($M$15:OFFSET(M82,-1,0),MATCH($A82,$A$15:OFFSET($A82,-1,0),0)))))</f>
        <v>10</v>
      </c>
      <c r="N82" s="174" t="str">
        <f ca="1">IF($D82&lt;&gt;"Serviço","",
         IF(AUTOEVENTO="Manual",
                IF($A82=0,"&lt;-- defina o número do agrupador",
                       OFFSET(EVENTOS!$D$15,$A82-$A$15,0)),
                OFFSET($F$15,$A82,0)))</f>
        <v>INSTALAÇÕES ELÉTRICAS</v>
      </c>
      <c r="O82" s="175"/>
      <c r="Q82" s="175">
        <v>35</v>
      </c>
      <c r="R82" s="176"/>
      <c r="S82" s="176"/>
      <c r="T82" s="176"/>
      <c r="U82" s="176"/>
      <c r="V82" s="176"/>
      <c r="W82" s="176"/>
      <c r="X82" s="176"/>
      <c r="Y82" s="176"/>
      <c r="Z82" s="177"/>
      <c r="AB82" s="485">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85">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85">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85">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85">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85">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85">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85">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85">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85">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8">
        <f ca="1">IF(OR($D82&lt;&gt;"Serviço",AND(AUTOEVENTO="Manual",$M82=$A$15)),0,
         IF(OFFSET(CRONOPLE!$F$15,$M82-$A$15,AM$13)="",10^12,OFFSET(CRONOPLE!$F$15,$M82-$A$15,AM$13)))</f>
        <v>6</v>
      </c>
      <c r="AN82" s="178">
        <f ca="1">IF(OR($D82&lt;&gt;"Serviço",AND(AUTOEVENTO="Manual",$M82=$A$15)),0,
         IF(OFFSET(CRONOPLE!$F$15,$M82-$A$15,AN$13)="",10^12,OFFSET(CRONOPLE!$F$15,$M82-$A$15,AN$13)))</f>
        <v>1000000000000</v>
      </c>
      <c r="AO82" s="178">
        <f ca="1">IF(OR($D82&lt;&gt;"Serviço",AND(AUTOEVENTO="Manual",$M82=$A$15)),0,
         IF(OFFSET(CRONOPLE!$F$15,$M82-$A$15,AO$13)="",10^12,OFFSET(CRONOPLE!$F$15,$M82-$A$15,AO$13)))</f>
        <v>1000000000000</v>
      </c>
      <c r="AP82" s="178">
        <f ca="1">IF(OR($D82&lt;&gt;"Serviço",AND(AUTOEVENTO="Manual",$M82=$A$15)),0,
         IF(OFFSET(CRONOPLE!$F$15,$M82-$A$15,AP$13)="",10^12,OFFSET(CRONOPLE!$F$15,$M82-$A$15,AP$13)))</f>
        <v>1000000000000</v>
      </c>
      <c r="AQ82" s="178">
        <f ca="1">IF(OR($D82&lt;&gt;"Serviço",AND(AUTOEVENTO="Manual",$M82=$A$15)),0,
         IF(OFFSET(CRONOPLE!$F$15,$M82-$A$15,AQ$13)="",10^12,OFFSET(CRONOPLE!$F$15,$M82-$A$15,AQ$13)))</f>
        <v>1000000000000</v>
      </c>
      <c r="AR82" s="178">
        <f ca="1">IF(OR($D82&lt;&gt;"Serviço",AND(AUTOEVENTO="Manual",$M82=$A$15)),0,
         IF(OFFSET(CRONOPLE!$F$15,$M82-$A$15,AR$13)="",10^12,OFFSET(CRONOPLE!$F$15,$M82-$A$15,AR$13)))</f>
        <v>1000000000000</v>
      </c>
      <c r="AS82" s="178">
        <f ca="1">IF(OR($D82&lt;&gt;"Serviço",AND(AUTOEVENTO="Manual",$M82=$A$15)),0,
         IF(OFFSET(CRONOPLE!$F$15,$M82-$A$15,AS$13)="",10^12,OFFSET(CRONOPLE!$F$15,$M82-$A$15,AS$13)))</f>
        <v>1000000000000</v>
      </c>
      <c r="AT82" s="178">
        <f ca="1">IF(OR($D82&lt;&gt;"Serviço",AND(AUTOEVENTO="Manual",$M82=$A$15)),0,
         IF(OFFSET(CRONOPLE!$F$15,$M82-$A$15,AT$13)="",10^12,OFFSET(CRONOPLE!$F$15,$M82-$A$15,AT$13)))</f>
        <v>1000000000000</v>
      </c>
      <c r="AU82" s="178">
        <f ca="1">IF(OR($D82&lt;&gt;"Serviço",AND(AUTOEVENTO="Manual",$M82=$A$15)),0,
         IF(OFFSET(CRONOPLE!$F$15,$M82-$A$15,AU$13)="",10^12,OFFSET(CRONOPLE!$F$15,$M82-$A$15,AU$13)))</f>
        <v>1000000000000</v>
      </c>
      <c r="AV82" s="178">
        <f ca="1">IF(OR($D82&lt;&gt;"Serviço",AND(AUTOEVENTO="Manual",$M82=$A$15)),0,
         IF(OFFSET(CRONOPLE!$F$15,$M82-$A$15,AV$13)="",10^12,OFFSET(CRONOPLE!$F$15,$M82-$A$15,AV$13)))</f>
        <v>1000000000000</v>
      </c>
      <c r="AX82" s="179">
        <f ca="1">IF(OR($D82&lt;&gt;"Serviço",AND(AUTOEVENTO="Manual",$M82=$A$15),$M82&gt;(ROW(PLE.lastrow)-ROW(PLE.firstrow))),0,
           IF(OFFSET(PLE!$G$15,$M82-$A$15,AX$13)="",10^12,OFFSET(PLE!$G$15,$M82-$A$15,AX$13)))</f>
        <v>1000000000000</v>
      </c>
      <c r="AY82" s="179">
        <f ca="1">IF(OR($D82&lt;&gt;"Serviço",AND(AUTOEVENTO="Manual",$M82=$A$15),$M82&gt;(ROW(PLE.lastrow)-ROW(PLE.firstrow))),0,
           IF(OFFSET(PLE!$G$15,$M82-$A$15,AY$13)="",10^12,OFFSET(PLE!$G$15,$M82-$A$15,AY$13)))</f>
        <v>1000000000000</v>
      </c>
      <c r="AZ82" s="179">
        <f ca="1">IF(OR($D82&lt;&gt;"Serviço",AND(AUTOEVENTO="Manual",$M82=$A$15),$M82&gt;(ROW(PLE.lastrow)-ROW(PLE.firstrow))),0,
           IF(OFFSET(PLE!$G$15,$M82-$A$15,AZ$13)="",10^12,OFFSET(PLE!$G$15,$M82-$A$15,AZ$13)))</f>
        <v>1000000000000</v>
      </c>
      <c r="BA82" s="179">
        <f ca="1">IF(OR($D82&lt;&gt;"Serviço",AND(AUTOEVENTO="Manual",$M82=$A$15),$M82&gt;(ROW(PLE.lastrow)-ROW(PLE.firstrow))),0,
           IF(OFFSET(PLE!$G$15,$M82-$A$15,BA$13)="",10^12,OFFSET(PLE!$G$15,$M82-$A$15,BA$13)))</f>
        <v>1000000000000</v>
      </c>
      <c r="BB82" s="179">
        <f ca="1">IF(OR($D82&lt;&gt;"Serviço",AND(AUTOEVENTO="Manual",$M82=$A$15),$M82&gt;(ROW(PLE.lastrow)-ROW(PLE.firstrow))),0,
           IF(OFFSET(PLE!$G$15,$M82-$A$15,BB$13)="",10^12,OFFSET(PLE!$G$15,$M82-$A$15,BB$13)))</f>
        <v>1000000000000</v>
      </c>
      <c r="BC82" s="179">
        <f ca="1">IF(OR($D82&lt;&gt;"Serviço",AND(AUTOEVENTO="Manual",$M82=$A$15),$M82&gt;(ROW(PLE.lastrow)-ROW(PLE.firstrow))),0,
           IF(OFFSET(PLE!$G$15,$M82-$A$15,BC$13)="",10^12,OFFSET(PLE!$G$15,$M82-$A$15,BC$13)))</f>
        <v>1000000000000</v>
      </c>
      <c r="BD82" s="179">
        <f ca="1">IF(OR($D82&lt;&gt;"Serviço",AND(AUTOEVENTO="Manual",$M82=$A$15),$M82&gt;(ROW(PLE.lastrow)-ROW(PLE.firstrow))),0,
           IF(OFFSET(PLE!$G$15,$M82-$A$15,BD$13)="",10^12,OFFSET(PLE!$G$15,$M82-$A$15,BD$13)))</f>
        <v>1000000000000</v>
      </c>
      <c r="BE82" s="179">
        <f ca="1">IF(OR($D82&lt;&gt;"Serviço",AND(AUTOEVENTO="Manual",$M82=$A$15),$M82&gt;(ROW(PLE.lastrow)-ROW(PLE.firstrow))),0,
           IF(OFFSET(PLE!$G$15,$M82-$A$15,BE$13)="",10^12,OFFSET(PLE!$G$15,$M82-$A$15,BE$13)))</f>
        <v>1000000000000</v>
      </c>
      <c r="BF82" s="179">
        <f ca="1">IF(OR($D82&lt;&gt;"Serviço",AND(AUTOEVENTO="Manual",$M82=$A$15),$M82&gt;(ROW(PLE.lastrow)-ROW(PLE.firstrow))),0,
           IF(OFFSET(PLE!$G$15,$M82-$A$15,BF$13)="",10^12,OFFSET(PLE!$G$15,$M82-$A$15,BF$13)))</f>
        <v>1000000000000</v>
      </c>
      <c r="BG82" s="179">
        <f ca="1">IF(OR($D82&lt;&gt;"Serviço",AND(AUTOEVENTO="Manual",$M82=$A$15),$M82&gt;(ROW(PLE.lastrow)-ROW(PLE.firstrow))),0,
           IF(OFFSET(PLE!$G$15,$M82-$A$15,BG$13)="",10^12,OFFSET(PLE!$G$15,$M82-$A$15,BG$13)))</f>
        <v>1000000000000</v>
      </c>
    </row>
    <row r="83" spans="1:59" ht="25.5" x14ac:dyDescent="0.2">
      <c r="A83" s="7" t="str">
        <f ca="1">IF(AUTOEVENTO="Manual",IF(K83&lt;&gt;"",MIN(VALUE(LEFT(K83,FIND(".",K83)-1)),COUNTA(EVENTOS.Lista)),0),IF(OR($B83&gt;AUTOEVENTO,$B83="S",$B83=0),SUBSTITUTE(OFFSET($A83,-1,0),IF($D83="Serviço",".",""),""),ROW(A83)-ROW($A$15)&amp;"."))</f>
        <v>56</v>
      </c>
      <c r="B83" s="7" t="str">
        <f ca="1">OFFSET(ORÇAMENTO!C$15,ROW(B83)-ROW(B$15),0)</f>
        <v>S</v>
      </c>
      <c r="C83" s="7" t="str">
        <f ca="1">OFFSET(ORÇAMENTO!L$15,ROW(C83)-ROW(C$15),0)</f>
        <v/>
      </c>
      <c r="D83" s="118" t="str">
        <f ca="1">OFFSET(ORÇAMENTO!N$15,ROW(D83)-ROW(D$15),0)</f>
        <v>Serviço</v>
      </c>
      <c r="E83" s="119" t="str">
        <f ca="1">OFFSET(ORÇAMENTO!O$15,ROW(E83)-ROW(E$15),0)</f>
        <v>-</v>
      </c>
      <c r="F83" s="170" t="str">
        <f ca="1">OFFSET(ORÇAMENTO!R$15,ROW(F83)-ROW(F$15),0)</f>
        <v>(abra o arquivo 'Referência 04-2026.xlsm)</v>
      </c>
      <c r="G83" s="171" t="str">
        <f ca="1">IF($D83&lt;&gt;"Serviço","",OFFSET(ORÇAMENTO!S$15,ROW(G83)-ROW(G$15),0))</f>
        <v>-</v>
      </c>
      <c r="H83" s="124" cm="1">
        <f t="array" aca="1" ref="H83" ca="1">IF($D83&lt;&gt;"Serviço",0,IF(_xlfn.SINGLE(ACOMPANHAMENTO)="BM",ROUND(OFFSET(ORÇAMENTO!AJ$15,ROW(H83)-ROW(H$15),0),15-13*ORÇAMENTO!$AF$7),SUMPRODUCT(($Q$1:$AA$1)*ROUND($Q83:$AA83,15-13*ORÇAMENTO!$AF$7))))</f>
        <v>5</v>
      </c>
      <c r="I83" s="500">
        <v>15</v>
      </c>
      <c r="J83" s="633" t="str" cm="1">
        <f t="array" aca="1" ref="J83" ca="1">IF(B83&lt;&gt;"S","",IF(AND(ACOMPANHAMENTO="PLE",AUTOEVENTO="Manual",OR(H83&gt;0,ORÇAMENTO!AC83="QUANT."),OR(K83="",M83=0,N83="")),"►",IF(AND(ACOMPANHAMENTO="PLE",ORÇAMENTO!AC83="QUANT."),"►►",IF(AND(COUNTIF($P$11:$AA$11,"▼")=0,H83&gt;0,I83=""),"◄",""))))</f>
        <v/>
      </c>
      <c r="K83" s="624"/>
      <c r="L83" s="172" t="s">
        <v>253</v>
      </c>
      <c r="M83" s="173">
        <f ca="1">IF($D83&lt;&gt;"Serviço","",
          IF(AUTOEVENTO="manual",$A83,
                IF(ISERROR(MATCH($A83,$A$15:OFFSET($A83,-1,0),0)),MAX($M$15:OFFSET(M83,-1,0))+1,
                      INDEX($M$15:OFFSET(M83,-1,0),MATCH($A83,$A$15:OFFSET($A83,-1,0),0)))))</f>
        <v>10</v>
      </c>
      <c r="N83" s="174" t="str">
        <f ca="1">IF($D83&lt;&gt;"Serviço","",
         IF(AUTOEVENTO="Manual",
                IF($A83=0,"&lt;-- defina o número do agrupador",
                       OFFSET(EVENTOS!$D$15,$A83-$A$15,0)),
                OFFSET($F$15,$A83,0)))</f>
        <v>INSTALAÇÕES ELÉTRICAS</v>
      </c>
      <c r="O83" s="175"/>
      <c r="Q83" s="175">
        <v>5</v>
      </c>
      <c r="R83" s="176"/>
      <c r="S83" s="176"/>
      <c r="T83" s="176"/>
      <c r="U83" s="176"/>
      <c r="V83" s="176"/>
      <c r="W83" s="176"/>
      <c r="X83" s="176"/>
      <c r="Y83" s="176"/>
      <c r="Z83" s="177"/>
      <c r="AB83" s="485">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85">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85">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85">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85">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85">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85">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85">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85">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85">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8">
        <f ca="1">IF(OR($D83&lt;&gt;"Serviço",AND(AUTOEVENTO="Manual",$M83=$A$15)),0,
         IF(OFFSET(CRONOPLE!$F$15,$M83-$A$15,AM$13)="",10^12,OFFSET(CRONOPLE!$F$15,$M83-$A$15,AM$13)))</f>
        <v>6</v>
      </c>
      <c r="AN83" s="178">
        <f ca="1">IF(OR($D83&lt;&gt;"Serviço",AND(AUTOEVENTO="Manual",$M83=$A$15)),0,
         IF(OFFSET(CRONOPLE!$F$15,$M83-$A$15,AN$13)="",10^12,OFFSET(CRONOPLE!$F$15,$M83-$A$15,AN$13)))</f>
        <v>1000000000000</v>
      </c>
      <c r="AO83" s="178">
        <f ca="1">IF(OR($D83&lt;&gt;"Serviço",AND(AUTOEVENTO="Manual",$M83=$A$15)),0,
         IF(OFFSET(CRONOPLE!$F$15,$M83-$A$15,AO$13)="",10^12,OFFSET(CRONOPLE!$F$15,$M83-$A$15,AO$13)))</f>
        <v>1000000000000</v>
      </c>
      <c r="AP83" s="178">
        <f ca="1">IF(OR($D83&lt;&gt;"Serviço",AND(AUTOEVENTO="Manual",$M83=$A$15)),0,
         IF(OFFSET(CRONOPLE!$F$15,$M83-$A$15,AP$13)="",10^12,OFFSET(CRONOPLE!$F$15,$M83-$A$15,AP$13)))</f>
        <v>1000000000000</v>
      </c>
      <c r="AQ83" s="178">
        <f ca="1">IF(OR($D83&lt;&gt;"Serviço",AND(AUTOEVENTO="Manual",$M83=$A$15)),0,
         IF(OFFSET(CRONOPLE!$F$15,$M83-$A$15,AQ$13)="",10^12,OFFSET(CRONOPLE!$F$15,$M83-$A$15,AQ$13)))</f>
        <v>1000000000000</v>
      </c>
      <c r="AR83" s="178">
        <f ca="1">IF(OR($D83&lt;&gt;"Serviço",AND(AUTOEVENTO="Manual",$M83=$A$15)),0,
         IF(OFFSET(CRONOPLE!$F$15,$M83-$A$15,AR$13)="",10^12,OFFSET(CRONOPLE!$F$15,$M83-$A$15,AR$13)))</f>
        <v>1000000000000</v>
      </c>
      <c r="AS83" s="178">
        <f ca="1">IF(OR($D83&lt;&gt;"Serviço",AND(AUTOEVENTO="Manual",$M83=$A$15)),0,
         IF(OFFSET(CRONOPLE!$F$15,$M83-$A$15,AS$13)="",10^12,OFFSET(CRONOPLE!$F$15,$M83-$A$15,AS$13)))</f>
        <v>1000000000000</v>
      </c>
      <c r="AT83" s="178">
        <f ca="1">IF(OR($D83&lt;&gt;"Serviço",AND(AUTOEVENTO="Manual",$M83=$A$15)),0,
         IF(OFFSET(CRONOPLE!$F$15,$M83-$A$15,AT$13)="",10^12,OFFSET(CRONOPLE!$F$15,$M83-$A$15,AT$13)))</f>
        <v>1000000000000</v>
      </c>
      <c r="AU83" s="178">
        <f ca="1">IF(OR($D83&lt;&gt;"Serviço",AND(AUTOEVENTO="Manual",$M83=$A$15)),0,
         IF(OFFSET(CRONOPLE!$F$15,$M83-$A$15,AU$13)="",10^12,OFFSET(CRONOPLE!$F$15,$M83-$A$15,AU$13)))</f>
        <v>1000000000000</v>
      </c>
      <c r="AV83" s="178">
        <f ca="1">IF(OR($D83&lt;&gt;"Serviço",AND(AUTOEVENTO="Manual",$M83=$A$15)),0,
         IF(OFFSET(CRONOPLE!$F$15,$M83-$A$15,AV$13)="",10^12,OFFSET(CRONOPLE!$F$15,$M83-$A$15,AV$13)))</f>
        <v>1000000000000</v>
      </c>
      <c r="AX83" s="179">
        <f ca="1">IF(OR($D83&lt;&gt;"Serviço",AND(AUTOEVENTO="Manual",$M83=$A$15),$M83&gt;(ROW(PLE.lastrow)-ROW(PLE.firstrow))),0,
           IF(OFFSET(PLE!$G$15,$M83-$A$15,AX$13)="",10^12,OFFSET(PLE!$G$15,$M83-$A$15,AX$13)))</f>
        <v>1000000000000</v>
      </c>
      <c r="AY83" s="179">
        <f ca="1">IF(OR($D83&lt;&gt;"Serviço",AND(AUTOEVENTO="Manual",$M83=$A$15),$M83&gt;(ROW(PLE.lastrow)-ROW(PLE.firstrow))),0,
           IF(OFFSET(PLE!$G$15,$M83-$A$15,AY$13)="",10^12,OFFSET(PLE!$G$15,$M83-$A$15,AY$13)))</f>
        <v>1000000000000</v>
      </c>
      <c r="AZ83" s="179">
        <f ca="1">IF(OR($D83&lt;&gt;"Serviço",AND(AUTOEVENTO="Manual",$M83=$A$15),$M83&gt;(ROW(PLE.lastrow)-ROW(PLE.firstrow))),0,
           IF(OFFSET(PLE!$G$15,$M83-$A$15,AZ$13)="",10^12,OFFSET(PLE!$G$15,$M83-$A$15,AZ$13)))</f>
        <v>1000000000000</v>
      </c>
      <c r="BA83" s="179">
        <f ca="1">IF(OR($D83&lt;&gt;"Serviço",AND(AUTOEVENTO="Manual",$M83=$A$15),$M83&gt;(ROW(PLE.lastrow)-ROW(PLE.firstrow))),0,
           IF(OFFSET(PLE!$G$15,$M83-$A$15,BA$13)="",10^12,OFFSET(PLE!$G$15,$M83-$A$15,BA$13)))</f>
        <v>1000000000000</v>
      </c>
      <c r="BB83" s="179">
        <f ca="1">IF(OR($D83&lt;&gt;"Serviço",AND(AUTOEVENTO="Manual",$M83=$A$15),$M83&gt;(ROW(PLE.lastrow)-ROW(PLE.firstrow))),0,
           IF(OFFSET(PLE!$G$15,$M83-$A$15,BB$13)="",10^12,OFFSET(PLE!$G$15,$M83-$A$15,BB$13)))</f>
        <v>1000000000000</v>
      </c>
      <c r="BC83" s="179">
        <f ca="1">IF(OR($D83&lt;&gt;"Serviço",AND(AUTOEVENTO="Manual",$M83=$A$15),$M83&gt;(ROW(PLE.lastrow)-ROW(PLE.firstrow))),0,
           IF(OFFSET(PLE!$G$15,$M83-$A$15,BC$13)="",10^12,OFFSET(PLE!$G$15,$M83-$A$15,BC$13)))</f>
        <v>1000000000000</v>
      </c>
      <c r="BD83" s="179">
        <f ca="1">IF(OR($D83&lt;&gt;"Serviço",AND(AUTOEVENTO="Manual",$M83=$A$15),$M83&gt;(ROW(PLE.lastrow)-ROW(PLE.firstrow))),0,
           IF(OFFSET(PLE!$G$15,$M83-$A$15,BD$13)="",10^12,OFFSET(PLE!$G$15,$M83-$A$15,BD$13)))</f>
        <v>1000000000000</v>
      </c>
      <c r="BE83" s="179">
        <f ca="1">IF(OR($D83&lt;&gt;"Serviço",AND(AUTOEVENTO="Manual",$M83=$A$15),$M83&gt;(ROW(PLE.lastrow)-ROW(PLE.firstrow))),0,
           IF(OFFSET(PLE!$G$15,$M83-$A$15,BE$13)="",10^12,OFFSET(PLE!$G$15,$M83-$A$15,BE$13)))</f>
        <v>1000000000000</v>
      </c>
      <c r="BF83" s="179">
        <f ca="1">IF(OR($D83&lt;&gt;"Serviço",AND(AUTOEVENTO="Manual",$M83=$A$15),$M83&gt;(ROW(PLE.lastrow)-ROW(PLE.firstrow))),0,
           IF(OFFSET(PLE!$G$15,$M83-$A$15,BF$13)="",10^12,OFFSET(PLE!$G$15,$M83-$A$15,BF$13)))</f>
        <v>1000000000000</v>
      </c>
      <c r="BG83" s="179">
        <f ca="1">IF(OR($D83&lt;&gt;"Serviço",AND(AUTOEVENTO="Manual",$M83=$A$15),$M83&gt;(ROW(PLE.lastrow)-ROW(PLE.firstrow))),0,
           IF(OFFSET(PLE!$G$15,$M83-$A$15,BG$13)="",10^12,OFFSET(PLE!$G$15,$M83-$A$15,BG$13)))</f>
        <v>1000000000000</v>
      </c>
    </row>
    <row r="84" spans="1:59" ht="25.5" x14ac:dyDescent="0.2">
      <c r="A84" s="7" t="str">
        <f ca="1">IF(AUTOEVENTO="Manual",IF(K84&lt;&gt;"",MIN(VALUE(LEFT(K84,FIND(".",K84)-1)),COUNTA(EVENTOS.Lista)),0),IF(OR($B84&gt;AUTOEVENTO,$B84="S",$B84=0),SUBSTITUTE(OFFSET($A84,-1,0),IF($D84="Serviço",".",""),""),ROW(A84)-ROW($A$15)&amp;"."))</f>
        <v>56</v>
      </c>
      <c r="B84" s="7" t="str">
        <f ca="1">OFFSET(ORÇAMENTO!C$15,ROW(B84)-ROW(B$15),0)</f>
        <v>S</v>
      </c>
      <c r="C84" s="7" t="str">
        <f ca="1">OFFSET(ORÇAMENTO!L$15,ROW(C84)-ROW(C$15),0)</f>
        <v/>
      </c>
      <c r="D84" s="118" t="str">
        <f ca="1">OFFSET(ORÇAMENTO!N$15,ROW(D84)-ROW(D$15),0)</f>
        <v>Serviço</v>
      </c>
      <c r="E84" s="119" t="str">
        <f ca="1">OFFSET(ORÇAMENTO!O$15,ROW(E84)-ROW(E$15),0)</f>
        <v>-</v>
      </c>
      <c r="F84" s="170" t="str">
        <f ca="1">OFFSET(ORÇAMENTO!R$15,ROW(F84)-ROW(F$15),0)</f>
        <v>(abra o arquivo 'Referência 04-2026.xlsm)</v>
      </c>
      <c r="G84" s="171" t="str">
        <f ca="1">IF($D84&lt;&gt;"Serviço","",OFFSET(ORÇAMENTO!S$15,ROW(G84)-ROW(G$15),0))</f>
        <v>-</v>
      </c>
      <c r="H84" s="124" cm="1">
        <f t="array" aca="1" ref="H84" ca="1">IF($D84&lt;&gt;"Serviço",0,IF(_xlfn.SINGLE(ACOMPANHAMENTO)="BM",ROUND(OFFSET(ORÇAMENTO!AJ$15,ROW(H84)-ROW(H$15),0),15-13*ORÇAMENTO!$AF$7),SUMPRODUCT(($Q$1:$AA$1)*ROUND($Q84:$AA84,15-13*ORÇAMENTO!$AF$7))))</f>
        <v>14</v>
      </c>
      <c r="I84" s="500">
        <v>14</v>
      </c>
      <c r="J84" s="633" t="str" cm="1">
        <f t="array" aca="1" ref="J84" ca="1">IF(B84&lt;&gt;"S","",IF(AND(ACOMPANHAMENTO="PLE",AUTOEVENTO="Manual",OR(H84&gt;0,ORÇAMENTO!AC84="QUANT."),OR(K84="",M84=0,N84="")),"►",IF(AND(ACOMPANHAMENTO="PLE",ORÇAMENTO!AC84="QUANT."),"►►",IF(AND(COUNTIF($P$11:$AA$11,"▼")=0,H84&gt;0,I84=""),"◄",""))))</f>
        <v/>
      </c>
      <c r="K84" s="624"/>
      <c r="L84" s="172" t="s">
        <v>253</v>
      </c>
      <c r="M84" s="173">
        <f ca="1">IF($D84&lt;&gt;"Serviço","",
          IF(AUTOEVENTO="manual",$A84,
                IF(ISERROR(MATCH($A84,$A$15:OFFSET($A84,-1,0),0)),MAX($M$15:OFFSET(M84,-1,0))+1,
                      INDEX($M$15:OFFSET(M84,-1,0),MATCH($A84,$A$15:OFFSET($A84,-1,0),0)))))</f>
        <v>10</v>
      </c>
      <c r="N84" s="174" t="str">
        <f ca="1">IF($D84&lt;&gt;"Serviço","",
         IF(AUTOEVENTO="Manual",
                IF($A84=0,"&lt;-- defina o número do agrupador",
                       OFFSET(EVENTOS!$D$15,$A84-$A$15,0)),
                OFFSET($F$15,$A84,0)))</f>
        <v>INSTALAÇÕES ELÉTRICAS</v>
      </c>
      <c r="O84" s="175"/>
      <c r="Q84" s="175">
        <v>14</v>
      </c>
      <c r="R84" s="176"/>
      <c r="S84" s="176"/>
      <c r="T84" s="176"/>
      <c r="U84" s="176"/>
      <c r="V84" s="176"/>
      <c r="W84" s="176"/>
      <c r="X84" s="176"/>
      <c r="Y84" s="176"/>
      <c r="Z84" s="177"/>
      <c r="AB84" s="485">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85">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85">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85">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85">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85">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85">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85">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85">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85">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8">
        <f ca="1">IF(OR($D84&lt;&gt;"Serviço",AND(AUTOEVENTO="Manual",$M84=$A$15)),0,
         IF(OFFSET(CRONOPLE!$F$15,$M84-$A$15,AM$13)="",10^12,OFFSET(CRONOPLE!$F$15,$M84-$A$15,AM$13)))</f>
        <v>6</v>
      </c>
      <c r="AN84" s="178">
        <f ca="1">IF(OR($D84&lt;&gt;"Serviço",AND(AUTOEVENTO="Manual",$M84=$A$15)),0,
         IF(OFFSET(CRONOPLE!$F$15,$M84-$A$15,AN$13)="",10^12,OFFSET(CRONOPLE!$F$15,$M84-$A$15,AN$13)))</f>
        <v>1000000000000</v>
      </c>
      <c r="AO84" s="178">
        <f ca="1">IF(OR($D84&lt;&gt;"Serviço",AND(AUTOEVENTO="Manual",$M84=$A$15)),0,
         IF(OFFSET(CRONOPLE!$F$15,$M84-$A$15,AO$13)="",10^12,OFFSET(CRONOPLE!$F$15,$M84-$A$15,AO$13)))</f>
        <v>1000000000000</v>
      </c>
      <c r="AP84" s="178">
        <f ca="1">IF(OR($D84&lt;&gt;"Serviço",AND(AUTOEVENTO="Manual",$M84=$A$15)),0,
         IF(OFFSET(CRONOPLE!$F$15,$M84-$A$15,AP$13)="",10^12,OFFSET(CRONOPLE!$F$15,$M84-$A$15,AP$13)))</f>
        <v>1000000000000</v>
      </c>
      <c r="AQ84" s="178">
        <f ca="1">IF(OR($D84&lt;&gt;"Serviço",AND(AUTOEVENTO="Manual",$M84=$A$15)),0,
         IF(OFFSET(CRONOPLE!$F$15,$M84-$A$15,AQ$13)="",10^12,OFFSET(CRONOPLE!$F$15,$M84-$A$15,AQ$13)))</f>
        <v>1000000000000</v>
      </c>
      <c r="AR84" s="178">
        <f ca="1">IF(OR($D84&lt;&gt;"Serviço",AND(AUTOEVENTO="Manual",$M84=$A$15)),0,
         IF(OFFSET(CRONOPLE!$F$15,$M84-$A$15,AR$13)="",10^12,OFFSET(CRONOPLE!$F$15,$M84-$A$15,AR$13)))</f>
        <v>1000000000000</v>
      </c>
      <c r="AS84" s="178">
        <f ca="1">IF(OR($D84&lt;&gt;"Serviço",AND(AUTOEVENTO="Manual",$M84=$A$15)),0,
         IF(OFFSET(CRONOPLE!$F$15,$M84-$A$15,AS$13)="",10^12,OFFSET(CRONOPLE!$F$15,$M84-$A$15,AS$13)))</f>
        <v>1000000000000</v>
      </c>
      <c r="AT84" s="178">
        <f ca="1">IF(OR($D84&lt;&gt;"Serviço",AND(AUTOEVENTO="Manual",$M84=$A$15)),0,
         IF(OFFSET(CRONOPLE!$F$15,$M84-$A$15,AT$13)="",10^12,OFFSET(CRONOPLE!$F$15,$M84-$A$15,AT$13)))</f>
        <v>1000000000000</v>
      </c>
      <c r="AU84" s="178">
        <f ca="1">IF(OR($D84&lt;&gt;"Serviço",AND(AUTOEVENTO="Manual",$M84=$A$15)),0,
         IF(OFFSET(CRONOPLE!$F$15,$M84-$A$15,AU$13)="",10^12,OFFSET(CRONOPLE!$F$15,$M84-$A$15,AU$13)))</f>
        <v>1000000000000</v>
      </c>
      <c r="AV84" s="178">
        <f ca="1">IF(OR($D84&lt;&gt;"Serviço",AND(AUTOEVENTO="Manual",$M84=$A$15)),0,
         IF(OFFSET(CRONOPLE!$F$15,$M84-$A$15,AV$13)="",10^12,OFFSET(CRONOPLE!$F$15,$M84-$A$15,AV$13)))</f>
        <v>1000000000000</v>
      </c>
      <c r="AX84" s="179">
        <f ca="1">IF(OR($D84&lt;&gt;"Serviço",AND(AUTOEVENTO="Manual",$M84=$A$15),$M84&gt;(ROW(PLE.lastrow)-ROW(PLE.firstrow))),0,
           IF(OFFSET(PLE!$G$15,$M84-$A$15,AX$13)="",10^12,OFFSET(PLE!$G$15,$M84-$A$15,AX$13)))</f>
        <v>1000000000000</v>
      </c>
      <c r="AY84" s="179">
        <f ca="1">IF(OR($D84&lt;&gt;"Serviço",AND(AUTOEVENTO="Manual",$M84=$A$15),$M84&gt;(ROW(PLE.lastrow)-ROW(PLE.firstrow))),0,
           IF(OFFSET(PLE!$G$15,$M84-$A$15,AY$13)="",10^12,OFFSET(PLE!$G$15,$M84-$A$15,AY$13)))</f>
        <v>1000000000000</v>
      </c>
      <c r="AZ84" s="179">
        <f ca="1">IF(OR($D84&lt;&gt;"Serviço",AND(AUTOEVENTO="Manual",$M84=$A$15),$M84&gt;(ROW(PLE.lastrow)-ROW(PLE.firstrow))),0,
           IF(OFFSET(PLE!$G$15,$M84-$A$15,AZ$13)="",10^12,OFFSET(PLE!$G$15,$M84-$A$15,AZ$13)))</f>
        <v>1000000000000</v>
      </c>
      <c r="BA84" s="179">
        <f ca="1">IF(OR($D84&lt;&gt;"Serviço",AND(AUTOEVENTO="Manual",$M84=$A$15),$M84&gt;(ROW(PLE.lastrow)-ROW(PLE.firstrow))),0,
           IF(OFFSET(PLE!$G$15,$M84-$A$15,BA$13)="",10^12,OFFSET(PLE!$G$15,$M84-$A$15,BA$13)))</f>
        <v>1000000000000</v>
      </c>
      <c r="BB84" s="179">
        <f ca="1">IF(OR($D84&lt;&gt;"Serviço",AND(AUTOEVENTO="Manual",$M84=$A$15),$M84&gt;(ROW(PLE.lastrow)-ROW(PLE.firstrow))),0,
           IF(OFFSET(PLE!$G$15,$M84-$A$15,BB$13)="",10^12,OFFSET(PLE!$G$15,$M84-$A$15,BB$13)))</f>
        <v>1000000000000</v>
      </c>
      <c r="BC84" s="179">
        <f ca="1">IF(OR($D84&lt;&gt;"Serviço",AND(AUTOEVENTO="Manual",$M84=$A$15),$M84&gt;(ROW(PLE.lastrow)-ROW(PLE.firstrow))),0,
           IF(OFFSET(PLE!$G$15,$M84-$A$15,BC$13)="",10^12,OFFSET(PLE!$G$15,$M84-$A$15,BC$13)))</f>
        <v>1000000000000</v>
      </c>
      <c r="BD84" s="179">
        <f ca="1">IF(OR($D84&lt;&gt;"Serviço",AND(AUTOEVENTO="Manual",$M84=$A$15),$M84&gt;(ROW(PLE.lastrow)-ROW(PLE.firstrow))),0,
           IF(OFFSET(PLE!$G$15,$M84-$A$15,BD$13)="",10^12,OFFSET(PLE!$G$15,$M84-$A$15,BD$13)))</f>
        <v>1000000000000</v>
      </c>
      <c r="BE84" s="179">
        <f ca="1">IF(OR($D84&lt;&gt;"Serviço",AND(AUTOEVENTO="Manual",$M84=$A$15),$M84&gt;(ROW(PLE.lastrow)-ROW(PLE.firstrow))),0,
           IF(OFFSET(PLE!$G$15,$M84-$A$15,BE$13)="",10^12,OFFSET(PLE!$G$15,$M84-$A$15,BE$13)))</f>
        <v>1000000000000</v>
      </c>
      <c r="BF84" s="179">
        <f ca="1">IF(OR($D84&lt;&gt;"Serviço",AND(AUTOEVENTO="Manual",$M84=$A$15),$M84&gt;(ROW(PLE.lastrow)-ROW(PLE.firstrow))),0,
           IF(OFFSET(PLE!$G$15,$M84-$A$15,BF$13)="",10^12,OFFSET(PLE!$G$15,$M84-$A$15,BF$13)))</f>
        <v>1000000000000</v>
      </c>
      <c r="BG84" s="179">
        <f ca="1">IF(OR($D84&lt;&gt;"Serviço",AND(AUTOEVENTO="Manual",$M84=$A$15),$M84&gt;(ROW(PLE.lastrow)-ROW(PLE.firstrow))),0,
           IF(OFFSET(PLE!$G$15,$M84-$A$15,BG$13)="",10^12,OFFSET(PLE!$G$15,$M84-$A$15,BG$13)))</f>
        <v>1000000000000</v>
      </c>
    </row>
    <row r="85" spans="1:59" ht="25.5" x14ac:dyDescent="0.2">
      <c r="A85" s="7" t="str">
        <f ca="1">IF(AUTOEVENTO="Manual",IF(K85&lt;&gt;"",MIN(VALUE(LEFT(K85,FIND(".",K85)-1)),COUNTA(EVENTOS.Lista)),0),IF(OR($B85&gt;AUTOEVENTO,$B85="S",$B85=0),SUBSTITUTE(OFFSET($A85,-1,0),IF($D85="Serviço",".",""),""),ROW(A85)-ROW($A$15)&amp;"."))</f>
        <v>56</v>
      </c>
      <c r="B85" s="7" t="str">
        <f ca="1">OFFSET(ORÇAMENTO!C$15,ROW(B85)-ROW(B$15),0)</f>
        <v>S</v>
      </c>
      <c r="C85" s="7" t="str">
        <f ca="1">OFFSET(ORÇAMENTO!L$15,ROW(C85)-ROW(C$15),0)</f>
        <v/>
      </c>
      <c r="D85" s="118" t="str">
        <f ca="1">OFFSET(ORÇAMENTO!N$15,ROW(D85)-ROW(D$15),0)</f>
        <v>Serviço</v>
      </c>
      <c r="E85" s="119" t="str">
        <f ca="1">OFFSET(ORÇAMENTO!O$15,ROW(E85)-ROW(E$15),0)</f>
        <v>-</v>
      </c>
      <c r="F85" s="170" t="str">
        <f ca="1">OFFSET(ORÇAMENTO!R$15,ROW(F85)-ROW(F$15),0)</f>
        <v>(abra o arquivo 'Referência 04-2026.xlsm)</v>
      </c>
      <c r="G85" s="171" t="str">
        <f ca="1">IF($D85&lt;&gt;"Serviço","",OFFSET(ORÇAMENTO!S$15,ROW(G85)-ROW(G$15),0))</f>
        <v>-</v>
      </c>
      <c r="H85" s="124" cm="1">
        <f t="array" aca="1" ref="H85" ca="1">IF($D85&lt;&gt;"Serviço",0,IF(_xlfn.SINGLE(ACOMPANHAMENTO)="BM",ROUND(OFFSET(ORÇAMENTO!AJ$15,ROW(H85)-ROW(H$15),0),15-13*ORÇAMENTO!$AF$7),SUMPRODUCT(($Q$1:$AA$1)*ROUND($Q85:$AA85,15-13*ORÇAMENTO!$AF$7))))</f>
        <v>19</v>
      </c>
      <c r="I85" s="500">
        <v>29</v>
      </c>
      <c r="J85" s="633" t="str" cm="1">
        <f t="array" aca="1" ref="J85" ca="1">IF(B85&lt;&gt;"S","",IF(AND(ACOMPANHAMENTO="PLE",AUTOEVENTO="Manual",OR(H85&gt;0,ORÇAMENTO!AC85="QUANT."),OR(K85="",M85=0,N85="")),"►",IF(AND(ACOMPANHAMENTO="PLE",ORÇAMENTO!AC85="QUANT."),"►►",IF(AND(COUNTIF($P$11:$AA$11,"▼")=0,H85&gt;0,I85=""),"◄",""))))</f>
        <v/>
      </c>
      <c r="K85" s="624"/>
      <c r="L85" s="172" t="s">
        <v>253</v>
      </c>
      <c r="M85" s="173">
        <f ca="1">IF($D85&lt;&gt;"Serviço","",
          IF(AUTOEVENTO="manual",$A85,
                IF(ISERROR(MATCH($A85,$A$15:OFFSET($A85,-1,0),0)),MAX($M$15:OFFSET(M85,-1,0))+1,
                      INDEX($M$15:OFFSET(M85,-1,0),MATCH($A85,$A$15:OFFSET($A85,-1,0),0)))))</f>
        <v>10</v>
      </c>
      <c r="N85" s="174" t="str">
        <f ca="1">IF($D85&lt;&gt;"Serviço","",
         IF(AUTOEVENTO="Manual",
                IF($A85=0,"&lt;-- defina o número do agrupador",
                       OFFSET(EVENTOS!$D$15,$A85-$A$15,0)),
                OFFSET($F$15,$A85,0)))</f>
        <v>INSTALAÇÕES ELÉTRICAS</v>
      </c>
      <c r="O85" s="175"/>
      <c r="Q85" s="175">
        <v>19</v>
      </c>
      <c r="R85" s="176"/>
      <c r="S85" s="176"/>
      <c r="T85" s="176"/>
      <c r="U85" s="176"/>
      <c r="V85" s="176"/>
      <c r="W85" s="176"/>
      <c r="X85" s="176"/>
      <c r="Y85" s="176"/>
      <c r="Z85" s="177"/>
      <c r="AB85" s="485">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85">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85">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85">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85">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85">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85">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85">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85">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85">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8">
        <f ca="1">IF(OR($D85&lt;&gt;"Serviço",AND(AUTOEVENTO="Manual",$M85=$A$15)),0,
         IF(OFFSET(CRONOPLE!$F$15,$M85-$A$15,AM$13)="",10^12,OFFSET(CRONOPLE!$F$15,$M85-$A$15,AM$13)))</f>
        <v>6</v>
      </c>
      <c r="AN85" s="178">
        <f ca="1">IF(OR($D85&lt;&gt;"Serviço",AND(AUTOEVENTO="Manual",$M85=$A$15)),0,
         IF(OFFSET(CRONOPLE!$F$15,$M85-$A$15,AN$13)="",10^12,OFFSET(CRONOPLE!$F$15,$M85-$A$15,AN$13)))</f>
        <v>1000000000000</v>
      </c>
      <c r="AO85" s="178">
        <f ca="1">IF(OR($D85&lt;&gt;"Serviço",AND(AUTOEVENTO="Manual",$M85=$A$15)),0,
         IF(OFFSET(CRONOPLE!$F$15,$M85-$A$15,AO$13)="",10^12,OFFSET(CRONOPLE!$F$15,$M85-$A$15,AO$13)))</f>
        <v>1000000000000</v>
      </c>
      <c r="AP85" s="178">
        <f ca="1">IF(OR($D85&lt;&gt;"Serviço",AND(AUTOEVENTO="Manual",$M85=$A$15)),0,
         IF(OFFSET(CRONOPLE!$F$15,$M85-$A$15,AP$13)="",10^12,OFFSET(CRONOPLE!$F$15,$M85-$A$15,AP$13)))</f>
        <v>1000000000000</v>
      </c>
      <c r="AQ85" s="178">
        <f ca="1">IF(OR($D85&lt;&gt;"Serviço",AND(AUTOEVENTO="Manual",$M85=$A$15)),0,
         IF(OFFSET(CRONOPLE!$F$15,$M85-$A$15,AQ$13)="",10^12,OFFSET(CRONOPLE!$F$15,$M85-$A$15,AQ$13)))</f>
        <v>1000000000000</v>
      </c>
      <c r="AR85" s="178">
        <f ca="1">IF(OR($D85&lt;&gt;"Serviço",AND(AUTOEVENTO="Manual",$M85=$A$15)),0,
         IF(OFFSET(CRONOPLE!$F$15,$M85-$A$15,AR$13)="",10^12,OFFSET(CRONOPLE!$F$15,$M85-$A$15,AR$13)))</f>
        <v>1000000000000</v>
      </c>
      <c r="AS85" s="178">
        <f ca="1">IF(OR($D85&lt;&gt;"Serviço",AND(AUTOEVENTO="Manual",$M85=$A$15)),0,
         IF(OFFSET(CRONOPLE!$F$15,$M85-$A$15,AS$13)="",10^12,OFFSET(CRONOPLE!$F$15,$M85-$A$15,AS$13)))</f>
        <v>1000000000000</v>
      </c>
      <c r="AT85" s="178">
        <f ca="1">IF(OR($D85&lt;&gt;"Serviço",AND(AUTOEVENTO="Manual",$M85=$A$15)),0,
         IF(OFFSET(CRONOPLE!$F$15,$M85-$A$15,AT$13)="",10^12,OFFSET(CRONOPLE!$F$15,$M85-$A$15,AT$13)))</f>
        <v>1000000000000</v>
      </c>
      <c r="AU85" s="178">
        <f ca="1">IF(OR($D85&lt;&gt;"Serviço",AND(AUTOEVENTO="Manual",$M85=$A$15)),0,
         IF(OFFSET(CRONOPLE!$F$15,$M85-$A$15,AU$13)="",10^12,OFFSET(CRONOPLE!$F$15,$M85-$A$15,AU$13)))</f>
        <v>1000000000000</v>
      </c>
      <c r="AV85" s="178">
        <f ca="1">IF(OR($D85&lt;&gt;"Serviço",AND(AUTOEVENTO="Manual",$M85=$A$15)),0,
         IF(OFFSET(CRONOPLE!$F$15,$M85-$A$15,AV$13)="",10^12,OFFSET(CRONOPLE!$F$15,$M85-$A$15,AV$13)))</f>
        <v>1000000000000</v>
      </c>
      <c r="AX85" s="179">
        <f ca="1">IF(OR($D85&lt;&gt;"Serviço",AND(AUTOEVENTO="Manual",$M85=$A$15),$M85&gt;(ROW(PLE.lastrow)-ROW(PLE.firstrow))),0,
           IF(OFFSET(PLE!$G$15,$M85-$A$15,AX$13)="",10^12,OFFSET(PLE!$G$15,$M85-$A$15,AX$13)))</f>
        <v>1000000000000</v>
      </c>
      <c r="AY85" s="179">
        <f ca="1">IF(OR($D85&lt;&gt;"Serviço",AND(AUTOEVENTO="Manual",$M85=$A$15),$M85&gt;(ROW(PLE.lastrow)-ROW(PLE.firstrow))),0,
           IF(OFFSET(PLE!$G$15,$M85-$A$15,AY$13)="",10^12,OFFSET(PLE!$G$15,$M85-$A$15,AY$13)))</f>
        <v>1000000000000</v>
      </c>
      <c r="AZ85" s="179">
        <f ca="1">IF(OR($D85&lt;&gt;"Serviço",AND(AUTOEVENTO="Manual",$M85=$A$15),$M85&gt;(ROW(PLE.lastrow)-ROW(PLE.firstrow))),0,
           IF(OFFSET(PLE!$G$15,$M85-$A$15,AZ$13)="",10^12,OFFSET(PLE!$G$15,$M85-$A$15,AZ$13)))</f>
        <v>1000000000000</v>
      </c>
      <c r="BA85" s="179">
        <f ca="1">IF(OR($D85&lt;&gt;"Serviço",AND(AUTOEVENTO="Manual",$M85=$A$15),$M85&gt;(ROW(PLE.lastrow)-ROW(PLE.firstrow))),0,
           IF(OFFSET(PLE!$G$15,$M85-$A$15,BA$13)="",10^12,OFFSET(PLE!$G$15,$M85-$A$15,BA$13)))</f>
        <v>1000000000000</v>
      </c>
      <c r="BB85" s="179">
        <f ca="1">IF(OR($D85&lt;&gt;"Serviço",AND(AUTOEVENTO="Manual",$M85=$A$15),$M85&gt;(ROW(PLE.lastrow)-ROW(PLE.firstrow))),0,
           IF(OFFSET(PLE!$G$15,$M85-$A$15,BB$13)="",10^12,OFFSET(PLE!$G$15,$M85-$A$15,BB$13)))</f>
        <v>1000000000000</v>
      </c>
      <c r="BC85" s="179">
        <f ca="1">IF(OR($D85&lt;&gt;"Serviço",AND(AUTOEVENTO="Manual",$M85=$A$15),$M85&gt;(ROW(PLE.lastrow)-ROW(PLE.firstrow))),0,
           IF(OFFSET(PLE!$G$15,$M85-$A$15,BC$13)="",10^12,OFFSET(PLE!$G$15,$M85-$A$15,BC$13)))</f>
        <v>1000000000000</v>
      </c>
      <c r="BD85" s="179">
        <f ca="1">IF(OR($D85&lt;&gt;"Serviço",AND(AUTOEVENTO="Manual",$M85=$A$15),$M85&gt;(ROW(PLE.lastrow)-ROW(PLE.firstrow))),0,
           IF(OFFSET(PLE!$G$15,$M85-$A$15,BD$13)="",10^12,OFFSET(PLE!$G$15,$M85-$A$15,BD$13)))</f>
        <v>1000000000000</v>
      </c>
      <c r="BE85" s="179">
        <f ca="1">IF(OR($D85&lt;&gt;"Serviço",AND(AUTOEVENTO="Manual",$M85=$A$15),$M85&gt;(ROW(PLE.lastrow)-ROW(PLE.firstrow))),0,
           IF(OFFSET(PLE!$G$15,$M85-$A$15,BE$13)="",10^12,OFFSET(PLE!$G$15,$M85-$A$15,BE$13)))</f>
        <v>1000000000000</v>
      </c>
      <c r="BF85" s="179">
        <f ca="1">IF(OR($D85&lt;&gt;"Serviço",AND(AUTOEVENTO="Manual",$M85=$A$15),$M85&gt;(ROW(PLE.lastrow)-ROW(PLE.firstrow))),0,
           IF(OFFSET(PLE!$G$15,$M85-$A$15,BF$13)="",10^12,OFFSET(PLE!$G$15,$M85-$A$15,BF$13)))</f>
        <v>1000000000000</v>
      </c>
      <c r="BG85" s="179">
        <f ca="1">IF(OR($D85&lt;&gt;"Serviço",AND(AUTOEVENTO="Manual",$M85=$A$15),$M85&gt;(ROW(PLE.lastrow)-ROW(PLE.firstrow))),0,
           IF(OFFSET(PLE!$G$15,$M85-$A$15,BG$13)="",10^12,OFFSET(PLE!$G$15,$M85-$A$15,BG$13)))</f>
        <v>1000000000000</v>
      </c>
    </row>
    <row r="86" spans="1:59" ht="38.25" x14ac:dyDescent="0.2">
      <c r="A86" s="7" t="str">
        <f ca="1">IF(AUTOEVENTO="Manual",IF(K86&lt;&gt;"",MIN(VALUE(LEFT(K86,FIND(".",K86)-1)),COUNTA(EVENTOS.Lista)),0),IF(OR($B86&gt;AUTOEVENTO,$B86="S",$B86=0),SUBSTITUTE(OFFSET($A86,-1,0),IF($D86="Serviço",".",""),""),ROW(A86)-ROW($A$15)&amp;"."))</f>
        <v>56</v>
      </c>
      <c r="B86" s="7" t="str">
        <f ca="1">OFFSET(ORÇAMENTO!C$15,ROW(B86)-ROW(B$15),0)</f>
        <v>S</v>
      </c>
      <c r="C86" s="7" t="str">
        <f ca="1">OFFSET(ORÇAMENTO!L$15,ROW(C86)-ROW(C$15),0)</f>
        <v/>
      </c>
      <c r="D86" s="118" t="str">
        <f ca="1">OFFSET(ORÇAMENTO!N$15,ROW(D86)-ROW(D$15),0)</f>
        <v>Serviço</v>
      </c>
      <c r="E86" s="119" t="str">
        <f ca="1">OFFSET(ORÇAMENTO!O$15,ROW(E86)-ROW(E$15),0)</f>
        <v>-</v>
      </c>
      <c r="F86" s="170" t="str">
        <f ca="1">OFFSET(ORÇAMENTO!R$15,ROW(F86)-ROW(F$15),0)</f>
        <v>(abra o arquivo 'Referência 04-2026.xlsm)</v>
      </c>
      <c r="G86" s="171" t="str">
        <f ca="1">IF($D86&lt;&gt;"Serviço","",OFFSET(ORÇAMENTO!S$15,ROW(G86)-ROW(G$15),0))</f>
        <v>-</v>
      </c>
      <c r="H86" s="124" cm="1">
        <f t="array" aca="1" ref="H86" ca="1">IF($D86&lt;&gt;"Serviço",0,IF(_xlfn.SINGLE(ACOMPANHAMENTO)="BM",ROUND(OFFSET(ORÇAMENTO!AJ$15,ROW(H86)-ROW(H$15),0),15-13*ORÇAMENTO!$AF$7),SUMPRODUCT(($Q$1:$AA$1)*ROUND($Q86:$AA86,15-13*ORÇAMENTO!$AF$7))))</f>
        <v>1</v>
      </c>
      <c r="I86" s="500"/>
      <c r="J86" s="633" t="str" cm="1">
        <f t="array" aca="1" ref="J86" ca="1">IF(B86&lt;&gt;"S","",IF(AND(ACOMPANHAMENTO="PLE",AUTOEVENTO="Manual",OR(H86&gt;0,ORÇAMENTO!AC86="QUANT."),OR(K86="",M86=0,N86="")),"►",IF(AND(ACOMPANHAMENTO="PLE",ORÇAMENTO!AC86="QUANT."),"►►",IF(AND(COUNTIF($P$11:$AA$11,"▼")=0,H86&gt;0,I86=""),"◄",""))))</f>
        <v/>
      </c>
      <c r="K86" s="624"/>
      <c r="L86" s="172" t="s">
        <v>253</v>
      </c>
      <c r="M86" s="173">
        <f ca="1">IF($D86&lt;&gt;"Serviço","",
          IF(AUTOEVENTO="manual",$A86,
                IF(ISERROR(MATCH($A86,$A$15:OFFSET($A86,-1,0),0)),MAX($M$15:OFFSET(M86,-1,0))+1,
                      INDEX($M$15:OFFSET(M86,-1,0),MATCH($A86,$A$15:OFFSET($A86,-1,0),0)))))</f>
        <v>10</v>
      </c>
      <c r="N86" s="174" t="str">
        <f ca="1">IF($D86&lt;&gt;"Serviço","",
         IF(AUTOEVENTO="Manual",
                IF($A86=0,"&lt;-- defina o número do agrupador",
                       OFFSET(EVENTOS!$D$15,$A86-$A$15,0)),
                OFFSET($F$15,$A86,0)))</f>
        <v>INSTALAÇÕES ELÉTRICAS</v>
      </c>
      <c r="O86" s="175"/>
      <c r="Q86" s="175">
        <v>1</v>
      </c>
      <c r="R86" s="176"/>
      <c r="S86" s="176"/>
      <c r="T86" s="176"/>
      <c r="U86" s="176"/>
      <c r="V86" s="176"/>
      <c r="W86" s="176"/>
      <c r="X86" s="176"/>
      <c r="Y86" s="176"/>
      <c r="Z86" s="177"/>
      <c r="AB86" s="485">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85">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85">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85">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85">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85">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85">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85">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85">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85">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8">
        <f ca="1">IF(OR($D86&lt;&gt;"Serviço",AND(AUTOEVENTO="Manual",$M86=$A$15)),0,
         IF(OFFSET(CRONOPLE!$F$15,$M86-$A$15,AM$13)="",10^12,OFFSET(CRONOPLE!$F$15,$M86-$A$15,AM$13)))</f>
        <v>6</v>
      </c>
      <c r="AN86" s="178">
        <f ca="1">IF(OR($D86&lt;&gt;"Serviço",AND(AUTOEVENTO="Manual",$M86=$A$15)),0,
         IF(OFFSET(CRONOPLE!$F$15,$M86-$A$15,AN$13)="",10^12,OFFSET(CRONOPLE!$F$15,$M86-$A$15,AN$13)))</f>
        <v>1000000000000</v>
      </c>
      <c r="AO86" s="178">
        <f ca="1">IF(OR($D86&lt;&gt;"Serviço",AND(AUTOEVENTO="Manual",$M86=$A$15)),0,
         IF(OFFSET(CRONOPLE!$F$15,$M86-$A$15,AO$13)="",10^12,OFFSET(CRONOPLE!$F$15,$M86-$A$15,AO$13)))</f>
        <v>1000000000000</v>
      </c>
      <c r="AP86" s="178">
        <f ca="1">IF(OR($D86&lt;&gt;"Serviço",AND(AUTOEVENTO="Manual",$M86=$A$15)),0,
         IF(OFFSET(CRONOPLE!$F$15,$M86-$A$15,AP$13)="",10^12,OFFSET(CRONOPLE!$F$15,$M86-$A$15,AP$13)))</f>
        <v>1000000000000</v>
      </c>
      <c r="AQ86" s="178">
        <f ca="1">IF(OR($D86&lt;&gt;"Serviço",AND(AUTOEVENTO="Manual",$M86=$A$15)),0,
         IF(OFFSET(CRONOPLE!$F$15,$M86-$A$15,AQ$13)="",10^12,OFFSET(CRONOPLE!$F$15,$M86-$A$15,AQ$13)))</f>
        <v>1000000000000</v>
      </c>
      <c r="AR86" s="178">
        <f ca="1">IF(OR($D86&lt;&gt;"Serviço",AND(AUTOEVENTO="Manual",$M86=$A$15)),0,
         IF(OFFSET(CRONOPLE!$F$15,$M86-$A$15,AR$13)="",10^12,OFFSET(CRONOPLE!$F$15,$M86-$A$15,AR$13)))</f>
        <v>1000000000000</v>
      </c>
      <c r="AS86" s="178">
        <f ca="1">IF(OR($D86&lt;&gt;"Serviço",AND(AUTOEVENTO="Manual",$M86=$A$15)),0,
         IF(OFFSET(CRONOPLE!$F$15,$M86-$A$15,AS$13)="",10^12,OFFSET(CRONOPLE!$F$15,$M86-$A$15,AS$13)))</f>
        <v>1000000000000</v>
      </c>
      <c r="AT86" s="178">
        <f ca="1">IF(OR($D86&lt;&gt;"Serviço",AND(AUTOEVENTO="Manual",$M86=$A$15)),0,
         IF(OFFSET(CRONOPLE!$F$15,$M86-$A$15,AT$13)="",10^12,OFFSET(CRONOPLE!$F$15,$M86-$A$15,AT$13)))</f>
        <v>1000000000000</v>
      </c>
      <c r="AU86" s="178">
        <f ca="1">IF(OR($D86&lt;&gt;"Serviço",AND(AUTOEVENTO="Manual",$M86=$A$15)),0,
         IF(OFFSET(CRONOPLE!$F$15,$M86-$A$15,AU$13)="",10^12,OFFSET(CRONOPLE!$F$15,$M86-$A$15,AU$13)))</f>
        <v>1000000000000</v>
      </c>
      <c r="AV86" s="178">
        <f ca="1">IF(OR($D86&lt;&gt;"Serviço",AND(AUTOEVENTO="Manual",$M86=$A$15)),0,
         IF(OFFSET(CRONOPLE!$F$15,$M86-$A$15,AV$13)="",10^12,OFFSET(CRONOPLE!$F$15,$M86-$A$15,AV$13)))</f>
        <v>1000000000000</v>
      </c>
      <c r="AX86" s="179">
        <f ca="1">IF(OR($D86&lt;&gt;"Serviço",AND(AUTOEVENTO="Manual",$M86=$A$15),$M86&gt;(ROW(PLE.lastrow)-ROW(PLE.firstrow))),0,
           IF(OFFSET(PLE!$G$15,$M86-$A$15,AX$13)="",10^12,OFFSET(PLE!$G$15,$M86-$A$15,AX$13)))</f>
        <v>1000000000000</v>
      </c>
      <c r="AY86" s="179">
        <f ca="1">IF(OR($D86&lt;&gt;"Serviço",AND(AUTOEVENTO="Manual",$M86=$A$15),$M86&gt;(ROW(PLE.lastrow)-ROW(PLE.firstrow))),0,
           IF(OFFSET(PLE!$G$15,$M86-$A$15,AY$13)="",10^12,OFFSET(PLE!$G$15,$M86-$A$15,AY$13)))</f>
        <v>1000000000000</v>
      </c>
      <c r="AZ86" s="179">
        <f ca="1">IF(OR($D86&lt;&gt;"Serviço",AND(AUTOEVENTO="Manual",$M86=$A$15),$M86&gt;(ROW(PLE.lastrow)-ROW(PLE.firstrow))),0,
           IF(OFFSET(PLE!$G$15,$M86-$A$15,AZ$13)="",10^12,OFFSET(PLE!$G$15,$M86-$A$15,AZ$13)))</f>
        <v>1000000000000</v>
      </c>
      <c r="BA86" s="179">
        <f ca="1">IF(OR($D86&lt;&gt;"Serviço",AND(AUTOEVENTO="Manual",$M86=$A$15),$M86&gt;(ROW(PLE.lastrow)-ROW(PLE.firstrow))),0,
           IF(OFFSET(PLE!$G$15,$M86-$A$15,BA$13)="",10^12,OFFSET(PLE!$G$15,$M86-$A$15,BA$13)))</f>
        <v>1000000000000</v>
      </c>
      <c r="BB86" s="179">
        <f ca="1">IF(OR($D86&lt;&gt;"Serviço",AND(AUTOEVENTO="Manual",$M86=$A$15),$M86&gt;(ROW(PLE.lastrow)-ROW(PLE.firstrow))),0,
           IF(OFFSET(PLE!$G$15,$M86-$A$15,BB$13)="",10^12,OFFSET(PLE!$G$15,$M86-$A$15,BB$13)))</f>
        <v>1000000000000</v>
      </c>
      <c r="BC86" s="179">
        <f ca="1">IF(OR($D86&lt;&gt;"Serviço",AND(AUTOEVENTO="Manual",$M86=$A$15),$M86&gt;(ROW(PLE.lastrow)-ROW(PLE.firstrow))),0,
           IF(OFFSET(PLE!$G$15,$M86-$A$15,BC$13)="",10^12,OFFSET(PLE!$G$15,$M86-$A$15,BC$13)))</f>
        <v>1000000000000</v>
      </c>
      <c r="BD86" s="179">
        <f ca="1">IF(OR($D86&lt;&gt;"Serviço",AND(AUTOEVENTO="Manual",$M86=$A$15),$M86&gt;(ROW(PLE.lastrow)-ROW(PLE.firstrow))),0,
           IF(OFFSET(PLE!$G$15,$M86-$A$15,BD$13)="",10^12,OFFSET(PLE!$G$15,$M86-$A$15,BD$13)))</f>
        <v>1000000000000</v>
      </c>
      <c r="BE86" s="179">
        <f ca="1">IF(OR($D86&lt;&gt;"Serviço",AND(AUTOEVENTO="Manual",$M86=$A$15),$M86&gt;(ROW(PLE.lastrow)-ROW(PLE.firstrow))),0,
           IF(OFFSET(PLE!$G$15,$M86-$A$15,BE$13)="",10^12,OFFSET(PLE!$G$15,$M86-$A$15,BE$13)))</f>
        <v>1000000000000</v>
      </c>
      <c r="BF86" s="179">
        <f ca="1">IF(OR($D86&lt;&gt;"Serviço",AND(AUTOEVENTO="Manual",$M86=$A$15),$M86&gt;(ROW(PLE.lastrow)-ROW(PLE.firstrow))),0,
           IF(OFFSET(PLE!$G$15,$M86-$A$15,BF$13)="",10^12,OFFSET(PLE!$G$15,$M86-$A$15,BF$13)))</f>
        <v>1000000000000</v>
      </c>
      <c r="BG86" s="179">
        <f ca="1">IF(OR($D86&lt;&gt;"Serviço",AND(AUTOEVENTO="Manual",$M86=$A$15),$M86&gt;(ROW(PLE.lastrow)-ROW(PLE.firstrow))),0,
           IF(OFFSET(PLE!$G$15,$M86-$A$15,BG$13)="",10^12,OFFSET(PLE!$G$15,$M86-$A$15,BG$13)))</f>
        <v>1000000000000</v>
      </c>
    </row>
    <row r="87" spans="1:59" ht="25.5" x14ac:dyDescent="0.2">
      <c r="A87" s="7" t="str">
        <f ca="1">IF(AUTOEVENTO="Manual",IF(K87&lt;&gt;"",MIN(VALUE(LEFT(K87,FIND(".",K87)-1)),COUNTA(EVENTOS.Lista)),0),IF(OR($B87&gt;AUTOEVENTO,$B87="S",$B87=0),SUBSTITUTE(OFFSET($A87,-1,0),IF($D87="Serviço",".",""),""),ROW(A87)-ROW($A$15)&amp;"."))</f>
        <v>56</v>
      </c>
      <c r="B87" s="7" t="str">
        <f ca="1">OFFSET(ORÇAMENTO!C$15,ROW(B87)-ROW(B$15),0)</f>
        <v>S</v>
      </c>
      <c r="C87" s="7" t="str">
        <f ca="1">OFFSET(ORÇAMENTO!L$15,ROW(C87)-ROW(C$15),0)</f>
        <v/>
      </c>
      <c r="D87" s="118" t="str">
        <f ca="1">OFFSET(ORÇAMENTO!N$15,ROW(D87)-ROW(D$15),0)</f>
        <v>Serviço</v>
      </c>
      <c r="E87" s="119" t="str">
        <f ca="1">OFFSET(ORÇAMENTO!O$15,ROW(E87)-ROW(E$15),0)</f>
        <v>-</v>
      </c>
      <c r="F87" s="170" t="str">
        <f ca="1">OFFSET(ORÇAMENTO!R$15,ROW(F87)-ROW(F$15),0)</f>
        <v>(abra o arquivo 'Referência 04-2026.xlsm)</v>
      </c>
      <c r="G87" s="171" t="str">
        <f ca="1">IF($D87&lt;&gt;"Serviço","",OFFSET(ORÇAMENTO!S$15,ROW(G87)-ROW(G$15),0))</f>
        <v>-</v>
      </c>
      <c r="H87" s="124" cm="1">
        <f t="array" aca="1" ref="H87" ca="1">IF($D87&lt;&gt;"Serviço",0,IF(_xlfn.SINGLE(ACOMPANHAMENTO)="BM",ROUND(OFFSET(ORÇAMENTO!AJ$15,ROW(H87)-ROW(H$15),0),15-13*ORÇAMENTO!$AF$7),SUMPRODUCT(($Q$1:$AA$1)*ROUND($Q87:$AA87,15-13*ORÇAMENTO!$AF$7))))</f>
        <v>2</v>
      </c>
      <c r="I87" s="500"/>
      <c r="J87" s="633" t="str" cm="1">
        <f t="array" aca="1" ref="J87" ca="1">IF(B87&lt;&gt;"S","",IF(AND(ACOMPANHAMENTO="PLE",AUTOEVENTO="Manual",OR(H87&gt;0,ORÇAMENTO!AC87="QUANT."),OR(K87="",M87=0,N87="")),"►",IF(AND(ACOMPANHAMENTO="PLE",ORÇAMENTO!AC87="QUANT."),"►►",IF(AND(COUNTIF($P$11:$AA$11,"▼")=0,H87&gt;0,I87=""),"◄",""))))</f>
        <v/>
      </c>
      <c r="K87" s="624"/>
      <c r="L87" s="172" t="s">
        <v>253</v>
      </c>
      <c r="M87" s="173">
        <f ca="1">IF($D87&lt;&gt;"Serviço","",
          IF(AUTOEVENTO="manual",$A87,
                IF(ISERROR(MATCH($A87,$A$15:OFFSET($A87,-1,0),0)),MAX($M$15:OFFSET(M87,-1,0))+1,
                      INDEX($M$15:OFFSET(M87,-1,0),MATCH($A87,$A$15:OFFSET($A87,-1,0),0)))))</f>
        <v>10</v>
      </c>
      <c r="N87" s="174" t="str">
        <f ca="1">IF($D87&lt;&gt;"Serviço","",
         IF(AUTOEVENTO="Manual",
                IF($A87=0,"&lt;-- defina o número do agrupador",
                       OFFSET(EVENTOS!$D$15,$A87-$A$15,0)),
                OFFSET($F$15,$A87,0)))</f>
        <v>INSTALAÇÕES ELÉTRICAS</v>
      </c>
      <c r="O87" s="175"/>
      <c r="Q87" s="175">
        <v>2</v>
      </c>
      <c r="R87" s="176"/>
      <c r="S87" s="176"/>
      <c r="T87" s="176"/>
      <c r="U87" s="176"/>
      <c r="V87" s="176"/>
      <c r="W87" s="176"/>
      <c r="X87" s="176"/>
      <c r="Y87" s="176"/>
      <c r="Z87" s="177"/>
      <c r="AB87" s="485">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85">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85">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85">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85">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85">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85">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85">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85">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85">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8">
        <f ca="1">IF(OR($D87&lt;&gt;"Serviço",AND(AUTOEVENTO="Manual",$M87=$A$15)),0,
         IF(OFFSET(CRONOPLE!$F$15,$M87-$A$15,AM$13)="",10^12,OFFSET(CRONOPLE!$F$15,$M87-$A$15,AM$13)))</f>
        <v>6</v>
      </c>
      <c r="AN87" s="178">
        <f ca="1">IF(OR($D87&lt;&gt;"Serviço",AND(AUTOEVENTO="Manual",$M87=$A$15)),0,
         IF(OFFSET(CRONOPLE!$F$15,$M87-$A$15,AN$13)="",10^12,OFFSET(CRONOPLE!$F$15,$M87-$A$15,AN$13)))</f>
        <v>1000000000000</v>
      </c>
      <c r="AO87" s="178">
        <f ca="1">IF(OR($D87&lt;&gt;"Serviço",AND(AUTOEVENTO="Manual",$M87=$A$15)),0,
         IF(OFFSET(CRONOPLE!$F$15,$M87-$A$15,AO$13)="",10^12,OFFSET(CRONOPLE!$F$15,$M87-$A$15,AO$13)))</f>
        <v>1000000000000</v>
      </c>
      <c r="AP87" s="178">
        <f ca="1">IF(OR($D87&lt;&gt;"Serviço",AND(AUTOEVENTO="Manual",$M87=$A$15)),0,
         IF(OFFSET(CRONOPLE!$F$15,$M87-$A$15,AP$13)="",10^12,OFFSET(CRONOPLE!$F$15,$M87-$A$15,AP$13)))</f>
        <v>1000000000000</v>
      </c>
      <c r="AQ87" s="178">
        <f ca="1">IF(OR($D87&lt;&gt;"Serviço",AND(AUTOEVENTO="Manual",$M87=$A$15)),0,
         IF(OFFSET(CRONOPLE!$F$15,$M87-$A$15,AQ$13)="",10^12,OFFSET(CRONOPLE!$F$15,$M87-$A$15,AQ$13)))</f>
        <v>1000000000000</v>
      </c>
      <c r="AR87" s="178">
        <f ca="1">IF(OR($D87&lt;&gt;"Serviço",AND(AUTOEVENTO="Manual",$M87=$A$15)),0,
         IF(OFFSET(CRONOPLE!$F$15,$M87-$A$15,AR$13)="",10^12,OFFSET(CRONOPLE!$F$15,$M87-$A$15,AR$13)))</f>
        <v>1000000000000</v>
      </c>
      <c r="AS87" s="178">
        <f ca="1">IF(OR($D87&lt;&gt;"Serviço",AND(AUTOEVENTO="Manual",$M87=$A$15)),0,
         IF(OFFSET(CRONOPLE!$F$15,$M87-$A$15,AS$13)="",10^12,OFFSET(CRONOPLE!$F$15,$M87-$A$15,AS$13)))</f>
        <v>1000000000000</v>
      </c>
      <c r="AT87" s="178">
        <f ca="1">IF(OR($D87&lt;&gt;"Serviço",AND(AUTOEVENTO="Manual",$M87=$A$15)),0,
         IF(OFFSET(CRONOPLE!$F$15,$M87-$A$15,AT$13)="",10^12,OFFSET(CRONOPLE!$F$15,$M87-$A$15,AT$13)))</f>
        <v>1000000000000</v>
      </c>
      <c r="AU87" s="178">
        <f ca="1">IF(OR($D87&lt;&gt;"Serviço",AND(AUTOEVENTO="Manual",$M87=$A$15)),0,
         IF(OFFSET(CRONOPLE!$F$15,$M87-$A$15,AU$13)="",10^12,OFFSET(CRONOPLE!$F$15,$M87-$A$15,AU$13)))</f>
        <v>1000000000000</v>
      </c>
      <c r="AV87" s="178">
        <f ca="1">IF(OR($D87&lt;&gt;"Serviço",AND(AUTOEVENTO="Manual",$M87=$A$15)),0,
         IF(OFFSET(CRONOPLE!$F$15,$M87-$A$15,AV$13)="",10^12,OFFSET(CRONOPLE!$F$15,$M87-$A$15,AV$13)))</f>
        <v>1000000000000</v>
      </c>
      <c r="AX87" s="179">
        <f ca="1">IF(OR($D87&lt;&gt;"Serviço",AND(AUTOEVENTO="Manual",$M87=$A$15),$M87&gt;(ROW(PLE.lastrow)-ROW(PLE.firstrow))),0,
           IF(OFFSET(PLE!$G$15,$M87-$A$15,AX$13)="",10^12,OFFSET(PLE!$G$15,$M87-$A$15,AX$13)))</f>
        <v>1000000000000</v>
      </c>
      <c r="AY87" s="179">
        <f ca="1">IF(OR($D87&lt;&gt;"Serviço",AND(AUTOEVENTO="Manual",$M87=$A$15),$M87&gt;(ROW(PLE.lastrow)-ROW(PLE.firstrow))),0,
           IF(OFFSET(PLE!$G$15,$M87-$A$15,AY$13)="",10^12,OFFSET(PLE!$G$15,$M87-$A$15,AY$13)))</f>
        <v>1000000000000</v>
      </c>
      <c r="AZ87" s="179">
        <f ca="1">IF(OR($D87&lt;&gt;"Serviço",AND(AUTOEVENTO="Manual",$M87=$A$15),$M87&gt;(ROW(PLE.lastrow)-ROW(PLE.firstrow))),0,
           IF(OFFSET(PLE!$G$15,$M87-$A$15,AZ$13)="",10^12,OFFSET(PLE!$G$15,$M87-$A$15,AZ$13)))</f>
        <v>1000000000000</v>
      </c>
      <c r="BA87" s="179">
        <f ca="1">IF(OR($D87&lt;&gt;"Serviço",AND(AUTOEVENTO="Manual",$M87=$A$15),$M87&gt;(ROW(PLE.lastrow)-ROW(PLE.firstrow))),0,
           IF(OFFSET(PLE!$G$15,$M87-$A$15,BA$13)="",10^12,OFFSET(PLE!$G$15,$M87-$A$15,BA$13)))</f>
        <v>1000000000000</v>
      </c>
      <c r="BB87" s="179">
        <f ca="1">IF(OR($D87&lt;&gt;"Serviço",AND(AUTOEVENTO="Manual",$M87=$A$15),$M87&gt;(ROW(PLE.lastrow)-ROW(PLE.firstrow))),0,
           IF(OFFSET(PLE!$G$15,$M87-$A$15,BB$13)="",10^12,OFFSET(PLE!$G$15,$M87-$A$15,BB$13)))</f>
        <v>1000000000000</v>
      </c>
      <c r="BC87" s="179">
        <f ca="1">IF(OR($D87&lt;&gt;"Serviço",AND(AUTOEVENTO="Manual",$M87=$A$15),$M87&gt;(ROW(PLE.lastrow)-ROW(PLE.firstrow))),0,
           IF(OFFSET(PLE!$G$15,$M87-$A$15,BC$13)="",10^12,OFFSET(PLE!$G$15,$M87-$A$15,BC$13)))</f>
        <v>1000000000000</v>
      </c>
      <c r="BD87" s="179">
        <f ca="1">IF(OR($D87&lt;&gt;"Serviço",AND(AUTOEVENTO="Manual",$M87=$A$15),$M87&gt;(ROW(PLE.lastrow)-ROW(PLE.firstrow))),0,
           IF(OFFSET(PLE!$G$15,$M87-$A$15,BD$13)="",10^12,OFFSET(PLE!$G$15,$M87-$A$15,BD$13)))</f>
        <v>1000000000000</v>
      </c>
      <c r="BE87" s="179">
        <f ca="1">IF(OR($D87&lt;&gt;"Serviço",AND(AUTOEVENTO="Manual",$M87=$A$15),$M87&gt;(ROW(PLE.lastrow)-ROW(PLE.firstrow))),0,
           IF(OFFSET(PLE!$G$15,$M87-$A$15,BE$13)="",10^12,OFFSET(PLE!$G$15,$M87-$A$15,BE$13)))</f>
        <v>1000000000000</v>
      </c>
      <c r="BF87" s="179">
        <f ca="1">IF(OR($D87&lt;&gt;"Serviço",AND(AUTOEVENTO="Manual",$M87=$A$15),$M87&gt;(ROW(PLE.lastrow)-ROW(PLE.firstrow))),0,
           IF(OFFSET(PLE!$G$15,$M87-$A$15,BF$13)="",10^12,OFFSET(PLE!$G$15,$M87-$A$15,BF$13)))</f>
        <v>1000000000000</v>
      </c>
      <c r="BG87" s="179">
        <f ca="1">IF(OR($D87&lt;&gt;"Serviço",AND(AUTOEVENTO="Manual",$M87=$A$15),$M87&gt;(ROW(PLE.lastrow)-ROW(PLE.firstrow))),0,
           IF(OFFSET(PLE!$G$15,$M87-$A$15,BG$13)="",10^12,OFFSET(PLE!$G$15,$M87-$A$15,BG$13)))</f>
        <v>1000000000000</v>
      </c>
    </row>
    <row r="88" spans="1:59" ht="51" x14ac:dyDescent="0.2">
      <c r="A88" s="7" t="str">
        <f ca="1">IF(AUTOEVENTO="Manual",IF(K88&lt;&gt;"",MIN(VALUE(LEFT(K88,FIND(".",K88)-1)),COUNTA(EVENTOS.Lista)),0),IF(OR($B88&gt;AUTOEVENTO,$B88="S",$B88=0),SUBSTITUTE(OFFSET($A88,-1,0),IF($D88="Serviço",".",""),""),ROW(A88)-ROW($A$15)&amp;"."))</f>
        <v>56</v>
      </c>
      <c r="B88" s="7" t="str">
        <f ca="1">OFFSET(ORÇAMENTO!C$15,ROW(B88)-ROW(B$15),0)</f>
        <v>S</v>
      </c>
      <c r="C88" s="7" t="str">
        <f ca="1">OFFSET(ORÇAMENTO!L$15,ROW(C88)-ROW(C$15),0)</f>
        <v/>
      </c>
      <c r="D88" s="118" t="str">
        <f ca="1">OFFSET(ORÇAMENTO!N$15,ROW(D88)-ROW(D$15),0)</f>
        <v>Serviço</v>
      </c>
      <c r="E88" s="119" t="str">
        <f ca="1">OFFSET(ORÇAMENTO!O$15,ROW(E88)-ROW(E$15),0)</f>
        <v>-</v>
      </c>
      <c r="F88" s="170" t="str">
        <f ca="1">OFFSET(ORÇAMENTO!R$15,ROW(F88)-ROW(F$15),0)</f>
        <v>(abra o arquivo 'Referência 04-2026.xlsm)</v>
      </c>
      <c r="G88" s="171" t="str">
        <f ca="1">IF($D88&lt;&gt;"Serviço","",OFFSET(ORÇAMENTO!S$15,ROW(G88)-ROW(G$15),0))</f>
        <v>-</v>
      </c>
      <c r="H88" s="124" cm="1">
        <f t="array" aca="1" ref="H88" ca="1">IF($D88&lt;&gt;"Serviço",0,IF(_xlfn.SINGLE(ACOMPANHAMENTO)="BM",ROUND(OFFSET(ORÇAMENTO!AJ$15,ROW(H88)-ROW(H$15),0),15-13*ORÇAMENTO!$AF$7),SUMPRODUCT(($Q$1:$AA$1)*ROUND($Q88:$AA88,15-13*ORÇAMENTO!$AF$7))))</f>
        <v>102</v>
      </c>
      <c r="I88" s="500"/>
      <c r="J88" s="633" t="str" cm="1">
        <f t="array" aca="1" ref="J88" ca="1">IF(B88&lt;&gt;"S","",IF(AND(ACOMPANHAMENTO="PLE",AUTOEVENTO="Manual",OR(H88&gt;0,ORÇAMENTO!AC88="QUANT."),OR(K88="",M88=0,N88="")),"►",IF(AND(ACOMPANHAMENTO="PLE",ORÇAMENTO!AC88="QUANT."),"►►",IF(AND(COUNTIF($P$11:$AA$11,"▼")=0,H88&gt;0,I88=""),"◄",""))))</f>
        <v/>
      </c>
      <c r="K88" s="624"/>
      <c r="L88" s="172" t="s">
        <v>253</v>
      </c>
      <c r="M88" s="173">
        <f ca="1">IF($D88&lt;&gt;"Serviço","",
          IF(AUTOEVENTO="manual",$A88,
                IF(ISERROR(MATCH($A88,$A$15:OFFSET($A88,-1,0),0)),MAX($M$15:OFFSET(M88,-1,0))+1,
                      INDEX($M$15:OFFSET(M88,-1,0),MATCH($A88,$A$15:OFFSET($A88,-1,0),0)))))</f>
        <v>10</v>
      </c>
      <c r="N88" s="174" t="str">
        <f ca="1">IF($D88&lt;&gt;"Serviço","",
         IF(AUTOEVENTO="Manual",
                IF($A88=0,"&lt;-- defina o número do agrupador",
                       OFFSET(EVENTOS!$D$15,$A88-$A$15,0)),
                OFFSET($F$15,$A88,0)))</f>
        <v>INSTALAÇÕES ELÉTRICAS</v>
      </c>
      <c r="O88" s="175"/>
      <c r="Q88" s="175">
        <v>102</v>
      </c>
      <c r="R88" s="176"/>
      <c r="S88" s="176"/>
      <c r="T88" s="176"/>
      <c r="U88" s="176"/>
      <c r="V88" s="176"/>
      <c r="W88" s="176"/>
      <c r="X88" s="176"/>
      <c r="Y88" s="176"/>
      <c r="Z88" s="177"/>
      <c r="AB88" s="485">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85">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85">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85">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85">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85">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85">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85">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85">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85">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8">
        <f ca="1">IF(OR($D88&lt;&gt;"Serviço",AND(AUTOEVENTO="Manual",$M88=$A$15)),0,
         IF(OFFSET(CRONOPLE!$F$15,$M88-$A$15,AM$13)="",10^12,OFFSET(CRONOPLE!$F$15,$M88-$A$15,AM$13)))</f>
        <v>6</v>
      </c>
      <c r="AN88" s="178">
        <f ca="1">IF(OR($D88&lt;&gt;"Serviço",AND(AUTOEVENTO="Manual",$M88=$A$15)),0,
         IF(OFFSET(CRONOPLE!$F$15,$M88-$A$15,AN$13)="",10^12,OFFSET(CRONOPLE!$F$15,$M88-$A$15,AN$13)))</f>
        <v>1000000000000</v>
      </c>
      <c r="AO88" s="178">
        <f ca="1">IF(OR($D88&lt;&gt;"Serviço",AND(AUTOEVENTO="Manual",$M88=$A$15)),0,
         IF(OFFSET(CRONOPLE!$F$15,$M88-$A$15,AO$13)="",10^12,OFFSET(CRONOPLE!$F$15,$M88-$A$15,AO$13)))</f>
        <v>1000000000000</v>
      </c>
      <c r="AP88" s="178">
        <f ca="1">IF(OR($D88&lt;&gt;"Serviço",AND(AUTOEVENTO="Manual",$M88=$A$15)),0,
         IF(OFFSET(CRONOPLE!$F$15,$M88-$A$15,AP$13)="",10^12,OFFSET(CRONOPLE!$F$15,$M88-$A$15,AP$13)))</f>
        <v>1000000000000</v>
      </c>
      <c r="AQ88" s="178">
        <f ca="1">IF(OR($D88&lt;&gt;"Serviço",AND(AUTOEVENTO="Manual",$M88=$A$15)),0,
         IF(OFFSET(CRONOPLE!$F$15,$M88-$A$15,AQ$13)="",10^12,OFFSET(CRONOPLE!$F$15,$M88-$A$15,AQ$13)))</f>
        <v>1000000000000</v>
      </c>
      <c r="AR88" s="178">
        <f ca="1">IF(OR($D88&lt;&gt;"Serviço",AND(AUTOEVENTO="Manual",$M88=$A$15)),0,
         IF(OFFSET(CRONOPLE!$F$15,$M88-$A$15,AR$13)="",10^12,OFFSET(CRONOPLE!$F$15,$M88-$A$15,AR$13)))</f>
        <v>1000000000000</v>
      </c>
      <c r="AS88" s="178">
        <f ca="1">IF(OR($D88&lt;&gt;"Serviço",AND(AUTOEVENTO="Manual",$M88=$A$15)),0,
         IF(OFFSET(CRONOPLE!$F$15,$M88-$A$15,AS$13)="",10^12,OFFSET(CRONOPLE!$F$15,$M88-$A$15,AS$13)))</f>
        <v>1000000000000</v>
      </c>
      <c r="AT88" s="178">
        <f ca="1">IF(OR($D88&lt;&gt;"Serviço",AND(AUTOEVENTO="Manual",$M88=$A$15)),0,
         IF(OFFSET(CRONOPLE!$F$15,$M88-$A$15,AT$13)="",10^12,OFFSET(CRONOPLE!$F$15,$M88-$A$15,AT$13)))</f>
        <v>1000000000000</v>
      </c>
      <c r="AU88" s="178">
        <f ca="1">IF(OR($D88&lt;&gt;"Serviço",AND(AUTOEVENTO="Manual",$M88=$A$15)),0,
         IF(OFFSET(CRONOPLE!$F$15,$M88-$A$15,AU$13)="",10^12,OFFSET(CRONOPLE!$F$15,$M88-$A$15,AU$13)))</f>
        <v>1000000000000</v>
      </c>
      <c r="AV88" s="178">
        <f ca="1">IF(OR($D88&lt;&gt;"Serviço",AND(AUTOEVENTO="Manual",$M88=$A$15)),0,
         IF(OFFSET(CRONOPLE!$F$15,$M88-$A$15,AV$13)="",10^12,OFFSET(CRONOPLE!$F$15,$M88-$A$15,AV$13)))</f>
        <v>1000000000000</v>
      </c>
      <c r="AX88" s="179">
        <f ca="1">IF(OR($D88&lt;&gt;"Serviço",AND(AUTOEVENTO="Manual",$M88=$A$15),$M88&gt;(ROW(PLE.lastrow)-ROW(PLE.firstrow))),0,
           IF(OFFSET(PLE!$G$15,$M88-$A$15,AX$13)="",10^12,OFFSET(PLE!$G$15,$M88-$A$15,AX$13)))</f>
        <v>1000000000000</v>
      </c>
      <c r="AY88" s="179">
        <f ca="1">IF(OR($D88&lt;&gt;"Serviço",AND(AUTOEVENTO="Manual",$M88=$A$15),$M88&gt;(ROW(PLE.lastrow)-ROW(PLE.firstrow))),0,
           IF(OFFSET(PLE!$G$15,$M88-$A$15,AY$13)="",10^12,OFFSET(PLE!$G$15,$M88-$A$15,AY$13)))</f>
        <v>1000000000000</v>
      </c>
      <c r="AZ88" s="179">
        <f ca="1">IF(OR($D88&lt;&gt;"Serviço",AND(AUTOEVENTO="Manual",$M88=$A$15),$M88&gt;(ROW(PLE.lastrow)-ROW(PLE.firstrow))),0,
           IF(OFFSET(PLE!$G$15,$M88-$A$15,AZ$13)="",10^12,OFFSET(PLE!$G$15,$M88-$A$15,AZ$13)))</f>
        <v>1000000000000</v>
      </c>
      <c r="BA88" s="179">
        <f ca="1">IF(OR($D88&lt;&gt;"Serviço",AND(AUTOEVENTO="Manual",$M88=$A$15),$M88&gt;(ROW(PLE.lastrow)-ROW(PLE.firstrow))),0,
           IF(OFFSET(PLE!$G$15,$M88-$A$15,BA$13)="",10^12,OFFSET(PLE!$G$15,$M88-$A$15,BA$13)))</f>
        <v>1000000000000</v>
      </c>
      <c r="BB88" s="179">
        <f ca="1">IF(OR($D88&lt;&gt;"Serviço",AND(AUTOEVENTO="Manual",$M88=$A$15),$M88&gt;(ROW(PLE.lastrow)-ROW(PLE.firstrow))),0,
           IF(OFFSET(PLE!$G$15,$M88-$A$15,BB$13)="",10^12,OFFSET(PLE!$G$15,$M88-$A$15,BB$13)))</f>
        <v>1000000000000</v>
      </c>
      <c r="BC88" s="179">
        <f ca="1">IF(OR($D88&lt;&gt;"Serviço",AND(AUTOEVENTO="Manual",$M88=$A$15),$M88&gt;(ROW(PLE.lastrow)-ROW(PLE.firstrow))),0,
           IF(OFFSET(PLE!$G$15,$M88-$A$15,BC$13)="",10^12,OFFSET(PLE!$G$15,$M88-$A$15,BC$13)))</f>
        <v>1000000000000</v>
      </c>
      <c r="BD88" s="179">
        <f ca="1">IF(OR($D88&lt;&gt;"Serviço",AND(AUTOEVENTO="Manual",$M88=$A$15),$M88&gt;(ROW(PLE.lastrow)-ROW(PLE.firstrow))),0,
           IF(OFFSET(PLE!$G$15,$M88-$A$15,BD$13)="",10^12,OFFSET(PLE!$G$15,$M88-$A$15,BD$13)))</f>
        <v>1000000000000</v>
      </c>
      <c r="BE88" s="179">
        <f ca="1">IF(OR($D88&lt;&gt;"Serviço",AND(AUTOEVENTO="Manual",$M88=$A$15),$M88&gt;(ROW(PLE.lastrow)-ROW(PLE.firstrow))),0,
           IF(OFFSET(PLE!$G$15,$M88-$A$15,BE$13)="",10^12,OFFSET(PLE!$G$15,$M88-$A$15,BE$13)))</f>
        <v>1000000000000</v>
      </c>
      <c r="BF88" s="179">
        <f ca="1">IF(OR($D88&lt;&gt;"Serviço",AND(AUTOEVENTO="Manual",$M88=$A$15),$M88&gt;(ROW(PLE.lastrow)-ROW(PLE.firstrow))),0,
           IF(OFFSET(PLE!$G$15,$M88-$A$15,BF$13)="",10^12,OFFSET(PLE!$G$15,$M88-$A$15,BF$13)))</f>
        <v>1000000000000</v>
      </c>
      <c r="BG88" s="179">
        <f ca="1">IF(OR($D88&lt;&gt;"Serviço",AND(AUTOEVENTO="Manual",$M88=$A$15),$M88&gt;(ROW(PLE.lastrow)-ROW(PLE.firstrow))),0,
           IF(OFFSET(PLE!$G$15,$M88-$A$15,BG$13)="",10^12,OFFSET(PLE!$G$15,$M88-$A$15,BG$13)))</f>
        <v>1000000000000</v>
      </c>
    </row>
    <row r="89" spans="1:59" ht="5.0999999999999996" customHeight="1" x14ac:dyDescent="0.2">
      <c r="B89" s="7">
        <f ca="1">OFFSET(ORÇAMENTO!C$15,ROW(B89)-ROW(B$15),0)</f>
        <v>-1</v>
      </c>
      <c r="C89" s="7" t="str">
        <f ca="1">OFFSET(ORÇAMENTO!L$15,ROW(C89)-ROW(C$15),0)</f>
        <v>F</v>
      </c>
      <c r="D89" s="439" t="s">
        <v>192</v>
      </c>
      <c r="E89" s="440"/>
      <c r="F89" s="441"/>
      <c r="G89" s="441"/>
      <c r="H89" s="441"/>
      <c r="I89" s="442"/>
      <c r="K89" s="623"/>
      <c r="L89" s="172" t="s">
        <v>253</v>
      </c>
      <c r="M89" s="444"/>
      <c r="N89" s="443"/>
      <c r="O89" s="438"/>
      <c r="Q89" s="440"/>
      <c r="R89" s="441"/>
      <c r="S89" s="441"/>
      <c r="T89" s="441"/>
      <c r="U89" s="441"/>
      <c r="V89" s="441"/>
      <c r="W89" s="441"/>
      <c r="X89" s="441"/>
      <c r="Y89" s="441"/>
      <c r="Z89" s="442"/>
      <c r="AB89" s="138"/>
      <c r="AC89" s="187"/>
      <c r="AD89" s="187"/>
      <c r="AE89" s="187"/>
      <c r="AF89" s="187"/>
      <c r="AG89" s="187"/>
      <c r="AH89" s="187"/>
      <c r="AI89" s="187"/>
      <c r="AJ89" s="187"/>
      <c r="AK89" s="139"/>
      <c r="AM89" s="138"/>
      <c r="AN89" s="187"/>
      <c r="AO89" s="187"/>
      <c r="AP89" s="187"/>
      <c r="AQ89" s="187"/>
      <c r="AR89" s="187"/>
      <c r="AS89" s="187"/>
      <c r="AT89" s="187"/>
      <c r="AU89" s="187"/>
      <c r="AV89" s="139"/>
      <c r="AX89" s="138"/>
      <c r="AY89" s="187"/>
      <c r="AZ89" s="187"/>
      <c r="BA89" s="187"/>
      <c r="BB89" s="187"/>
      <c r="BC89" s="187"/>
      <c r="BD89" s="187"/>
      <c r="BE89" s="187"/>
      <c r="BF89" s="187"/>
      <c r="BG89" s="139"/>
    </row>
    <row r="90" spans="1:59" ht="12.75" customHeight="1" x14ac:dyDescent="0.2"/>
    <row r="91" spans="1:59" ht="12.75" customHeight="1" x14ac:dyDescent="0.2"/>
    <row r="92" spans="1:59" ht="12.75" customHeight="1" x14ac:dyDescent="0.2"/>
    <row r="93" spans="1:59" ht="15" customHeight="1" x14ac:dyDescent="0.2">
      <c r="F93" s="188" t="str">
        <f>Import.Município</f>
        <v>SARANDI/RS</v>
      </c>
      <c r="I93" s="492"/>
      <c r="J93" s="492"/>
      <c r="K93" s="492"/>
      <c r="L93" s="492"/>
      <c r="M93" s="493"/>
      <c r="N93" s="435"/>
      <c r="T93" s="145"/>
      <c r="U93" s="145"/>
      <c r="V93" s="189"/>
      <c r="W93" s="189"/>
      <c r="X93" s="189"/>
      <c r="Y93" s="189"/>
    </row>
    <row r="94" spans="1:59" ht="12.75" customHeight="1" x14ac:dyDescent="0.2">
      <c r="F94" s="10" t="s">
        <v>186</v>
      </c>
      <c r="I94" s="190" t="s">
        <v>188</v>
      </c>
      <c r="J94" s="190"/>
      <c r="K94" s="190"/>
      <c r="L94" s="190"/>
      <c r="T94" s="190" t="s">
        <v>188</v>
      </c>
      <c r="U94" s="190"/>
    </row>
    <row r="95" spans="1:59" ht="12.75" customHeight="1" x14ac:dyDescent="0.2">
      <c r="I95" s="413" t="str">
        <f t="array" aca="1" ref="I95:I97" ca="1">OFFSET(Import.RespOrçamento,0,-1) &amp; " " &amp; Import.RespOrçamento</f>
        <v xml:space="preserve">Nome: MARCIELE FLORES </v>
      </c>
      <c r="K95" s="80"/>
      <c r="L95" s="80"/>
      <c r="T95" s="413" t="str">
        <f t="array" aca="1" ref="T95:T97" ca="1">OFFSET(Import.RespOrçamento,0,-1) &amp; " " &amp; Import.RespOrçamento</f>
        <v xml:space="preserve">Nome: MARCIELE FLORES </v>
      </c>
      <c r="U95" s="79"/>
    </row>
    <row r="96" spans="1:59" ht="12.75" customHeight="1" x14ac:dyDescent="0.2">
      <c r="F96" s="491">
        <f>DADOS!$C$25</f>
        <v>46161</v>
      </c>
      <c r="I96" s="413" t="str">
        <f ca="1"/>
        <v>CREA/CAU: CREA/RS 268.201</v>
      </c>
      <c r="K96" s="80"/>
      <c r="L96" s="80"/>
      <c r="T96" s="413" t="str">
        <f ca="1"/>
        <v>CREA/CAU: CREA/RS 268.201</v>
      </c>
      <c r="U96" s="79"/>
    </row>
    <row r="97" spans="3:21" ht="12.75" customHeight="1" x14ac:dyDescent="0.2">
      <c r="F97" s="146" t="s">
        <v>187</v>
      </c>
      <c r="I97" s="413" t="str">
        <f ca="1"/>
        <v>ART/RRT: 0</v>
      </c>
      <c r="K97" s="80"/>
      <c r="L97" s="80"/>
      <c r="T97" s="413" t="str">
        <f ca="1"/>
        <v>ART/RRT: 0</v>
      </c>
      <c r="U97" s="79"/>
    </row>
    <row r="98" spans="3:21" ht="12.75" customHeight="1" x14ac:dyDescent="0.2">
      <c r="C98"/>
      <c r="M98"/>
    </row>
    <row r="99" spans="3:21" ht="12.75" customHeight="1" x14ac:dyDescent="0.2">
      <c r="C99"/>
      <c r="M99"/>
    </row>
    <row r="100" spans="3:21" ht="12.75" customHeight="1" x14ac:dyDescent="0.2">
      <c r="C100"/>
      <c r="M100"/>
    </row>
    <row r="101" spans="3:21" ht="12.75" customHeight="1" x14ac:dyDescent="0.2">
      <c r="C101"/>
      <c r="M101"/>
    </row>
    <row r="102" spans="3:21" ht="12.75" customHeight="1" x14ac:dyDescent="0.2">
      <c r="C102"/>
      <c r="M102"/>
    </row>
    <row r="103" spans="3:21" ht="12.75" customHeight="1" x14ac:dyDescent="0.2">
      <c r="C103"/>
      <c r="M103"/>
    </row>
    <row r="104" spans="3:21" ht="12.75" customHeight="1" x14ac:dyDescent="0.2">
      <c r="C104"/>
      <c r="M104"/>
    </row>
    <row r="105" spans="3:21" ht="12.75" customHeight="1" x14ac:dyDescent="0.2">
      <c r="C105"/>
      <c r="M105"/>
    </row>
    <row r="106" spans="3:21" ht="12.75" customHeight="1" x14ac:dyDescent="0.2">
      <c r="C106"/>
      <c r="M106"/>
    </row>
    <row r="107" spans="3:21" ht="12.75" customHeight="1" x14ac:dyDescent="0.2">
      <c r="C107"/>
      <c r="M107"/>
    </row>
    <row r="108" spans="3:21" ht="12.75" customHeight="1" x14ac:dyDescent="0.2">
      <c r="C108"/>
      <c r="M108"/>
    </row>
    <row r="109" spans="3:21" ht="12.75" customHeight="1" x14ac:dyDescent="0.2">
      <c r="C109"/>
      <c r="M109"/>
    </row>
    <row r="110" spans="3:21" ht="12.75" customHeight="1" x14ac:dyDescent="0.2">
      <c r="C110"/>
      <c r="M110"/>
    </row>
    <row r="111" spans="3:21" ht="12.75" customHeight="1" x14ac:dyDescent="0.2">
      <c r="C111"/>
      <c r="M111"/>
    </row>
    <row r="112" spans="3:21"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61001" spans="3:13" ht="12.75" customHeight="1" x14ac:dyDescent="0.2">
      <c r="C61001"/>
      <c r="M61001"/>
    </row>
    <row r="61017" spans="3:13" ht="12.75" customHeight="1" x14ac:dyDescent="0.2">
      <c r="C61017"/>
      <c r="M61017"/>
    </row>
    <row r="61033" spans="3:13" ht="12.75" customHeight="1" x14ac:dyDescent="0.2">
      <c r="C61033"/>
      <c r="M61033"/>
    </row>
    <row r="61049" spans="3:13" ht="12.75" customHeight="1" x14ac:dyDescent="0.2">
      <c r="C61049"/>
      <c r="M61049"/>
    </row>
    <row r="61062" spans="3:13" ht="12.75" customHeight="1" x14ac:dyDescent="0.2">
      <c r="C61062"/>
      <c r="M61062"/>
    </row>
    <row r="61063" spans="3:13" ht="12.75" customHeight="1" x14ac:dyDescent="0.2">
      <c r="C61063"/>
      <c r="M61063"/>
    </row>
    <row r="61065" spans="3:13" ht="12.75" customHeight="1" x14ac:dyDescent="0.2">
      <c r="C61065"/>
      <c r="M61065"/>
    </row>
    <row r="61076" spans="3:13" ht="12.75" customHeight="1" x14ac:dyDescent="0.2">
      <c r="C61076"/>
      <c r="M61076"/>
    </row>
    <row r="61077" spans="3:13" ht="12.75" customHeight="1" x14ac:dyDescent="0.2">
      <c r="C61077"/>
      <c r="M61077"/>
    </row>
    <row r="61078" spans="3:13" ht="12.75" customHeight="1" x14ac:dyDescent="0.2">
      <c r="C61078"/>
      <c r="M61078"/>
    </row>
    <row r="61079" spans="3:13" ht="12.75" customHeight="1" x14ac:dyDescent="0.2">
      <c r="C61079"/>
      <c r="M61079"/>
    </row>
    <row r="61081" spans="3:13" ht="12.75" customHeight="1" x14ac:dyDescent="0.2">
      <c r="C61081"/>
      <c r="M61081"/>
    </row>
    <row r="61092" spans="3:13" ht="12.75" customHeight="1" x14ac:dyDescent="0.2">
      <c r="C61092"/>
      <c r="M61092"/>
    </row>
    <row r="61093" spans="3:13" ht="12.75" customHeight="1" x14ac:dyDescent="0.2">
      <c r="C61093"/>
      <c r="M61093"/>
    </row>
    <row r="61094" spans="3:13" ht="12.75" customHeight="1" x14ac:dyDescent="0.2">
      <c r="C61094"/>
      <c r="M61094"/>
    </row>
    <row r="61095" spans="3:13" ht="12.75" customHeight="1" x14ac:dyDescent="0.2">
      <c r="C61095"/>
      <c r="M61095"/>
    </row>
    <row r="61097" spans="3:13" ht="12.75" customHeight="1" x14ac:dyDescent="0.2">
      <c r="C61097"/>
      <c r="M61097"/>
    </row>
    <row r="61108" spans="3:13" ht="12.75" customHeight="1" x14ac:dyDescent="0.2">
      <c r="C61108"/>
      <c r="M61108"/>
    </row>
    <row r="61109" spans="3:13" ht="12.75" customHeight="1" x14ac:dyDescent="0.2">
      <c r="C61109"/>
      <c r="M61109"/>
    </row>
    <row r="61110" spans="3:13" ht="12.75" customHeight="1" x14ac:dyDescent="0.2">
      <c r="C61110"/>
      <c r="M61110"/>
    </row>
    <row r="61111" spans="3:13" ht="12.75" customHeight="1" x14ac:dyDescent="0.2">
      <c r="C61111"/>
      <c r="M61111"/>
    </row>
    <row r="61113" spans="3:13" ht="12.75" customHeight="1" x14ac:dyDescent="0.2">
      <c r="C61113"/>
      <c r="M61113"/>
    </row>
    <row r="61124" spans="3:13" ht="12.75" customHeight="1" x14ac:dyDescent="0.2">
      <c r="C61124"/>
      <c r="M61124"/>
    </row>
    <row r="61125" spans="3:13" ht="12.75" customHeight="1" x14ac:dyDescent="0.2">
      <c r="C61125"/>
      <c r="M61125"/>
    </row>
    <row r="61126" spans="3:13" ht="12.75" customHeight="1" x14ac:dyDescent="0.2">
      <c r="C61126"/>
      <c r="M61126"/>
    </row>
    <row r="61127" spans="3:13" ht="12.75" customHeight="1" x14ac:dyDescent="0.2">
      <c r="C61127"/>
      <c r="M61127"/>
    </row>
    <row r="61129" spans="3:13" ht="12.75" customHeight="1" x14ac:dyDescent="0.2">
      <c r="C61129"/>
      <c r="M61129"/>
    </row>
    <row r="61140" spans="3:13" ht="12.75" customHeight="1" x14ac:dyDescent="0.2">
      <c r="C61140"/>
      <c r="M61140"/>
    </row>
    <row r="61141" spans="3:13" ht="12.75" customHeight="1" x14ac:dyDescent="0.2">
      <c r="C61141"/>
      <c r="M61141"/>
    </row>
    <row r="61142" spans="3:13" ht="12.75" customHeight="1" x14ac:dyDescent="0.2">
      <c r="C61142"/>
      <c r="M61142"/>
    </row>
    <row r="61143" spans="3:13" ht="12.75" customHeight="1" x14ac:dyDescent="0.2">
      <c r="C61143"/>
      <c r="M61143"/>
    </row>
    <row r="61145" spans="3:13" ht="12.75" customHeight="1" x14ac:dyDescent="0.2">
      <c r="C61145"/>
      <c r="M61145"/>
    </row>
    <row r="61156" spans="3:13" ht="12.75" customHeight="1" x14ac:dyDescent="0.2">
      <c r="C61156"/>
      <c r="M61156"/>
    </row>
    <row r="61157" spans="3:13" ht="12.75" customHeight="1" x14ac:dyDescent="0.2">
      <c r="C61157"/>
      <c r="M61157"/>
    </row>
    <row r="61158" spans="3:13" ht="12.75" customHeight="1" x14ac:dyDescent="0.2">
      <c r="C61158"/>
      <c r="M61158"/>
    </row>
    <row r="61159" spans="3:13" ht="12.75" customHeight="1" x14ac:dyDescent="0.2">
      <c r="C61159"/>
      <c r="M61159"/>
    </row>
    <row r="61161" spans="3:13" ht="12.75" customHeight="1" x14ac:dyDescent="0.2">
      <c r="C61161"/>
      <c r="M61161"/>
    </row>
    <row r="61172" spans="3:13" ht="12.75" customHeight="1" x14ac:dyDescent="0.2">
      <c r="C61172"/>
      <c r="M61172"/>
    </row>
    <row r="61173" spans="3:13" ht="12.75" customHeight="1" x14ac:dyDescent="0.2">
      <c r="C61173"/>
      <c r="M61173"/>
    </row>
    <row r="61174" spans="3:13" ht="12.75" customHeight="1" x14ac:dyDescent="0.2">
      <c r="C61174"/>
      <c r="M61174"/>
    </row>
    <row r="61175" spans="3:13" ht="12.75" customHeight="1" x14ac:dyDescent="0.2">
      <c r="C61175"/>
      <c r="M61175"/>
    </row>
    <row r="61177" spans="3:13" ht="12.75" customHeight="1" x14ac:dyDescent="0.2">
      <c r="C61177"/>
      <c r="M61177"/>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1" spans="3:13" ht="12.75" customHeight="1" x14ac:dyDescent="0.2">
      <c r="C61201"/>
      <c r="M61201"/>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17" spans="3:13" ht="12.75" customHeight="1" x14ac:dyDescent="0.2">
      <c r="C61217"/>
      <c r="M61217"/>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3" spans="3:13" ht="12.75" customHeight="1" x14ac:dyDescent="0.2">
      <c r="C61233"/>
      <c r="M61233"/>
    </row>
    <row r="61234" spans="3:13" ht="12.75" customHeight="1" x14ac:dyDescent="0.2">
      <c r="C61234"/>
      <c r="M61234"/>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7" spans="3:13" ht="12.75" customHeight="1" x14ac:dyDescent="0.2">
      <c r="C61257"/>
      <c r="M61257"/>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3" spans="3:13" ht="12.75" customHeight="1" x14ac:dyDescent="0.2">
      <c r="C61273"/>
      <c r="M61273"/>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sheetData>
  <sheetProtection algorithmName="SHA-512" hashValue="ImFQ+AV6EqUeIcTJa/lrGqZ5aLEfMERlNJ2rsEEdc1KBLOkXY17kheUs8lEI6anf7yhKrxv37dxMD1J1hOvMtg==" saltValue="NaSkk16ixeHJ2f4P+9zhfg==" spinCount="100000" sheet="1" objects="1" scenarios="1" autoFilter="0"/>
  <autoFilter ref="C15:C89"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7:I19 D31:I88">
    <cfRule type="expression" dxfId="307" priority="8521" stopIfTrue="1">
      <formula>$B14=1</formula>
    </cfRule>
    <cfRule type="expression" dxfId="306" priority="8522" stopIfTrue="1">
      <formula>OR($B14=0,$B14=2,$B14=3,$B14=4)</formula>
    </cfRule>
  </conditionalFormatting>
  <conditionalFormatting sqref="M12:N89">
    <cfRule type="expression" dxfId="305" priority="8523" stopIfTrue="1">
      <formula>ACOMPANHAMENTO="BM"</formula>
    </cfRule>
    <cfRule type="expression" dxfId="304" priority="8524" stopIfTrue="1">
      <formula>OR($B12=0,$B12=2,$B12=3,$B12=4)</formula>
    </cfRule>
    <cfRule type="expression" dxfId="303" priority="8525" stopIfTrue="1">
      <formula>$B12=1</formula>
    </cfRule>
  </conditionalFormatting>
  <conditionalFormatting sqref="K12:K89">
    <cfRule type="expression" dxfId="302" priority="8526" stopIfTrue="1">
      <formula>OR(ACOMPANHAMENTO="BM",$A$12&lt;&gt;"Manual")</formula>
    </cfRule>
    <cfRule type="expression" dxfId="301" priority="8527" stopIfTrue="1">
      <formula>$B12=1</formula>
    </cfRule>
    <cfRule type="expression" dxfId="300" priority="8528" stopIfTrue="1">
      <formula>OR($B12=2,$B12=3,$B12=4,$B12=0)</formula>
    </cfRule>
  </conditionalFormatting>
  <conditionalFormatting sqref="O12:AA89">
    <cfRule type="expression" dxfId="299" priority="2112" stopIfTrue="1">
      <formula>ACOMPANHAMENTO="BM"</formula>
    </cfRule>
    <cfRule type="expression" dxfId="298" priority="8530" stopIfTrue="1">
      <formula>AND(O$12&lt;&gt;".",OR($B12=0,$B12=2,$B12=3,$B12=4,AND(O$12="",$B12&lt;&gt;"Empty"),OFFSET(O$1,0,-1)=0))</formula>
    </cfRule>
    <cfRule type="expression" dxfId="297" priority="8531" stopIfTrue="1">
      <formula>AND($B12=1,O$1=1)</formula>
    </cfRule>
  </conditionalFormatting>
  <conditionalFormatting sqref="Q15:Z15">
    <cfRule type="expression" dxfId="296" priority="8529">
      <formula>Q$11="▼"</formula>
    </cfRule>
  </conditionalFormatting>
  <conditionalFormatting sqref="O15">
    <cfRule type="expression" dxfId="295" priority="2111">
      <formula>O$11="▼"</formula>
    </cfRule>
  </conditionalFormatting>
  <conditionalFormatting sqref="D16:I16 D29:I29 D20:I26">
    <cfRule type="expression" dxfId="294" priority="87" stopIfTrue="1">
      <formula>$B16=1</formula>
    </cfRule>
    <cfRule type="expression" dxfId="293" priority="88" stopIfTrue="1">
      <formula>OR($B16=0,$B16=2,$B16=3,$B16=4)</formula>
    </cfRule>
  </conditionalFormatting>
  <conditionalFormatting sqref="D30:I30">
    <cfRule type="expression" dxfId="292" priority="85" stopIfTrue="1">
      <formula>$B30=1</formula>
    </cfRule>
    <cfRule type="expression" dxfId="291" priority="86" stopIfTrue="1">
      <formula>OR($B30=0,$B30=2,$B30=3,$B30=4)</formula>
    </cfRule>
  </conditionalFormatting>
  <conditionalFormatting sqref="D27:I27">
    <cfRule type="expression" dxfId="290" priority="31" stopIfTrue="1">
      <formula>$B27=1</formula>
    </cfRule>
    <cfRule type="expression" dxfId="289" priority="32" stopIfTrue="1">
      <formula>OR($B27=0,$B27=2,$B27=3,$B27=4)</formula>
    </cfRule>
  </conditionalFormatting>
  <conditionalFormatting sqref="D28:I28">
    <cfRule type="expression" dxfId="288" priority="27" stopIfTrue="1">
      <formula>$B28=1</formula>
    </cfRule>
    <cfRule type="expression" dxfId="287" priority="28" stopIfTrue="1">
      <formula>OR($B28=0,$B28=2,$B28=3,$B28=4)</formula>
    </cfRule>
  </conditionalFormatting>
  <dataValidations count="4">
    <dataValidation type="decimal" operator="greaterThan" allowBlank="1" showErrorMessage="1" error="Apenas números decimais maiores que zero." sqref="O14 Q14:Z14 O16:O88 Q16:Z88" xr:uid="{00000000-0002-0000-0500-000000000000}">
      <formula1>0</formula1>
      <formula2>0</formula2>
    </dataValidation>
    <dataValidation type="list" allowBlank="1" showErrorMessage="1" sqref="K14 K16:K88"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88"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&amp;LPMv3.08&amp;R&amp;P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84"/>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C37" sqref="C37"/>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IF(AUTOEVENTO="Manual",IF(EVENTOS!$F1&gt;0,"F",""),IF(CRONOPLE!B1&lt;=MAX(CÁLCULO!$M$15:$M$89),"F",""))</f>
        <v>#REF!</v>
      </c>
      <c r="B1" s="257" t="e">
        <f ca="1">OFFSET(B1,-1,0)+1</f>
        <v>#REF!</v>
      </c>
      <c r="C1" s="554" t="e">
        <f ca="1">IF(AUTOEVENTO="Manual",IF($B1&gt;0,OFFSET(EVENTOS!$D$15,$B1-$B$15,0),0),IF(B1&lt;=MAX(CÁLCULO!$M$15:$M$89),VLOOKUP($B1,CÁLCULO!$M$15:$N$89,2,FALSE),0))</f>
        <v>#REF!</v>
      </c>
      <c r="D1" s="608"/>
      <c r="E1" s="258"/>
      <c r="F1" t="e">
        <f ca="1">IF($C1=0,"",CONCATENATE($B1,". ",$C1))</f>
        <v>#REF!</v>
      </c>
      <c r="G1" s="607"/>
      <c r="H1" s="607"/>
      <c r="I1" s="607"/>
      <c r="J1" s="607"/>
      <c r="K1" s="607"/>
      <c r="L1" s="607"/>
      <c r="M1" s="607"/>
      <c r="N1" s="607"/>
      <c r="O1" s="607"/>
      <c r="P1" s="607"/>
      <c r="Q1" s="607"/>
      <c r="R1" s="607"/>
      <c r="S1" s="607"/>
      <c r="T1" s="607"/>
      <c r="U1" s="607"/>
      <c r="V1" s="607"/>
      <c r="W1" s="607"/>
      <c r="X1" s="607"/>
      <c r="Y1" s="607"/>
      <c r="Z1" s="607"/>
      <c r="AA1" s="607"/>
      <c r="AB1" s="607"/>
      <c r="AC1" s="607"/>
      <c r="AD1" s="607"/>
      <c r="AE1" s="607"/>
    </row>
    <row r="2" spans="1:31" ht="30" customHeight="1" x14ac:dyDescent="0.2">
      <c r="G2" s="83" t="s">
        <v>284</v>
      </c>
      <c r="AC2" s="736" t="s">
        <v>441</v>
      </c>
      <c r="AD2" s="737"/>
      <c r="AE2" s="738"/>
    </row>
    <row r="3" spans="1:31" ht="12.75" customHeight="1" x14ac:dyDescent="0.2">
      <c r="G3" s="83"/>
      <c r="AD3" s="518"/>
      <c r="AE3" s="518"/>
    </row>
    <row r="4" spans="1:31" ht="12.75" customHeight="1" x14ac:dyDescent="0.2">
      <c r="B4" s="662" t="s">
        <v>146</v>
      </c>
      <c r="C4" s="662"/>
      <c r="D4" s="662"/>
      <c r="G4" s="663" t="s">
        <v>145</v>
      </c>
      <c r="H4" s="663"/>
      <c r="I4" s="663"/>
      <c r="J4" s="663" t="s">
        <v>422</v>
      </c>
      <c r="K4" s="663"/>
      <c r="L4" s="663"/>
      <c r="M4" s="218" t="s">
        <v>269</v>
      </c>
      <c r="N4" s="222"/>
      <c r="P4" s="196"/>
      <c r="Q4" s="196"/>
      <c r="R4" s="196"/>
      <c r="U4" s="519"/>
      <c r="V4" s="196"/>
      <c r="W4" s="196"/>
      <c r="X4" s="196"/>
      <c r="Y4" s="196"/>
      <c r="AD4" s="518"/>
      <c r="AE4" s="520"/>
    </row>
    <row r="5" spans="1:31" ht="12.75" customHeight="1" x14ac:dyDescent="0.2">
      <c r="B5" s="668" t="str">
        <f>Import.Proponente</f>
        <v>PREFEITURA MUNICIPAL DE SARANDI/RS</v>
      </c>
      <c r="C5" s="668"/>
      <c r="D5" s="668"/>
      <c r="G5" s="670" t="str">
        <f>Import.CR</f>
        <v>000000-00</v>
      </c>
      <c r="H5" s="670"/>
      <c r="I5" s="670"/>
      <c r="J5" s="670" t="str">
        <f>Import.SICONV</f>
        <v>000000</v>
      </c>
      <c r="K5" s="670"/>
      <c r="L5" s="670"/>
      <c r="M5" s="712" t="str">
        <f>Import.Apelido</f>
        <v>PAVILHÃO COMUNITÁRIO COMUNIDADE ÁREA 10</v>
      </c>
      <c r="N5" s="713"/>
      <c r="O5" s="713"/>
      <c r="P5" s="713"/>
      <c r="Q5" s="713"/>
      <c r="R5" s="713"/>
      <c r="S5" s="713"/>
      <c r="T5" s="713"/>
      <c r="U5" s="713"/>
      <c r="V5" s="713"/>
      <c r="W5" s="713"/>
      <c r="X5" s="713"/>
      <c r="Y5" s="713"/>
      <c r="Z5" s="713"/>
      <c r="AA5" s="713"/>
      <c r="AB5" s="713"/>
      <c r="AC5" s="713"/>
      <c r="AD5" s="713"/>
      <c r="AE5" s="739"/>
    </row>
    <row r="6" spans="1:31" ht="14.25" customHeight="1" x14ac:dyDescent="0.25">
      <c r="B6" s="259" t="str">
        <f ca="1">IF(ACOMPANHAMENTO="BM","NO ACOMPANHAMENTO POR BM, UTILIZE A ABA CRONO",
  IF(MAX($B$14:$B$70)&lt;MAX(CÁLCULO!$M$15:$M$89),"ERRO: NÚMERO DE EVENTOS INSUFICIENTE, CLIQUE EM ATUALIZAR LINHAS",
  IF(ROUND(OFFSET(CRONO!$AG$102,0,-1),2)&lt;&gt;CRONO!$R$93,"ERRO: CRONOGRAMA NÃO FECHA 100%","")))</f>
        <v/>
      </c>
    </row>
    <row r="7" spans="1:31" ht="15" customHeight="1" thickBot="1" x14ac:dyDescent="0.25">
      <c r="B7" s="565" t="str" cm="1">
        <f t="array" aca="1" ref="B7" ca="1">IF(AdmLocal="Automática","","1. Selecione o Título do Evento da Administração Local:")</f>
        <v>1. Selecione o Título do Evento da Administração Local:</v>
      </c>
    </row>
    <row r="8" spans="1:31" ht="13.5" thickBot="1" x14ac:dyDescent="0.25">
      <c r="A8" s="602" t="str">
        <f>MID(Import.EventoAdmLocal,1,SEARCH(".",Import.EventoAdmLocal)-1)</f>
        <v>1</v>
      </c>
      <c r="B8" s="719" t="s">
        <v>1060</v>
      </c>
      <c r="C8" s="720"/>
      <c r="D8" s="629" t="str">
        <f ca="1">IF($B$7="","",IF(AND($B$15=0,$B$8=""),"◄ Não foi indicado o Evento de Administração Local",IF(ISERROR(MATCH(Import.EventoAdmLocal,$F$15:$F$70,0)),"◄ Selecione um Título de Evento válido para a Administração Local","")))</f>
        <v/>
      </c>
    </row>
    <row r="9" spans="1:31" ht="3.95" customHeight="1" x14ac:dyDescent="0.2">
      <c r="A9" s="602"/>
    </row>
    <row r="10" spans="1:31" ht="15" customHeight="1" x14ac:dyDescent="0.2">
      <c r="A10" s="602">
        <f ca="1">MATCH(VALUE(A8),CÁLCULO!$M$15:$M$89,0)-2</f>
        <v>2</v>
      </c>
      <c r="B10" s="565" t="str" cm="1">
        <f t="array" aca="1" ref="B10" ca="1">_xlfn.CONCAT(IF(AdmLocal="Automática",1,2),". Digite nas células em amarelo o número do período em que os eventos serão concluídos:")</f>
        <v>2. Digite nas células em amarelo o número do período em que os eventos serão concluídos:</v>
      </c>
    </row>
    <row r="11" spans="1:31" ht="65.25" customHeight="1" x14ac:dyDescent="0.2">
      <c r="A11" s="524" t="s">
        <v>207</v>
      </c>
      <c r="C11" s="261"/>
      <c r="E11" s="262" t="str">
        <f ca="1">IF(E$12&gt;CÁLCULO.FrentesPreenchidas,"",OFFSET(CÁLCULO!$P$12,0,E$12))</f>
        <v>GNIÁSIO 10</v>
      </c>
      <c r="G11" s="262" t="str">
        <f ca="1">IF(G$12&gt;CÁLCULO.FrentesPreenchidas,"",OFFSET(CÁLCULO!$P$12,0,G$12))</f>
        <v>GNIÁSIO 10</v>
      </c>
      <c r="H11" s="262" t="str">
        <f ca="1">IF(H$12&gt;CÁLCULO.FrentesPreenchidas,"",OFFSET(CÁLCULO!$P$12,0,H$12))</f>
        <v/>
      </c>
      <c r="I11" s="262" t="str">
        <f ca="1">IF(I$12&gt;CÁLCULO.FrentesPreenchidas,"",OFFSET(CÁLCULO!$P$12,0,I$12))</f>
        <v/>
      </c>
      <c r="J11" s="262" t="str">
        <f ca="1">IF(J$12&gt;CÁLCULO.FrentesPreenchidas,"",OFFSET(CÁLCULO!$P$12,0,J$12))</f>
        <v/>
      </c>
      <c r="K11" s="262" t="str">
        <f ca="1">IF(K$12&gt;CÁLCULO.FrentesPreenchidas,"",OFFSET(CÁLCULO!$P$12,0,K$12))</f>
        <v/>
      </c>
      <c r="L11" s="262" t="str">
        <f ca="1">IF(L$12&gt;CÁLCULO.FrentesPreenchidas,"",OFFSET(CÁLCULO!$P$12,0,L$12))</f>
        <v/>
      </c>
      <c r="M11" s="262" t="str">
        <f ca="1">IF(M$12&gt;CÁLCULO.FrentesPreenchidas,"",OFFSET(CÁLCULO!$P$12,0,M$12))</f>
        <v/>
      </c>
      <c r="N11" s="262" t="str">
        <f ca="1">IF(N$12&gt;CÁLCULO.FrentesPreenchidas,"",OFFSET(CÁLCULO!$P$12,0,N$12))</f>
        <v/>
      </c>
      <c r="O11" s="262" t="str">
        <f ca="1">IF(O$12&gt;CÁLCULO.FrentesPreenchidas,"",OFFSET(CÁLCULO!$P$12,0,O$12))</f>
        <v/>
      </c>
      <c r="P11" s="262" t="str">
        <f ca="1">IF(P$12&gt;CÁLCULO.FrentesPreenchidas,"",OFFSET(CÁLCULO!$P$12,0,P$12))</f>
        <v/>
      </c>
      <c r="Q11" s="262" t="str">
        <f ca="1">IF(Q$12&gt;CÁLCULO.FrentesPreenchidas,"",OFFSET(CÁLCULO!$P$12,0,Q$12))</f>
        <v/>
      </c>
      <c r="R11" s="262" t="str">
        <f ca="1">IF(R$12&gt;CÁLCULO.FrentesPreenchidas,"",OFFSET(CÁLCULO!$P$12,0,R$12))</f>
        <v/>
      </c>
      <c r="S11" s="262" t="str">
        <f ca="1">IF(S$12&gt;CÁLCULO.FrentesPreenchidas,"",OFFSET(CÁLCULO!$P$12,0,S$12))</f>
        <v/>
      </c>
      <c r="T11" s="262" t="str">
        <f ca="1">IF(T$12&gt;CÁLCULO.FrentesPreenchidas,"",OFFSET(CÁLCULO!$P$12,0,T$12))</f>
        <v/>
      </c>
      <c r="U11" s="262" t="str">
        <f ca="1">IF(U$12&gt;CÁLCULO.FrentesPreenchidas,"",OFFSET(CÁLCULO!$P$12,0,U$12))</f>
        <v/>
      </c>
      <c r="V11" s="262" t="str">
        <f ca="1">IF(V$12&gt;CÁLCULO.FrentesPreenchidas,"",OFFSET(CÁLCULO!$P$12,0,V$12))</f>
        <v/>
      </c>
      <c r="W11" s="262" t="str">
        <f ca="1">IF(W$12&gt;CÁLCULO.FrentesPreenchidas,"",OFFSET(CÁLCULO!$P$12,0,W$12))</f>
        <v/>
      </c>
      <c r="X11" s="262" t="str">
        <f ca="1">IF(X$12&gt;CÁLCULO.FrentesPreenchidas,"",OFFSET(CÁLCULO!$P$12,0,X$12))</f>
        <v/>
      </c>
      <c r="Y11" s="262" t="str">
        <f ca="1">IF(Y$12&gt;CÁLCULO.FrentesPreenchidas,"",OFFSET(CÁLCULO!$P$12,0,Y$12))</f>
        <v/>
      </c>
      <c r="Z11" s="262" t="str">
        <f ca="1">IF(Z$12&gt;CÁLCULO.FrentesPreenchidas,"",OFFSET(CÁLCULO!$P$12,0,Z$12))</f>
        <v/>
      </c>
      <c r="AA11" s="262" t="str">
        <f ca="1">IF(AA$12&gt;CÁLCULO.FrentesPreenchidas,"",OFFSET(CÁLCULO!$P$12,0,AA$12))</f>
        <v/>
      </c>
      <c r="AB11" s="262" t="str">
        <f ca="1">IF(AB$12&gt;CÁLCULO.FrentesPreenchidas,"",OFFSET(CÁLCULO!$P$12,0,AB$12))</f>
        <v/>
      </c>
      <c r="AC11" s="262" t="str">
        <f ca="1">IF(AC$12&gt;CÁLCULO.FrentesPreenchidas,"",OFFSET(CÁLCULO!$P$12,0,AC$12))</f>
        <v/>
      </c>
      <c r="AD11" s="262" t="str">
        <f ca="1">IF(AD$12&gt;CÁLCULO.FrentesPreenchidas,"",OFFSET(CÁLCULO!$P$12,0,AD$12))</f>
        <v/>
      </c>
      <c r="AE11" s="262" t="str">
        <f ca="1">IF(AE$12&gt;CÁLCULO.FrentesPreenchidas,"",OFFSET(CÁLCULO!$P$12,0,AE$12))</f>
        <v/>
      </c>
    </row>
    <row r="12" spans="1:31" ht="12.75" customHeight="1" x14ac:dyDescent="0.2">
      <c r="A12" s="525" t="s">
        <v>215</v>
      </c>
      <c r="B12" s="741" t="s">
        <v>263</v>
      </c>
      <c r="C12" s="741" t="s">
        <v>286</v>
      </c>
      <c r="E12" s="263">
        <f ca="1">OFFSET(E12,0,-1)+1</f>
        <v>1</v>
      </c>
      <c r="G12" s="263">
        <f ca="1">OFFSET(G12,0,-1)+1</f>
        <v>1</v>
      </c>
      <c r="H12" s="263">
        <f ca="1">OFFSET(H12,0,-1)+1</f>
        <v>2</v>
      </c>
      <c r="I12" s="263">
        <f t="shared" ref="I12:AE12" ca="1" si="0">OFFSET(I12,0,-1)+1</f>
        <v>3</v>
      </c>
      <c r="J12" s="263">
        <f t="shared" ca="1" si="0"/>
        <v>4</v>
      </c>
      <c r="K12" s="263">
        <f t="shared" ca="1" si="0"/>
        <v>5</v>
      </c>
      <c r="L12" s="263">
        <f t="shared" ca="1" si="0"/>
        <v>6</v>
      </c>
      <c r="M12" s="263">
        <f t="shared" ca="1" si="0"/>
        <v>7</v>
      </c>
      <c r="N12" s="263">
        <f t="shared" ca="1" si="0"/>
        <v>8</v>
      </c>
      <c r="O12" s="263">
        <f t="shared" ca="1" si="0"/>
        <v>9</v>
      </c>
      <c r="P12" s="263">
        <f t="shared" ca="1" si="0"/>
        <v>10</v>
      </c>
      <c r="Q12" s="263">
        <f t="shared" ca="1" si="0"/>
        <v>11</v>
      </c>
      <c r="R12" s="263">
        <f t="shared" ca="1" si="0"/>
        <v>12</v>
      </c>
      <c r="S12" s="263">
        <f t="shared" ca="1" si="0"/>
        <v>13</v>
      </c>
      <c r="T12" s="263">
        <f t="shared" ca="1" si="0"/>
        <v>14</v>
      </c>
      <c r="U12" s="263">
        <f t="shared" ca="1" si="0"/>
        <v>15</v>
      </c>
      <c r="V12" s="263">
        <f t="shared" ca="1" si="0"/>
        <v>16</v>
      </c>
      <c r="W12" s="263">
        <f t="shared" ca="1" si="0"/>
        <v>17</v>
      </c>
      <c r="X12" s="263">
        <f t="shared" ca="1" si="0"/>
        <v>18</v>
      </c>
      <c r="Y12" s="263">
        <f t="shared" ca="1" si="0"/>
        <v>19</v>
      </c>
      <c r="Z12" s="263">
        <f t="shared" ca="1" si="0"/>
        <v>20</v>
      </c>
      <c r="AA12" s="263">
        <f t="shared" ca="1" si="0"/>
        <v>21</v>
      </c>
      <c r="AB12" s="263">
        <f t="shared" ca="1" si="0"/>
        <v>22</v>
      </c>
      <c r="AC12" s="263">
        <f t="shared" ca="1" si="0"/>
        <v>23</v>
      </c>
      <c r="AD12" s="263">
        <f t="shared" ca="1" si="0"/>
        <v>24</v>
      </c>
      <c r="AE12" s="263">
        <f t="shared" ca="1" si="0"/>
        <v>25</v>
      </c>
    </row>
    <row r="13" spans="1:31" x14ac:dyDescent="0.2">
      <c r="A13" t="s">
        <v>207</v>
      </c>
      <c r="B13" s="741"/>
      <c r="C13" s="741"/>
      <c r="E13" s="264"/>
      <c r="G13" s="265"/>
      <c r="H13" s="264"/>
      <c r="I13" s="264"/>
      <c r="J13" s="264"/>
      <c r="K13" s="264"/>
      <c r="L13" s="264"/>
      <c r="M13" s="635" t="str">
        <f ca="1">IF(CRONOPLE.Erro="ERRO: CRONOGRAMA NÃO FECHA 100%","Informe abaixo o NÚMERO DO PERÍODO em que os eventos serão concluídos","")</f>
        <v/>
      </c>
      <c r="N13" s="264"/>
      <c r="O13" s="264"/>
      <c r="P13" s="264"/>
      <c r="Q13" s="264"/>
      <c r="R13" s="264"/>
      <c r="S13" s="264"/>
      <c r="T13" s="264"/>
      <c r="U13" s="264"/>
      <c r="V13" s="264"/>
      <c r="W13" s="264"/>
      <c r="X13" s="264"/>
      <c r="Y13" s="264"/>
      <c r="Z13" s="264"/>
      <c r="AA13" s="264"/>
      <c r="AB13" s="264"/>
      <c r="AC13" s="264"/>
      <c r="AD13" s="264"/>
      <c r="AE13" s="266"/>
    </row>
    <row r="14" spans="1:31" ht="5.0999999999999996" customHeight="1" x14ac:dyDescent="0.2">
      <c r="A14" s="7" t="s">
        <v>244</v>
      </c>
    </row>
    <row r="15" spans="1:31" x14ac:dyDescent="0.2">
      <c r="A15" s="7" t="str">
        <f ca="1">IF(AUTOEVENTO="Manual",IF(EVENTOS!$F15&gt;0,"F",""),IF(CRONOPLE!B15&lt;=MAX(CÁLCULO!$M$15:$M$89),"F",""))</f>
        <v>F</v>
      </c>
      <c r="B15" s="267">
        <f ca="1">EVENTOS!$C$15</f>
        <v>0</v>
      </c>
      <c r="C15" s="268" t="str">
        <f ca="1">EVENTOS!$D$15</f>
        <v/>
      </c>
      <c r="D15" s="608"/>
      <c r="E15" s="269"/>
      <c r="F15" t="str">
        <f ca="1">IF($C15="","",CONCATENATE($B15,". ",$C15))</f>
        <v/>
      </c>
      <c r="G15" s="27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9"/>
      <c r="I15" s="269"/>
      <c r="J15" s="269"/>
      <c r="K15" s="269"/>
      <c r="L15" s="269"/>
      <c r="M15" s="269"/>
      <c r="N15" s="269"/>
      <c r="O15" s="269"/>
      <c r="P15" s="269"/>
      <c r="Q15" s="269"/>
      <c r="R15" s="269"/>
      <c r="S15" s="269"/>
      <c r="T15" s="269"/>
      <c r="U15" s="269"/>
      <c r="V15" s="269"/>
      <c r="W15" s="269"/>
      <c r="X15" s="269"/>
      <c r="Y15" s="269"/>
      <c r="Z15" s="269"/>
      <c r="AA15" s="269"/>
      <c r="AB15" s="269"/>
      <c r="AC15" s="269"/>
      <c r="AD15" s="269"/>
      <c r="AE15" s="271"/>
    </row>
    <row r="16" spans="1:31" x14ac:dyDescent="0.2">
      <c r="A16" s="7" t="str">
        <f ca="1">IF(AUTOEVENTO="Manual",IF(EVENTOS!$F16&gt;0,"F",""),IF(CRONOPLE!B16&lt;=MAX(CÁLCULO!$M$15:$M$89),"F",""))</f>
        <v>F</v>
      </c>
      <c r="B16" s="257">
        <f t="shared" ref="B16:B69" ca="1" si="1">OFFSET(B16,-1,0)+1</f>
        <v>1</v>
      </c>
      <c r="C16" s="554" t="str">
        <f ca="1">IF(AUTOEVENTO="Manual",IF($B16&gt;0,OFFSET(EVENTOS!$D$15,$B16-$B$15,0),0),IF(B16&lt;=MAX(CÁLCULO!$M$15:$M$89),VLOOKUP($B16,CÁLCULO!$M$15:$N$89,2,FALSE),0))</f>
        <v xml:space="preserve">SERVIÇOS PRELIMINARES </v>
      </c>
      <c r="D16" s="608"/>
      <c r="E16" s="258"/>
      <c r="F16" t="str">
        <f t="shared" ref="F16:F69" ca="1" si="2">IF($C16=0,"",CONCATENATE($B16,". ",$C16))</f>
        <v xml:space="preserve">1. SERVIÇOS PRELIMINARES </v>
      </c>
      <c r="G16" s="607">
        <v>1</v>
      </c>
      <c r="H16" s="607"/>
      <c r="I16" s="607"/>
      <c r="J16" s="607"/>
      <c r="K16" s="607"/>
      <c r="L16" s="607"/>
      <c r="M16" s="607"/>
      <c r="N16" s="607"/>
      <c r="O16" s="607"/>
      <c r="P16" s="607"/>
      <c r="Q16" s="607"/>
      <c r="R16" s="607"/>
      <c r="S16" s="607"/>
      <c r="T16" s="607"/>
      <c r="U16" s="607"/>
      <c r="V16" s="607"/>
      <c r="W16" s="607"/>
      <c r="X16" s="607"/>
      <c r="Y16" s="607"/>
      <c r="Z16" s="607"/>
      <c r="AA16" s="607"/>
      <c r="AB16" s="607"/>
      <c r="AC16" s="607"/>
      <c r="AD16" s="607"/>
      <c r="AE16" s="607"/>
    </row>
    <row r="17" spans="1:31" x14ac:dyDescent="0.2">
      <c r="A17" s="7" t="str">
        <f ca="1">IF(AUTOEVENTO="Manual",IF(EVENTOS!$F17&gt;0,"F",""),IF(CRONOPLE!B17&lt;=MAX(CÁLCULO!$M$15:$M$89),"F",""))</f>
        <v>F</v>
      </c>
      <c r="B17" s="257">
        <f t="shared" ca="1" si="1"/>
        <v>2</v>
      </c>
      <c r="C17" s="554" t="str">
        <f ca="1">IF(AUTOEVENTO="Manual",IF($B17&gt;0,OFFSET(EVENTOS!$D$15,$B17-$B$15,0),0),IF(B17&lt;=MAX(CÁLCULO!$M$15:$M$89),VLOOKUP($B17,CÁLCULO!$M$15:$N$89,2,FALSE),0))</f>
        <v>ESTRUTURA METÁLICA - PILARES</v>
      </c>
      <c r="D17" s="608"/>
      <c r="E17" s="258"/>
      <c r="F17" t="str">
        <f t="shared" ca="1" si="2"/>
        <v>2. ESTRUTURA METÁLICA - PILARES</v>
      </c>
      <c r="G17" s="607">
        <v>1</v>
      </c>
      <c r="H17" s="607"/>
      <c r="I17" s="607"/>
      <c r="J17" s="607"/>
      <c r="K17" s="607"/>
      <c r="L17" s="607"/>
      <c r="M17" s="607"/>
      <c r="N17" s="607"/>
      <c r="O17" s="607"/>
      <c r="P17" s="607"/>
      <c r="Q17" s="607"/>
      <c r="R17" s="607"/>
      <c r="S17" s="607"/>
      <c r="T17" s="607"/>
      <c r="U17" s="607"/>
      <c r="V17" s="607"/>
      <c r="W17" s="607"/>
      <c r="X17" s="607"/>
      <c r="Y17" s="607"/>
      <c r="Z17" s="607"/>
      <c r="AA17" s="607"/>
      <c r="AB17" s="607"/>
      <c r="AC17" s="607"/>
      <c r="AD17" s="607"/>
      <c r="AE17" s="607"/>
    </row>
    <row r="18" spans="1:31" x14ac:dyDescent="0.2">
      <c r="A18" s="7" t="str">
        <f ca="1">IF(AUTOEVENTO="Manual",IF(EVENTOS!$F18&gt;0,"F",""),IF(CRONOPLE!B18&lt;=MAX(CÁLCULO!$M$15:$M$89),"F",""))</f>
        <v>F</v>
      </c>
      <c r="B18" s="257">
        <f t="shared" ca="1" si="1"/>
        <v>3</v>
      </c>
      <c r="C18" s="554" t="str">
        <f ca="1">IF(AUTOEVENTO="Manual",IF($B18&gt;0,OFFSET(EVENTOS!$D$15,$B18-$B$15,0),0),IF(B18&lt;=MAX(CÁLCULO!$M$15:$M$89),VLOOKUP($B18,CÁLCULO!$M$15:$N$89,2,FALSE),0))</f>
        <v>FUNDAÇÕES</v>
      </c>
      <c r="D18" s="608"/>
      <c r="E18" s="258"/>
      <c r="F18" t="str">
        <f t="shared" ca="1" si="2"/>
        <v>3. FUNDAÇÕES</v>
      </c>
      <c r="G18" s="607">
        <v>1</v>
      </c>
      <c r="H18" s="607"/>
      <c r="I18" s="607"/>
      <c r="J18" s="607"/>
      <c r="K18" s="607"/>
      <c r="L18" s="607"/>
      <c r="M18" s="607"/>
      <c r="N18" s="607"/>
      <c r="O18" s="607"/>
      <c r="P18" s="607"/>
      <c r="Q18" s="607"/>
      <c r="R18" s="607"/>
      <c r="S18" s="607"/>
      <c r="T18" s="607"/>
      <c r="U18" s="607"/>
      <c r="V18" s="607"/>
      <c r="W18" s="607"/>
      <c r="X18" s="607"/>
      <c r="Y18" s="607"/>
      <c r="Z18" s="607"/>
      <c r="AA18" s="607"/>
      <c r="AB18" s="607"/>
      <c r="AC18" s="607"/>
      <c r="AD18" s="607"/>
      <c r="AE18" s="607"/>
    </row>
    <row r="19" spans="1:31" x14ac:dyDescent="0.2">
      <c r="A19" s="7" t="str">
        <f ca="1">IF(AUTOEVENTO="Manual",IF(EVENTOS!$F19&gt;0,"F",""),IF(CRONOPLE!B19&lt;=MAX(CÁLCULO!$M$15:$M$89),"F",""))</f>
        <v>F</v>
      </c>
      <c r="B19" s="257">
        <f t="shared" ca="1" si="1"/>
        <v>4</v>
      </c>
      <c r="C19" s="554" t="str">
        <f ca="1">IF(AUTOEVENTO="Manual",IF($B19&gt;0,OFFSET(EVENTOS!$D$15,$B19-$B$15,0),0),IF(B19&lt;=MAX(CÁLCULO!$M$15:$M$89),VLOOKUP($B19,CÁLCULO!$M$15:$N$89,2,FALSE),0))</f>
        <v>CONCRETO ARMADO - PILARES</v>
      </c>
      <c r="D19" s="608"/>
      <c r="E19" s="258"/>
      <c r="F19" t="str">
        <f t="shared" ca="1" si="2"/>
        <v>4. CONCRETO ARMADO - PILARES</v>
      </c>
      <c r="G19" s="607">
        <v>2</v>
      </c>
      <c r="H19" s="607"/>
      <c r="I19" s="607"/>
      <c r="J19" s="607"/>
      <c r="K19" s="607"/>
      <c r="L19" s="607"/>
      <c r="M19" s="607"/>
      <c r="N19" s="607"/>
      <c r="O19" s="607"/>
      <c r="P19" s="607"/>
      <c r="Q19" s="607"/>
      <c r="R19" s="607"/>
      <c r="S19" s="607"/>
      <c r="T19" s="607"/>
      <c r="U19" s="607"/>
      <c r="V19" s="607"/>
      <c r="W19" s="607"/>
      <c r="X19" s="607"/>
      <c r="Y19" s="607"/>
      <c r="Z19" s="607"/>
      <c r="AA19" s="607"/>
      <c r="AB19" s="607"/>
      <c r="AC19" s="607"/>
      <c r="AD19" s="607"/>
      <c r="AE19" s="607"/>
    </row>
    <row r="20" spans="1:31" x14ac:dyDescent="0.2">
      <c r="A20" s="7" t="str">
        <f ca="1">IF(AUTOEVENTO="Manual",IF(EVENTOS!$F20&gt;0,"F",""),IF(CRONOPLE!B20&lt;=MAX(CÁLCULO!$M$15:$M$89),"F",""))</f>
        <v>F</v>
      </c>
      <c r="B20" s="257">
        <f t="shared" ca="1" si="1"/>
        <v>5</v>
      </c>
      <c r="C20" s="554" t="str">
        <f ca="1">IF(AUTOEVENTO="Manual",IF($B20&gt;0,OFFSET(EVENTOS!$D$15,$B20-$B$15,0),0),IF(B20&lt;=MAX(CÁLCULO!$M$15:$M$89),VLOOKUP($B20,CÁLCULO!$M$15:$N$89,2,FALSE),0))</f>
        <v>CONCRETO ARMADO - VIGAS SUPERIORES</v>
      </c>
      <c r="D20" s="608"/>
      <c r="E20" s="258"/>
      <c r="F20" t="str">
        <f t="shared" ca="1" si="2"/>
        <v>5. CONCRETO ARMADO - VIGAS SUPERIORES</v>
      </c>
      <c r="G20" s="607">
        <v>2</v>
      </c>
      <c r="H20" s="607"/>
      <c r="I20" s="607"/>
      <c r="J20" s="607"/>
      <c r="K20" s="607"/>
      <c r="L20" s="607"/>
      <c r="M20" s="607"/>
      <c r="N20" s="607"/>
      <c r="O20" s="607"/>
      <c r="P20" s="607"/>
      <c r="Q20" s="607"/>
      <c r="R20" s="607"/>
      <c r="S20" s="607"/>
      <c r="T20" s="607"/>
      <c r="U20" s="607"/>
      <c r="V20" s="607"/>
      <c r="W20" s="607"/>
      <c r="X20" s="607"/>
      <c r="Y20" s="607"/>
      <c r="Z20" s="607"/>
      <c r="AA20" s="607"/>
      <c r="AB20" s="607"/>
      <c r="AC20" s="607"/>
      <c r="AD20" s="607"/>
      <c r="AE20" s="607"/>
    </row>
    <row r="21" spans="1:31" x14ac:dyDescent="0.2">
      <c r="A21" s="7" t="str">
        <f ca="1">IF(AUTOEVENTO="Manual",IF(EVENTOS!$F21&gt;0,"F",""),IF(CRONOPLE!B21&lt;=MAX(CÁLCULO!$M$15:$M$89),"F",""))</f>
        <v>F</v>
      </c>
      <c r="B21" s="257">
        <f t="shared" ca="1" si="1"/>
        <v>6</v>
      </c>
      <c r="C21" s="554" t="str">
        <f ca="1">IF(AUTOEVENTO="Manual",IF($B21&gt;0,OFFSET(EVENTOS!$D$15,$B21-$B$15,0),0),IF(B21&lt;=MAX(CÁLCULO!$M$15:$M$89),VLOOKUP($B21,CÁLCULO!$M$15:$N$89,2,FALSE),0))</f>
        <v xml:space="preserve">PAREDES </v>
      </c>
      <c r="D21" s="608"/>
      <c r="E21" s="258"/>
      <c r="F21" t="str">
        <f t="shared" ca="1" si="2"/>
        <v xml:space="preserve">6. PAREDES </v>
      </c>
      <c r="G21" s="607">
        <v>2</v>
      </c>
      <c r="H21" s="607"/>
      <c r="I21" s="607"/>
      <c r="J21" s="607"/>
      <c r="K21" s="607"/>
      <c r="L21" s="607"/>
      <c r="M21" s="607"/>
      <c r="N21" s="607"/>
      <c r="O21" s="607"/>
      <c r="P21" s="607"/>
      <c r="Q21" s="607"/>
      <c r="R21" s="607"/>
      <c r="S21" s="607"/>
      <c r="T21" s="607"/>
      <c r="U21" s="607"/>
      <c r="V21" s="607"/>
      <c r="W21" s="607"/>
      <c r="X21" s="607"/>
      <c r="Y21" s="607"/>
      <c r="Z21" s="607"/>
      <c r="AA21" s="607"/>
      <c r="AB21" s="607"/>
      <c r="AC21" s="607"/>
      <c r="AD21" s="607"/>
      <c r="AE21" s="607"/>
    </row>
    <row r="22" spans="1:31" x14ac:dyDescent="0.2">
      <c r="A22" s="7" t="str">
        <f ca="1">IF(AUTOEVENTO="Manual",IF(EVENTOS!$F22&gt;0,"F",""),IF(CRONOPLE!B22&lt;=MAX(CÁLCULO!$M$15:$M$89),"F",""))</f>
        <v>F</v>
      </c>
      <c r="B22" s="257">
        <f t="shared" ca="1" si="1"/>
        <v>7</v>
      </c>
      <c r="C22" s="554" t="str">
        <f ca="1">IF(AUTOEVENTO="Manual",IF($B22&gt;0,OFFSET(EVENTOS!$D$15,$B22-$B$15,0),0),IF(B22&lt;=MAX(CÁLCULO!$M$15:$M$89),VLOOKUP($B22,CÁLCULO!$M$15:$N$89,2,FALSE),0))</f>
        <v>PISO DE CONCRETO CHURRASQUEIRA</v>
      </c>
      <c r="D22" s="608"/>
      <c r="E22" s="258"/>
      <c r="F22" t="str">
        <f t="shared" ca="1" si="2"/>
        <v>7. PISO DE CONCRETO CHURRASQUEIRA</v>
      </c>
      <c r="G22" s="607">
        <v>3</v>
      </c>
      <c r="H22" s="607"/>
      <c r="I22" s="607"/>
      <c r="J22" s="607"/>
      <c r="K22" s="607"/>
      <c r="L22" s="607"/>
      <c r="M22" s="607"/>
      <c r="N22" s="607"/>
      <c r="O22" s="607"/>
      <c r="P22" s="607"/>
      <c r="Q22" s="607"/>
      <c r="R22" s="607"/>
      <c r="S22" s="607"/>
      <c r="T22" s="607"/>
      <c r="U22" s="607"/>
      <c r="V22" s="607"/>
      <c r="W22" s="607"/>
      <c r="X22" s="607"/>
      <c r="Y22" s="607"/>
      <c r="Z22" s="607"/>
      <c r="AA22" s="607"/>
      <c r="AB22" s="607"/>
      <c r="AC22" s="607"/>
      <c r="AD22" s="607"/>
      <c r="AE22" s="607"/>
    </row>
    <row r="23" spans="1:31" x14ac:dyDescent="0.2">
      <c r="A23" s="7" t="str">
        <f ca="1">IF(AUTOEVENTO="Manual",IF(EVENTOS!$F23&gt;0,"F",""),IF(CRONOPLE!B23&lt;=MAX(CÁLCULO!$M$15:$M$89),"F",""))</f>
        <v>F</v>
      </c>
      <c r="B23" s="257">
        <f t="shared" ca="1" si="1"/>
        <v>8</v>
      </c>
      <c r="C23" s="554" t="str">
        <f ca="1">IF(AUTOEVENTO="Manual",IF($B23&gt;0,OFFSET(EVENTOS!$D$15,$B23-$B$15,0),0),IF(B23&lt;=MAX(CÁLCULO!$M$15:$M$89),VLOOKUP($B23,CÁLCULO!$M$15:$N$89,2,FALSE),0))</f>
        <v>INSTALAÇÃO DO TELHADO</v>
      </c>
      <c r="D23" s="608"/>
      <c r="E23" s="258"/>
      <c r="F23" t="str">
        <f t="shared" ca="1" si="2"/>
        <v>8. INSTALAÇÃO DO TELHADO</v>
      </c>
      <c r="G23" s="607">
        <v>4</v>
      </c>
      <c r="H23" s="607"/>
      <c r="I23" s="607"/>
      <c r="J23" s="607"/>
      <c r="K23" s="607"/>
      <c r="L23" s="607"/>
      <c r="M23" s="607"/>
      <c r="N23" s="607"/>
      <c r="O23" s="607"/>
      <c r="P23" s="607"/>
      <c r="Q23" s="607"/>
      <c r="R23" s="607"/>
      <c r="S23" s="607"/>
      <c r="T23" s="607"/>
      <c r="U23" s="607"/>
      <c r="V23" s="607"/>
      <c r="W23" s="607"/>
      <c r="X23" s="607"/>
      <c r="Y23" s="607"/>
      <c r="Z23" s="607"/>
      <c r="AA23" s="607"/>
      <c r="AB23" s="607"/>
      <c r="AC23" s="607"/>
      <c r="AD23" s="607"/>
      <c r="AE23" s="607"/>
    </row>
    <row r="24" spans="1:31" x14ac:dyDescent="0.2">
      <c r="A24" s="7" t="str">
        <f ca="1">IF(AUTOEVENTO="Manual",IF(EVENTOS!$F24&gt;0,"F",""),IF(CRONOPLE!B24&lt;=MAX(CÁLCULO!$M$15:$M$89),"F",""))</f>
        <v>F</v>
      </c>
      <c r="B24" s="257">
        <f t="shared" ca="1" si="1"/>
        <v>9</v>
      </c>
      <c r="C24" s="554" t="str">
        <f ca="1">IF(AUTOEVENTO="Manual",IF($B24&gt;0,OFFSET(EVENTOS!$D$15,$B24-$B$15,0),0),IF(B24&lt;=MAX(CÁLCULO!$M$15:$M$89),VLOOKUP($B24,CÁLCULO!$M$15:$N$89,2,FALSE),0))</f>
        <v>ESQUADRIAS</v>
      </c>
      <c r="D24" s="608"/>
      <c r="E24" s="258"/>
      <c r="F24" t="str">
        <f t="shared" ca="1" si="2"/>
        <v>9. ESQUADRIAS</v>
      </c>
      <c r="G24" s="607">
        <v>6</v>
      </c>
      <c r="H24" s="607"/>
      <c r="I24" s="607"/>
      <c r="J24" s="607"/>
      <c r="K24" s="607"/>
      <c r="L24" s="607"/>
      <c r="M24" s="607"/>
      <c r="N24" s="607"/>
      <c r="O24" s="607"/>
      <c r="P24" s="607"/>
      <c r="Q24" s="607"/>
      <c r="R24" s="607"/>
      <c r="S24" s="607"/>
      <c r="T24" s="607"/>
      <c r="U24" s="607"/>
      <c r="V24" s="607"/>
      <c r="W24" s="607"/>
      <c r="X24" s="607"/>
      <c r="Y24" s="607"/>
      <c r="Z24" s="607"/>
      <c r="AA24" s="607"/>
      <c r="AB24" s="607"/>
      <c r="AC24" s="607"/>
      <c r="AD24" s="607"/>
      <c r="AE24" s="607"/>
    </row>
    <row r="25" spans="1:31" x14ac:dyDescent="0.2">
      <c r="A25" s="7" t="str">
        <f ca="1">IF(AUTOEVENTO="Manual",IF(EVENTOS!$F25&gt;0,"F",""),IF(CRONOPLE!B25&lt;=MAX(CÁLCULO!$M$15:$M$89),"F",""))</f>
        <v>F</v>
      </c>
      <c r="B25" s="257">
        <f t="shared" ca="1" si="1"/>
        <v>10</v>
      </c>
      <c r="C25" s="554" t="str">
        <f ca="1">IF(AUTOEVENTO="Manual",IF($B25&gt;0,OFFSET(EVENTOS!$D$15,$B25-$B$15,0),0),IF(B25&lt;=MAX(CÁLCULO!$M$15:$M$89),VLOOKUP($B25,CÁLCULO!$M$15:$N$89,2,FALSE),0))</f>
        <v>INSTALAÇÕES ELÉTRICAS</v>
      </c>
      <c r="D25" s="608"/>
      <c r="E25" s="258"/>
      <c r="F25" t="str">
        <f t="shared" ca="1" si="2"/>
        <v>10. INSTALAÇÕES ELÉTRICAS</v>
      </c>
      <c r="G25" s="607">
        <v>6</v>
      </c>
      <c r="H25" s="607"/>
      <c r="I25" s="607"/>
      <c r="J25" s="607"/>
      <c r="K25" s="607"/>
      <c r="L25" s="607"/>
      <c r="M25" s="607"/>
      <c r="N25" s="607"/>
      <c r="O25" s="607"/>
      <c r="P25" s="607"/>
      <c r="Q25" s="607"/>
      <c r="R25" s="607"/>
      <c r="S25" s="607"/>
      <c r="T25" s="607"/>
      <c r="U25" s="607"/>
      <c r="V25" s="607"/>
      <c r="W25" s="607"/>
      <c r="X25" s="607"/>
      <c r="Y25" s="607"/>
      <c r="Z25" s="607"/>
      <c r="AA25" s="607"/>
      <c r="AB25" s="607"/>
      <c r="AC25" s="607"/>
      <c r="AD25" s="607"/>
      <c r="AE25" s="607"/>
    </row>
    <row r="26" spans="1:31" x14ac:dyDescent="0.2">
      <c r="A26" s="7" t="str">
        <f ca="1">IF(AUTOEVENTO="Manual",IF(EVENTOS!$F26&gt;0,"F",""),IF(CRONOPLE!B26&lt;=MAX(CÁLCULO!$M$15:$M$89),"F",""))</f>
        <v/>
      </c>
      <c r="B26" s="257">
        <f t="shared" ca="1" si="1"/>
        <v>11</v>
      </c>
      <c r="C26" s="554">
        <f ca="1">IF(AUTOEVENTO="Manual",IF($B26&gt;0,OFFSET(EVENTOS!$D$15,$B26-$B$15,0),0),IF(B26&lt;=MAX(CÁLCULO!$M$15:$M$89),VLOOKUP($B26,CÁLCULO!$M$15:$N$89,2,FALSE),0))</f>
        <v>0</v>
      </c>
      <c r="D26" s="608"/>
      <c r="E26" s="258"/>
      <c r="F26" t="str">
        <f t="shared" ca="1" si="2"/>
        <v/>
      </c>
      <c r="G26" s="607">
        <v>6</v>
      </c>
      <c r="H26" s="607"/>
      <c r="I26" s="607"/>
      <c r="J26" s="607"/>
      <c r="K26" s="607"/>
      <c r="L26" s="607"/>
      <c r="M26" s="607"/>
      <c r="N26" s="607"/>
      <c r="O26" s="607"/>
      <c r="P26" s="607"/>
      <c r="Q26" s="607"/>
      <c r="R26" s="607"/>
      <c r="S26" s="607"/>
      <c r="T26" s="607"/>
      <c r="U26" s="607"/>
      <c r="V26" s="607"/>
      <c r="W26" s="607"/>
      <c r="X26" s="607"/>
      <c r="Y26" s="607"/>
      <c r="Z26" s="607"/>
      <c r="AA26" s="607"/>
      <c r="AB26" s="607"/>
      <c r="AC26" s="607"/>
      <c r="AD26" s="607"/>
      <c r="AE26" s="607"/>
    </row>
    <row r="27" spans="1:31" x14ac:dyDescent="0.2">
      <c r="A27" s="7" t="str">
        <f ca="1">IF(AUTOEVENTO="Manual",IF(EVENTOS!$F27&gt;0,"F",""),IF(CRONOPLE!B27&lt;=MAX(CÁLCULO!$M$15:$M$89),"F",""))</f>
        <v/>
      </c>
      <c r="B27" s="257">
        <f t="shared" ca="1" si="1"/>
        <v>12</v>
      </c>
      <c r="C27" s="554">
        <f ca="1">IF(AUTOEVENTO="Manual",IF($B27&gt;0,OFFSET(EVENTOS!$D$15,$B27-$B$15,0),0),IF(B27&lt;=MAX(CÁLCULO!$M$15:$M$89),VLOOKUP($B27,CÁLCULO!$M$15:$N$89,2,FALSE),0))</f>
        <v>0</v>
      </c>
      <c r="D27" s="608"/>
      <c r="E27" s="258"/>
      <c r="F27" t="str">
        <f t="shared" ca="1" si="2"/>
        <v/>
      </c>
      <c r="G27" s="607">
        <v>3</v>
      </c>
      <c r="H27" s="607"/>
      <c r="I27" s="607"/>
      <c r="J27" s="607"/>
      <c r="K27" s="607"/>
      <c r="L27" s="607"/>
      <c r="M27" s="607"/>
      <c r="N27" s="607"/>
      <c r="O27" s="607"/>
      <c r="P27" s="607"/>
      <c r="Q27" s="607"/>
      <c r="R27" s="607"/>
      <c r="S27" s="607"/>
      <c r="T27" s="607"/>
      <c r="U27" s="607"/>
      <c r="V27" s="607"/>
      <c r="W27" s="607"/>
      <c r="X27" s="607"/>
      <c r="Y27" s="607"/>
      <c r="Z27" s="607"/>
      <c r="AA27" s="607"/>
      <c r="AB27" s="607"/>
      <c r="AC27" s="607"/>
      <c r="AD27" s="607"/>
      <c r="AE27" s="607"/>
    </row>
    <row r="28" spans="1:31" x14ac:dyDescent="0.2">
      <c r="A28" s="7" t="str">
        <f ca="1">IF(AUTOEVENTO="Manual",IF(EVENTOS!$F28&gt;0,"F",""),IF(CRONOPLE!B28&lt;=MAX(CÁLCULO!$M$15:$M$89),"F",""))</f>
        <v/>
      </c>
      <c r="B28" s="257">
        <f t="shared" ca="1" si="1"/>
        <v>13</v>
      </c>
      <c r="C28" s="554">
        <f ca="1">IF(AUTOEVENTO="Manual",IF($B28&gt;0,OFFSET(EVENTOS!$D$15,$B28-$B$15,0),0),IF(B28&lt;=MAX(CÁLCULO!$M$15:$M$89),VLOOKUP($B28,CÁLCULO!$M$15:$N$89,2,FALSE),0))</f>
        <v>0</v>
      </c>
      <c r="D28" s="608"/>
      <c r="E28" s="258"/>
      <c r="F28" t="str">
        <f t="shared" ca="1" si="2"/>
        <v/>
      </c>
      <c r="G28" s="607">
        <v>3</v>
      </c>
      <c r="H28" s="607"/>
      <c r="I28" s="607"/>
      <c r="J28" s="607"/>
      <c r="K28" s="607"/>
      <c r="L28" s="607"/>
      <c r="M28" s="607"/>
      <c r="N28" s="607"/>
      <c r="O28" s="607"/>
      <c r="P28" s="607"/>
      <c r="Q28" s="607"/>
      <c r="R28" s="607"/>
      <c r="S28" s="607"/>
      <c r="T28" s="607"/>
      <c r="U28" s="607"/>
      <c r="V28" s="607"/>
      <c r="W28" s="607"/>
      <c r="X28" s="607"/>
      <c r="Y28" s="607"/>
      <c r="Z28" s="607"/>
      <c r="AA28" s="607"/>
      <c r="AB28" s="607"/>
      <c r="AC28" s="607"/>
      <c r="AD28" s="607"/>
      <c r="AE28" s="607"/>
    </row>
    <row r="29" spans="1:31" x14ac:dyDescent="0.2">
      <c r="A29" s="7" t="str">
        <f ca="1">IF(AUTOEVENTO="Manual",IF(EVENTOS!$F29&gt;0,"F",""),IF(CRONOPLE!B29&lt;=MAX(CÁLCULO!$M$15:$M$89),"F",""))</f>
        <v/>
      </c>
      <c r="B29" s="257">
        <f t="shared" ca="1" si="1"/>
        <v>14</v>
      </c>
      <c r="C29" s="554">
        <f ca="1">IF(AUTOEVENTO="Manual",IF($B29&gt;0,OFFSET(EVENTOS!$D$15,$B29-$B$15,0),0),IF(B29&lt;=MAX(CÁLCULO!$M$15:$M$89),VLOOKUP($B29,CÁLCULO!$M$15:$N$89,2,FALSE),0))</f>
        <v>0</v>
      </c>
      <c r="D29" s="608"/>
      <c r="E29" s="258"/>
      <c r="F29" t="str">
        <f t="shared" ca="1" si="2"/>
        <v/>
      </c>
      <c r="G29" s="607">
        <v>3</v>
      </c>
      <c r="H29" s="607"/>
      <c r="I29" s="607"/>
      <c r="J29" s="607"/>
      <c r="K29" s="607"/>
      <c r="L29" s="607"/>
      <c r="M29" s="607"/>
      <c r="N29" s="607"/>
      <c r="O29" s="607"/>
      <c r="P29" s="607"/>
      <c r="Q29" s="607"/>
      <c r="R29" s="607"/>
      <c r="S29" s="607"/>
      <c r="T29" s="607"/>
      <c r="U29" s="607"/>
      <c r="V29" s="607"/>
      <c r="W29" s="607"/>
      <c r="X29" s="607"/>
      <c r="Y29" s="607"/>
      <c r="Z29" s="607"/>
      <c r="AA29" s="607"/>
      <c r="AB29" s="607"/>
      <c r="AC29" s="607"/>
      <c r="AD29" s="607"/>
      <c r="AE29" s="607"/>
    </row>
    <row r="30" spans="1:31" x14ac:dyDescent="0.2">
      <c r="A30" s="7" t="str">
        <f ca="1">IF(AUTOEVENTO="Manual",IF(EVENTOS!$F30&gt;0,"F",""),IF(CRONOPLE!B30&lt;=MAX(CÁLCULO!$M$15:$M$89),"F",""))</f>
        <v/>
      </c>
      <c r="B30" s="257">
        <f t="shared" ca="1" si="1"/>
        <v>15</v>
      </c>
      <c r="C30" s="554">
        <f ca="1">IF(AUTOEVENTO="Manual",IF($B30&gt;0,OFFSET(EVENTOS!$D$15,$B30-$B$15,0),0),IF(B30&lt;=MAX(CÁLCULO!$M$15:$M$89),VLOOKUP($B30,CÁLCULO!$M$15:$N$89,2,FALSE),0))</f>
        <v>0</v>
      </c>
      <c r="D30" s="608"/>
      <c r="E30" s="258"/>
      <c r="F30" t="str">
        <f t="shared" ca="1" si="2"/>
        <v/>
      </c>
      <c r="G30" s="607">
        <v>3</v>
      </c>
      <c r="H30" s="607"/>
      <c r="I30" s="607"/>
      <c r="J30" s="607"/>
      <c r="K30" s="607"/>
      <c r="L30" s="607"/>
      <c r="M30" s="607"/>
      <c r="N30" s="607"/>
      <c r="O30" s="607"/>
      <c r="P30" s="607"/>
      <c r="Q30" s="607"/>
      <c r="R30" s="607"/>
      <c r="S30" s="607"/>
      <c r="T30" s="607"/>
      <c r="U30" s="607"/>
      <c r="V30" s="607"/>
      <c r="W30" s="607"/>
      <c r="X30" s="607"/>
      <c r="Y30" s="607"/>
      <c r="Z30" s="607"/>
      <c r="AA30" s="607"/>
      <c r="AB30" s="607"/>
      <c r="AC30" s="607"/>
      <c r="AD30" s="607"/>
      <c r="AE30" s="607"/>
    </row>
    <row r="31" spans="1:31" x14ac:dyDescent="0.2">
      <c r="A31" s="7" t="str">
        <f ca="1">IF(AUTOEVENTO="Manual",IF(EVENTOS!$F31&gt;0,"F",""),IF(CRONOPLE!B31&lt;=MAX(CÁLCULO!$M$15:$M$89),"F",""))</f>
        <v/>
      </c>
      <c r="B31" s="257">
        <f t="shared" ca="1" si="1"/>
        <v>16</v>
      </c>
      <c r="C31" s="554">
        <f ca="1">IF(AUTOEVENTO="Manual",IF($B31&gt;0,OFFSET(EVENTOS!$D$15,$B31-$B$15,0),0),IF(B31&lt;=MAX(CÁLCULO!$M$15:$M$89),VLOOKUP($B31,CÁLCULO!$M$15:$N$89,2,FALSE),0))</f>
        <v>0</v>
      </c>
      <c r="D31" s="608"/>
      <c r="E31" s="258"/>
      <c r="F31" t="str">
        <f t="shared" ca="1" si="2"/>
        <v/>
      </c>
      <c r="G31" s="607">
        <v>3</v>
      </c>
      <c r="H31" s="607"/>
      <c r="I31" s="607"/>
      <c r="J31" s="607"/>
      <c r="K31" s="607"/>
      <c r="L31" s="607"/>
      <c r="M31" s="607"/>
      <c r="N31" s="607"/>
      <c r="O31" s="607"/>
      <c r="P31" s="607"/>
      <c r="Q31" s="607"/>
      <c r="R31" s="607"/>
      <c r="S31" s="607"/>
      <c r="T31" s="607"/>
      <c r="U31" s="607"/>
      <c r="V31" s="607"/>
      <c r="W31" s="607"/>
      <c r="X31" s="607"/>
      <c r="Y31" s="607"/>
      <c r="Z31" s="607"/>
      <c r="AA31" s="607"/>
      <c r="AB31" s="607"/>
      <c r="AC31" s="607"/>
      <c r="AD31" s="607"/>
      <c r="AE31" s="607"/>
    </row>
    <row r="32" spans="1:31" x14ac:dyDescent="0.2">
      <c r="A32" s="7" t="str">
        <f ca="1">IF(AUTOEVENTO="Manual",IF(EVENTOS!$F32&gt;0,"F",""),IF(CRONOPLE!B32&lt;=MAX(CÁLCULO!$M$15:$M$89),"F",""))</f>
        <v/>
      </c>
      <c r="B32" s="257">
        <f t="shared" ca="1" si="1"/>
        <v>17</v>
      </c>
      <c r="C32" s="554">
        <f ca="1">IF(AUTOEVENTO="Manual",IF($B32&gt;0,OFFSET(EVENTOS!$D$15,$B32-$B$15,0),0),IF(B32&lt;=MAX(CÁLCULO!$M$15:$M$89),VLOOKUP($B32,CÁLCULO!$M$15:$N$89,2,FALSE),0))</f>
        <v>0</v>
      </c>
      <c r="D32" s="608"/>
      <c r="E32" s="258"/>
      <c r="F32" t="str">
        <f t="shared" ca="1" si="2"/>
        <v/>
      </c>
      <c r="G32" s="607">
        <v>3</v>
      </c>
      <c r="H32" s="607"/>
      <c r="I32" s="607"/>
      <c r="J32" s="607"/>
      <c r="K32" s="607"/>
      <c r="L32" s="607"/>
      <c r="M32" s="607"/>
      <c r="N32" s="607"/>
      <c r="O32" s="607"/>
      <c r="P32" s="607"/>
      <c r="Q32" s="607"/>
      <c r="R32" s="607"/>
      <c r="S32" s="607"/>
      <c r="T32" s="607"/>
      <c r="U32" s="607"/>
      <c r="V32" s="607"/>
      <c r="W32" s="607"/>
      <c r="X32" s="607"/>
      <c r="Y32" s="607"/>
      <c r="Z32" s="607"/>
      <c r="AA32" s="607"/>
      <c r="AB32" s="607"/>
      <c r="AC32" s="607"/>
      <c r="AD32" s="607"/>
      <c r="AE32" s="607"/>
    </row>
    <row r="33" spans="1:31" x14ac:dyDescent="0.2">
      <c r="A33" s="7" t="str">
        <f ca="1">IF(AUTOEVENTO="Manual",IF(EVENTOS!$F33&gt;0,"F",""),IF(CRONOPLE!B33&lt;=MAX(CÁLCULO!$M$15:$M$89),"F",""))</f>
        <v/>
      </c>
      <c r="B33" s="257">
        <f t="shared" ca="1" si="1"/>
        <v>18</v>
      </c>
      <c r="C33" s="554">
        <f ca="1">IF(AUTOEVENTO="Manual",IF($B33&gt;0,OFFSET(EVENTOS!$D$15,$B33-$B$15,0),0),IF(B33&lt;=MAX(CÁLCULO!$M$15:$M$89),VLOOKUP($B33,CÁLCULO!$M$15:$N$89,2,FALSE),0))</f>
        <v>0</v>
      </c>
      <c r="D33" s="608"/>
      <c r="E33" s="258"/>
      <c r="F33" t="str">
        <f t="shared" ca="1" si="2"/>
        <v/>
      </c>
      <c r="G33" s="607">
        <v>3</v>
      </c>
      <c r="H33" s="607"/>
      <c r="I33" s="607"/>
      <c r="J33" s="607"/>
      <c r="K33" s="607"/>
      <c r="L33" s="607"/>
      <c r="M33" s="607"/>
      <c r="N33" s="607"/>
      <c r="O33" s="607"/>
      <c r="P33" s="607"/>
      <c r="Q33" s="607"/>
      <c r="R33" s="607"/>
      <c r="S33" s="607"/>
      <c r="T33" s="607"/>
      <c r="U33" s="607"/>
      <c r="V33" s="607"/>
      <c r="W33" s="607"/>
      <c r="X33" s="607"/>
      <c r="Y33" s="607"/>
      <c r="Z33" s="607"/>
      <c r="AA33" s="607"/>
      <c r="AB33" s="607"/>
      <c r="AC33" s="607"/>
      <c r="AD33" s="607"/>
      <c r="AE33" s="607"/>
    </row>
    <row r="34" spans="1:31" x14ac:dyDescent="0.2">
      <c r="A34" s="7" t="str">
        <f ca="1">IF(AUTOEVENTO="Manual",IF(EVENTOS!$F34&gt;0,"F",""),IF(CRONOPLE!B34&lt;=MAX(CÁLCULO!$M$15:$M$89),"F",""))</f>
        <v/>
      </c>
      <c r="B34" s="257">
        <f t="shared" ca="1" si="1"/>
        <v>19</v>
      </c>
      <c r="C34" s="554">
        <f ca="1">IF(AUTOEVENTO="Manual",IF($B34&gt;0,OFFSET(EVENTOS!$D$15,$B34-$B$15,0),0),IF(B34&lt;=MAX(CÁLCULO!$M$15:$M$89),VLOOKUP($B34,CÁLCULO!$M$15:$N$89,2,FALSE),0))</f>
        <v>0</v>
      </c>
      <c r="D34" s="608"/>
      <c r="E34" s="258"/>
      <c r="F34" t="str">
        <f t="shared" ca="1" si="2"/>
        <v/>
      </c>
      <c r="G34" s="607">
        <v>3</v>
      </c>
      <c r="H34" s="607"/>
      <c r="I34" s="607"/>
      <c r="J34" s="607"/>
      <c r="K34" s="607"/>
      <c r="L34" s="607"/>
      <c r="M34" s="607"/>
      <c r="N34" s="607"/>
      <c r="O34" s="607"/>
      <c r="P34" s="607"/>
      <c r="Q34" s="607"/>
      <c r="R34" s="607"/>
      <c r="S34" s="607"/>
      <c r="T34" s="607"/>
      <c r="U34" s="607"/>
      <c r="V34" s="607"/>
      <c r="W34" s="607"/>
      <c r="X34" s="607"/>
      <c r="Y34" s="607"/>
      <c r="Z34" s="607"/>
      <c r="AA34" s="607"/>
      <c r="AB34" s="607"/>
      <c r="AC34" s="607"/>
      <c r="AD34" s="607"/>
      <c r="AE34" s="607"/>
    </row>
    <row r="35" spans="1:31" x14ac:dyDescent="0.2">
      <c r="A35" s="7" t="str">
        <f ca="1">IF(AUTOEVENTO="Manual",IF(EVENTOS!$F35&gt;0,"F",""),IF(CRONOPLE!B35&lt;=MAX(CÁLCULO!$M$15:$M$89),"F",""))</f>
        <v/>
      </c>
      <c r="B35" s="257">
        <f t="shared" ca="1" si="1"/>
        <v>20</v>
      </c>
      <c r="C35" s="554">
        <f ca="1">IF(AUTOEVENTO="Manual",IF($B35&gt;0,OFFSET(EVENTOS!$D$15,$B35-$B$15,0),0),IF(B35&lt;=MAX(CÁLCULO!$M$15:$M$89),VLOOKUP($B35,CÁLCULO!$M$15:$N$89,2,FALSE),0))</f>
        <v>0</v>
      </c>
      <c r="D35" s="608"/>
      <c r="E35" s="258"/>
      <c r="F35" t="str">
        <f t="shared" ca="1" si="2"/>
        <v/>
      </c>
      <c r="G35" s="607">
        <v>3</v>
      </c>
      <c r="H35" s="607"/>
      <c r="I35" s="607"/>
      <c r="J35" s="607"/>
      <c r="K35" s="607"/>
      <c r="L35" s="607"/>
      <c r="M35" s="607"/>
      <c r="N35" s="607"/>
      <c r="O35" s="607"/>
      <c r="P35" s="607"/>
      <c r="Q35" s="607"/>
      <c r="R35" s="607"/>
      <c r="S35" s="607"/>
      <c r="T35" s="607"/>
      <c r="U35" s="607"/>
      <c r="V35" s="607"/>
      <c r="W35" s="607"/>
      <c r="X35" s="607"/>
      <c r="Y35" s="607"/>
      <c r="Z35" s="607"/>
      <c r="AA35" s="607"/>
      <c r="AB35" s="607"/>
      <c r="AC35" s="607"/>
      <c r="AD35" s="607"/>
      <c r="AE35" s="607"/>
    </row>
    <row r="36" spans="1:31" x14ac:dyDescent="0.2">
      <c r="A36" s="7" t="str">
        <f ca="1">IF(AUTOEVENTO="Manual",IF(EVENTOS!#REF!&gt;0,"F",""),IF(CRONOPLE!B36&lt;=MAX(CÁLCULO!$M$15:$M$89),"F",""))</f>
        <v/>
      </c>
      <c r="B36" s="257">
        <f t="shared" ca="1" si="1"/>
        <v>21</v>
      </c>
      <c r="C36" s="554">
        <f ca="1">IF(AUTOEVENTO="Manual",IF($B36&gt;0,OFFSET(EVENTOS!$D$15,$B36-$B$15,0),0),IF(B36&lt;=MAX(CÁLCULO!$M$15:$M$89),VLOOKUP($B36,CÁLCULO!$M$15:$N$89,2,FALSE),0))</f>
        <v>0</v>
      </c>
      <c r="D36" s="608"/>
      <c r="E36" s="258"/>
      <c r="F36" t="str">
        <f t="shared" ca="1" si="2"/>
        <v/>
      </c>
      <c r="G36" s="607">
        <v>3</v>
      </c>
      <c r="H36" s="607"/>
      <c r="I36" s="607"/>
      <c r="J36" s="607"/>
      <c r="K36" s="607"/>
      <c r="L36" s="607"/>
      <c r="M36" s="607"/>
      <c r="N36" s="607"/>
      <c r="O36" s="607"/>
      <c r="P36" s="607"/>
      <c r="Q36" s="607"/>
      <c r="R36" s="607"/>
      <c r="S36" s="607"/>
      <c r="T36" s="607"/>
      <c r="U36" s="607"/>
      <c r="V36" s="607"/>
      <c r="W36" s="607"/>
      <c r="X36" s="607"/>
      <c r="Y36" s="607"/>
      <c r="Z36" s="607"/>
      <c r="AA36" s="607"/>
      <c r="AB36" s="607"/>
      <c r="AC36" s="607"/>
      <c r="AD36" s="607"/>
      <c r="AE36" s="607"/>
    </row>
    <row r="37" spans="1:31" x14ac:dyDescent="0.2">
      <c r="A37" s="7" t="str">
        <f ca="1">IF(AUTOEVENTO="Manual",IF(EVENTOS!#REF!&gt;0,"F",""),IF(CRONOPLE!B37&lt;=MAX(CÁLCULO!$M$15:$M$89),"F",""))</f>
        <v/>
      </c>
      <c r="B37" s="257">
        <f t="shared" ca="1" si="1"/>
        <v>22</v>
      </c>
      <c r="C37" s="554">
        <f ca="1">IF(AUTOEVENTO="Manual",IF($B37&gt;0,OFFSET(EVENTOS!$D$15,$B37-$B$15,0),0),IF(B37&lt;=MAX(CÁLCULO!$M$15:$M$89),VLOOKUP($B37,CÁLCULO!$M$15:$N$89,2,FALSE),0))</f>
        <v>0</v>
      </c>
      <c r="D37" s="608"/>
      <c r="E37" s="258"/>
      <c r="F37" t="str">
        <f t="shared" ca="1" si="2"/>
        <v/>
      </c>
      <c r="G37" s="607">
        <v>3</v>
      </c>
      <c r="H37" s="607"/>
      <c r="I37" s="607"/>
      <c r="J37" s="607"/>
      <c r="K37" s="607"/>
      <c r="L37" s="607"/>
      <c r="M37" s="607"/>
      <c r="N37" s="607"/>
      <c r="O37" s="607"/>
      <c r="P37" s="607"/>
      <c r="Q37" s="607"/>
      <c r="R37" s="607"/>
      <c r="S37" s="607"/>
      <c r="T37" s="607"/>
      <c r="U37" s="607"/>
      <c r="V37" s="607"/>
      <c r="W37" s="607"/>
      <c r="X37" s="607"/>
      <c r="Y37" s="607"/>
      <c r="Z37" s="607"/>
      <c r="AA37" s="607"/>
      <c r="AB37" s="607"/>
      <c r="AC37" s="607"/>
      <c r="AD37" s="607"/>
      <c r="AE37" s="607"/>
    </row>
    <row r="38" spans="1:31" x14ac:dyDescent="0.2">
      <c r="A38" s="7" t="str">
        <f ca="1">IF(AUTOEVENTO="Manual",IF(EVENTOS!#REF!&gt;0,"F",""),IF(CRONOPLE!B38&lt;=MAX(CÁLCULO!$M$15:$M$89),"F",""))</f>
        <v/>
      </c>
      <c r="B38" s="257">
        <f t="shared" ca="1" si="1"/>
        <v>23</v>
      </c>
      <c r="C38" s="554">
        <f ca="1">IF(AUTOEVENTO="Manual",IF($B38&gt;0,OFFSET(EVENTOS!$D$15,$B38-$B$15,0),0),IF(B38&lt;=MAX(CÁLCULO!$M$15:$M$89),VLOOKUP($B38,CÁLCULO!$M$15:$N$89,2,FALSE),0))</f>
        <v>0</v>
      </c>
      <c r="D38" s="608"/>
      <c r="E38" s="258"/>
      <c r="F38" t="str">
        <f t="shared" ca="1" si="2"/>
        <v/>
      </c>
      <c r="G38" s="607"/>
      <c r="H38" s="607"/>
      <c r="I38" s="607"/>
      <c r="J38" s="607"/>
      <c r="K38" s="607"/>
      <c r="L38" s="607"/>
      <c r="M38" s="607"/>
      <c r="N38" s="607"/>
      <c r="O38" s="607"/>
      <c r="P38" s="607"/>
      <c r="Q38" s="607"/>
      <c r="R38" s="607"/>
      <c r="S38" s="607"/>
      <c r="T38" s="607"/>
      <c r="U38" s="607"/>
      <c r="V38" s="607"/>
      <c r="W38" s="607"/>
      <c r="X38" s="607"/>
      <c r="Y38" s="607"/>
      <c r="Z38" s="607"/>
      <c r="AA38" s="607"/>
      <c r="AB38" s="607"/>
      <c r="AC38" s="607"/>
      <c r="AD38" s="607"/>
      <c r="AE38" s="607"/>
    </row>
    <row r="39" spans="1:31" x14ac:dyDescent="0.2">
      <c r="A39" s="7" t="str">
        <f ca="1">IF(AUTOEVENTO="Manual",IF(EVENTOS!#REF!&gt;0,"F",""),IF(CRONOPLE!B39&lt;=MAX(CÁLCULO!$M$15:$M$89),"F",""))</f>
        <v/>
      </c>
      <c r="B39" s="257">
        <f t="shared" ca="1" si="1"/>
        <v>24</v>
      </c>
      <c r="C39" s="554">
        <f ca="1">IF(AUTOEVENTO="Manual",IF($B39&gt;0,OFFSET(EVENTOS!$D$15,$B39-$B$15,0),0),IF(B39&lt;=MAX(CÁLCULO!$M$15:$M$89),VLOOKUP($B39,CÁLCULO!$M$15:$N$89,2,FALSE),0))</f>
        <v>0</v>
      </c>
      <c r="D39" s="608"/>
      <c r="E39" s="258"/>
      <c r="F39" t="str">
        <f t="shared" ca="1" si="2"/>
        <v/>
      </c>
      <c r="G39" s="607"/>
      <c r="H39" s="607"/>
      <c r="I39" s="607"/>
      <c r="J39" s="607"/>
      <c r="K39" s="607"/>
      <c r="L39" s="607"/>
      <c r="M39" s="607"/>
      <c r="N39" s="607"/>
      <c r="O39" s="607"/>
      <c r="P39" s="607"/>
      <c r="Q39" s="607"/>
      <c r="R39" s="607"/>
      <c r="S39" s="607"/>
      <c r="T39" s="607"/>
      <c r="U39" s="607"/>
      <c r="V39" s="607"/>
      <c r="W39" s="607"/>
      <c r="X39" s="607"/>
      <c r="Y39" s="607"/>
      <c r="Z39" s="607"/>
      <c r="AA39" s="607"/>
      <c r="AB39" s="607"/>
      <c r="AC39" s="607"/>
      <c r="AD39" s="607"/>
      <c r="AE39" s="607"/>
    </row>
    <row r="40" spans="1:31" x14ac:dyDescent="0.2">
      <c r="A40" s="7" t="str">
        <f ca="1">IF(AUTOEVENTO="Manual",IF(EVENTOS!#REF!&gt;0,"F",""),IF(CRONOPLE!B40&lt;=MAX(CÁLCULO!$M$15:$M$89),"F",""))</f>
        <v/>
      </c>
      <c r="B40" s="257">
        <f t="shared" ca="1" si="1"/>
        <v>25</v>
      </c>
      <c r="C40" s="554">
        <f ca="1">IF(AUTOEVENTO="Manual",IF($B40&gt;0,OFFSET(EVENTOS!$D$15,$B40-$B$15,0),0),IF(B40&lt;=MAX(CÁLCULO!$M$15:$M$89),VLOOKUP($B40,CÁLCULO!$M$15:$N$89,2,FALSE),0))</f>
        <v>0</v>
      </c>
      <c r="D40" s="608"/>
      <c r="E40" s="258"/>
      <c r="F40" t="str">
        <f t="shared" ca="1" si="2"/>
        <v/>
      </c>
      <c r="G40" s="607"/>
      <c r="H40" s="607"/>
      <c r="I40" s="607"/>
      <c r="J40" s="607"/>
      <c r="K40" s="607"/>
      <c r="L40" s="607"/>
      <c r="M40" s="607"/>
      <c r="N40" s="607"/>
      <c r="O40" s="607"/>
      <c r="P40" s="607"/>
      <c r="Q40" s="607"/>
      <c r="R40" s="607"/>
      <c r="S40" s="607"/>
      <c r="T40" s="607"/>
      <c r="U40" s="607"/>
      <c r="V40" s="607"/>
      <c r="W40" s="607"/>
      <c r="X40" s="607"/>
      <c r="Y40" s="607"/>
      <c r="Z40" s="607"/>
      <c r="AA40" s="607"/>
      <c r="AB40" s="607"/>
      <c r="AC40" s="607"/>
      <c r="AD40" s="607"/>
      <c r="AE40" s="607"/>
    </row>
    <row r="41" spans="1:31" x14ac:dyDescent="0.2">
      <c r="A41" s="7" t="str">
        <f ca="1">IF(AUTOEVENTO="Manual",IF(EVENTOS!#REF!&gt;0,"F",""),IF(CRONOPLE!B41&lt;=MAX(CÁLCULO!$M$15:$M$89),"F",""))</f>
        <v/>
      </c>
      <c r="B41" s="257">
        <f t="shared" ca="1" si="1"/>
        <v>26</v>
      </c>
      <c r="C41" s="554">
        <f ca="1">IF(AUTOEVENTO="Manual",IF($B41&gt;0,OFFSET(EVENTOS!$D$15,$B41-$B$15,0),0),IF(B41&lt;=MAX(CÁLCULO!$M$15:$M$89),VLOOKUP($B41,CÁLCULO!$M$15:$N$89,2,FALSE),0))</f>
        <v>0</v>
      </c>
      <c r="D41" s="608"/>
      <c r="E41" s="258"/>
      <c r="F41" t="str">
        <f t="shared" ca="1" si="2"/>
        <v/>
      </c>
      <c r="G41" s="607"/>
      <c r="H41" s="607"/>
      <c r="I41" s="607"/>
      <c r="J41" s="607"/>
      <c r="K41" s="607"/>
      <c r="L41" s="607"/>
      <c r="M41" s="607"/>
      <c r="N41" s="607"/>
      <c r="O41" s="607"/>
      <c r="P41" s="607"/>
      <c r="Q41" s="607"/>
      <c r="R41" s="607"/>
      <c r="S41" s="607"/>
      <c r="T41" s="607"/>
      <c r="U41" s="607"/>
      <c r="V41" s="607"/>
      <c r="W41" s="607"/>
      <c r="X41" s="607"/>
      <c r="Y41" s="607"/>
      <c r="Z41" s="607"/>
      <c r="AA41" s="607"/>
      <c r="AB41" s="607"/>
      <c r="AC41" s="607"/>
      <c r="AD41" s="607"/>
      <c r="AE41" s="607"/>
    </row>
    <row r="42" spans="1:31" x14ac:dyDescent="0.2">
      <c r="A42" s="7" t="str">
        <f ca="1">IF(AUTOEVENTO="Manual",IF(EVENTOS!#REF!&gt;0,"F",""),IF(CRONOPLE!B42&lt;=MAX(CÁLCULO!$M$15:$M$89),"F",""))</f>
        <v/>
      </c>
      <c r="B42" s="257">
        <f t="shared" ca="1" si="1"/>
        <v>27</v>
      </c>
      <c r="C42" s="554">
        <f ca="1">IF(AUTOEVENTO="Manual",IF($B42&gt;0,OFFSET(EVENTOS!$D$15,$B42-$B$15,0),0),IF(B42&lt;=MAX(CÁLCULO!$M$15:$M$89),VLOOKUP($B42,CÁLCULO!$M$15:$N$89,2,FALSE),0))</f>
        <v>0</v>
      </c>
      <c r="D42" s="608"/>
      <c r="E42" s="258"/>
      <c r="F42" t="str">
        <f t="shared" ca="1" si="2"/>
        <v/>
      </c>
      <c r="G42" s="607"/>
      <c r="H42" s="607"/>
      <c r="I42" s="607"/>
      <c r="J42" s="607"/>
      <c r="K42" s="607"/>
      <c r="L42" s="607"/>
      <c r="M42" s="607"/>
      <c r="N42" s="607"/>
      <c r="O42" s="607"/>
      <c r="P42" s="607"/>
      <c r="Q42" s="607"/>
      <c r="R42" s="607"/>
      <c r="S42" s="607"/>
      <c r="T42" s="607"/>
      <c r="U42" s="607"/>
      <c r="V42" s="607"/>
      <c r="W42" s="607"/>
      <c r="X42" s="607"/>
      <c r="Y42" s="607"/>
      <c r="Z42" s="607"/>
      <c r="AA42" s="607"/>
      <c r="AB42" s="607"/>
      <c r="AC42" s="607"/>
      <c r="AD42" s="607"/>
      <c r="AE42" s="607"/>
    </row>
    <row r="43" spans="1:31" x14ac:dyDescent="0.2">
      <c r="A43" s="7" t="str">
        <f ca="1">IF(AUTOEVENTO="Manual",IF(EVENTOS!#REF!&gt;0,"F",""),IF(CRONOPLE!B43&lt;=MAX(CÁLCULO!$M$15:$M$89),"F",""))</f>
        <v/>
      </c>
      <c r="B43" s="257">
        <f t="shared" ca="1" si="1"/>
        <v>28</v>
      </c>
      <c r="C43" s="554">
        <f ca="1">IF(AUTOEVENTO="Manual",IF($B43&gt;0,OFFSET(EVENTOS!$D$15,$B43-$B$15,0),0),IF(B43&lt;=MAX(CÁLCULO!$M$15:$M$89),VLOOKUP($B43,CÁLCULO!$M$15:$N$89,2,FALSE),0))</f>
        <v>0</v>
      </c>
      <c r="D43" s="608"/>
      <c r="E43" s="258"/>
      <c r="F43" t="str">
        <f t="shared" ca="1" si="2"/>
        <v/>
      </c>
      <c r="G43" s="607"/>
      <c r="H43" s="607"/>
      <c r="I43" s="607"/>
      <c r="J43" s="607"/>
      <c r="K43" s="607"/>
      <c r="L43" s="607"/>
      <c r="M43" s="607"/>
      <c r="N43" s="607"/>
      <c r="O43" s="607"/>
      <c r="P43" s="607"/>
      <c r="Q43" s="607"/>
      <c r="R43" s="607"/>
      <c r="S43" s="607"/>
      <c r="T43" s="607"/>
      <c r="U43" s="607"/>
      <c r="V43" s="607"/>
      <c r="W43" s="607"/>
      <c r="X43" s="607"/>
      <c r="Y43" s="607"/>
      <c r="Z43" s="607"/>
      <c r="AA43" s="607"/>
      <c r="AB43" s="607"/>
      <c r="AC43" s="607"/>
      <c r="AD43" s="607"/>
      <c r="AE43" s="607"/>
    </row>
    <row r="44" spans="1:31" x14ac:dyDescent="0.2">
      <c r="A44" s="7" t="str">
        <f ca="1">IF(AUTOEVENTO="Manual",IF(EVENTOS!#REF!&gt;0,"F",""),IF(CRONOPLE!B44&lt;=MAX(CÁLCULO!$M$15:$M$89),"F",""))</f>
        <v/>
      </c>
      <c r="B44" s="257">
        <f t="shared" ca="1" si="1"/>
        <v>29</v>
      </c>
      <c r="C44" s="554">
        <f ca="1">IF(AUTOEVENTO="Manual",IF($B44&gt;0,OFFSET(EVENTOS!$D$15,$B44-$B$15,0),0),IF(B44&lt;=MAX(CÁLCULO!$M$15:$M$89),VLOOKUP($B44,CÁLCULO!$M$15:$N$89,2,FALSE),0))</f>
        <v>0</v>
      </c>
      <c r="D44" s="608"/>
      <c r="E44" s="258"/>
      <c r="F44" t="str">
        <f t="shared" ca="1" si="2"/>
        <v/>
      </c>
      <c r="G44" s="607"/>
      <c r="H44" s="607"/>
      <c r="I44" s="607"/>
      <c r="J44" s="607"/>
      <c r="K44" s="607"/>
      <c r="L44" s="607"/>
      <c r="M44" s="607"/>
      <c r="N44" s="607"/>
      <c r="O44" s="607"/>
      <c r="P44" s="607"/>
      <c r="Q44" s="607"/>
      <c r="R44" s="607"/>
      <c r="S44" s="607"/>
      <c r="T44" s="607"/>
      <c r="U44" s="607"/>
      <c r="V44" s="607"/>
      <c r="W44" s="607"/>
      <c r="X44" s="607"/>
      <c r="Y44" s="607"/>
      <c r="Z44" s="607"/>
      <c r="AA44" s="607"/>
      <c r="AB44" s="607"/>
      <c r="AC44" s="607"/>
      <c r="AD44" s="607"/>
      <c r="AE44" s="607"/>
    </row>
    <row r="45" spans="1:31" x14ac:dyDescent="0.2">
      <c r="A45" s="7" t="str">
        <f ca="1">IF(AUTOEVENTO="Manual",IF(EVENTOS!#REF!&gt;0,"F",""),IF(CRONOPLE!B45&lt;=MAX(CÁLCULO!$M$15:$M$89),"F",""))</f>
        <v/>
      </c>
      <c r="B45" s="257">
        <f t="shared" ca="1" si="1"/>
        <v>30</v>
      </c>
      <c r="C45" s="554">
        <f ca="1">IF(AUTOEVENTO="Manual",IF($B45&gt;0,OFFSET(EVENTOS!$D$15,$B45-$B$15,0),0),IF(B45&lt;=MAX(CÁLCULO!$M$15:$M$89),VLOOKUP($B45,CÁLCULO!$M$15:$N$89,2,FALSE),0))</f>
        <v>0</v>
      </c>
      <c r="D45" s="608"/>
      <c r="E45" s="258"/>
      <c r="F45" t="str">
        <f t="shared" ca="1" si="2"/>
        <v/>
      </c>
      <c r="G45" s="607"/>
      <c r="H45" s="607"/>
      <c r="I45" s="607"/>
      <c r="J45" s="607"/>
      <c r="K45" s="607"/>
      <c r="L45" s="607"/>
      <c r="M45" s="607"/>
      <c r="N45" s="607"/>
      <c r="O45" s="607"/>
      <c r="P45" s="607"/>
      <c r="Q45" s="607"/>
      <c r="R45" s="607"/>
      <c r="S45" s="607"/>
      <c r="T45" s="607"/>
      <c r="U45" s="607"/>
      <c r="V45" s="607"/>
      <c r="W45" s="607"/>
      <c r="X45" s="607"/>
      <c r="Y45" s="607"/>
      <c r="Z45" s="607"/>
      <c r="AA45" s="607"/>
      <c r="AB45" s="607"/>
      <c r="AC45" s="607"/>
      <c r="AD45" s="607"/>
      <c r="AE45" s="607"/>
    </row>
    <row r="46" spans="1:31" x14ac:dyDescent="0.2">
      <c r="A46" s="7" t="str">
        <f ca="1">IF(AUTOEVENTO="Manual",IF(EVENTOS!#REF!&gt;0,"F",""),IF(CRONOPLE!B46&lt;=MAX(CÁLCULO!$M$15:$M$89),"F",""))</f>
        <v/>
      </c>
      <c r="B46" s="257">
        <f t="shared" ca="1" si="1"/>
        <v>31</v>
      </c>
      <c r="C46" s="554">
        <f ca="1">IF(AUTOEVENTO="Manual",IF($B46&gt;0,OFFSET(EVENTOS!$D$15,$B46-$B$15,0),0),IF(B46&lt;=MAX(CÁLCULO!$M$15:$M$89),VLOOKUP($B46,CÁLCULO!$M$15:$N$89,2,FALSE),0))</f>
        <v>0</v>
      </c>
      <c r="D46" s="608"/>
      <c r="E46" s="258"/>
      <c r="F46" t="str">
        <f t="shared" ca="1" si="2"/>
        <v/>
      </c>
      <c r="G46" s="607"/>
      <c r="H46" s="607"/>
      <c r="I46" s="607"/>
      <c r="J46" s="607"/>
      <c r="K46" s="607"/>
      <c r="L46" s="607"/>
      <c r="M46" s="607"/>
      <c r="N46" s="607"/>
      <c r="O46" s="607"/>
      <c r="P46" s="607"/>
      <c r="Q46" s="607"/>
      <c r="R46" s="607"/>
      <c r="S46" s="607"/>
      <c r="T46" s="607"/>
      <c r="U46" s="607"/>
      <c r="V46" s="607"/>
      <c r="W46" s="607"/>
      <c r="X46" s="607"/>
      <c r="Y46" s="607"/>
      <c r="Z46" s="607"/>
      <c r="AA46" s="607"/>
      <c r="AB46" s="607"/>
      <c r="AC46" s="607"/>
      <c r="AD46" s="607"/>
      <c r="AE46" s="607"/>
    </row>
    <row r="47" spans="1:31" x14ac:dyDescent="0.2">
      <c r="A47" s="7" t="str">
        <f ca="1">IF(AUTOEVENTO="Manual",IF(EVENTOS!#REF!&gt;0,"F",""),IF(CRONOPLE!B47&lt;=MAX(CÁLCULO!$M$15:$M$89),"F",""))</f>
        <v/>
      </c>
      <c r="B47" s="257">
        <f t="shared" ca="1" si="1"/>
        <v>32</v>
      </c>
      <c r="C47" s="554">
        <f ca="1">IF(AUTOEVENTO="Manual",IF($B47&gt;0,OFFSET(EVENTOS!$D$15,$B47-$B$15,0),0),IF(B47&lt;=MAX(CÁLCULO!$M$15:$M$89),VLOOKUP($B47,CÁLCULO!$M$15:$N$89,2,FALSE),0))</f>
        <v>0</v>
      </c>
      <c r="D47" s="608"/>
      <c r="E47" s="258"/>
      <c r="F47" t="str">
        <f t="shared" ca="1" si="2"/>
        <v/>
      </c>
      <c r="G47" s="607"/>
      <c r="H47" s="607"/>
      <c r="I47" s="607"/>
      <c r="J47" s="607"/>
      <c r="K47" s="607"/>
      <c r="L47" s="607"/>
      <c r="M47" s="607"/>
      <c r="N47" s="607"/>
      <c r="O47" s="607"/>
      <c r="P47" s="607"/>
      <c r="Q47" s="607"/>
      <c r="R47" s="607"/>
      <c r="S47" s="607"/>
      <c r="T47" s="607"/>
      <c r="U47" s="607"/>
      <c r="V47" s="607"/>
      <c r="W47" s="607"/>
      <c r="X47" s="607"/>
      <c r="Y47" s="607"/>
      <c r="Z47" s="607"/>
      <c r="AA47" s="607"/>
      <c r="AB47" s="607"/>
      <c r="AC47" s="607"/>
      <c r="AD47" s="607"/>
      <c r="AE47" s="607"/>
    </row>
    <row r="48" spans="1:31" x14ac:dyDescent="0.2">
      <c r="A48" s="7" t="str">
        <f ca="1">IF(AUTOEVENTO="Manual",IF(EVENTOS!#REF!&gt;0,"F",""),IF(CRONOPLE!B48&lt;=MAX(CÁLCULO!$M$15:$M$89),"F",""))</f>
        <v/>
      </c>
      <c r="B48" s="257">
        <f t="shared" ca="1" si="1"/>
        <v>33</v>
      </c>
      <c r="C48" s="554">
        <f ca="1">IF(AUTOEVENTO="Manual",IF($B48&gt;0,OFFSET(EVENTOS!$D$15,$B48-$B$15,0),0),IF(B48&lt;=MAX(CÁLCULO!$M$15:$M$89),VLOOKUP($B48,CÁLCULO!$M$15:$N$89,2,FALSE),0))</f>
        <v>0</v>
      </c>
      <c r="D48" s="608"/>
      <c r="E48" s="258"/>
      <c r="F48" t="str">
        <f t="shared" ca="1" si="2"/>
        <v/>
      </c>
      <c r="G48" s="607"/>
      <c r="H48" s="607"/>
      <c r="I48" s="607"/>
      <c r="J48" s="607"/>
      <c r="K48" s="607"/>
      <c r="L48" s="607"/>
      <c r="M48" s="607"/>
      <c r="N48" s="607"/>
      <c r="O48" s="607"/>
      <c r="P48" s="607"/>
      <c r="Q48" s="607"/>
      <c r="R48" s="607"/>
      <c r="S48" s="607"/>
      <c r="T48" s="607"/>
      <c r="U48" s="607"/>
      <c r="V48" s="607"/>
      <c r="W48" s="607"/>
      <c r="X48" s="607"/>
      <c r="Y48" s="607"/>
      <c r="Z48" s="607"/>
      <c r="AA48" s="607"/>
      <c r="AB48" s="607"/>
      <c r="AC48" s="607"/>
      <c r="AD48" s="607"/>
      <c r="AE48" s="607"/>
    </row>
    <row r="49" spans="1:31" x14ac:dyDescent="0.2">
      <c r="A49" s="7" t="str">
        <f ca="1">IF(AUTOEVENTO="Manual",IF(EVENTOS!#REF!&gt;0,"F",""),IF(CRONOPLE!B49&lt;=MAX(CÁLCULO!$M$15:$M$89),"F",""))</f>
        <v/>
      </c>
      <c r="B49" s="257">
        <f t="shared" ca="1" si="1"/>
        <v>34</v>
      </c>
      <c r="C49" s="554">
        <f ca="1">IF(AUTOEVENTO="Manual",IF($B49&gt;0,OFFSET(EVENTOS!$D$15,$B49-$B$15,0),0),IF(B49&lt;=MAX(CÁLCULO!$M$15:$M$89),VLOOKUP($B49,CÁLCULO!$M$15:$N$89,2,FALSE),0))</f>
        <v>0</v>
      </c>
      <c r="D49" s="608"/>
      <c r="E49" s="258"/>
      <c r="F49" t="str">
        <f t="shared" ca="1" si="2"/>
        <v/>
      </c>
      <c r="G49" s="607"/>
      <c r="H49" s="607"/>
      <c r="I49" s="607"/>
      <c r="J49" s="607"/>
      <c r="K49" s="607"/>
      <c r="L49" s="607"/>
      <c r="M49" s="607"/>
      <c r="N49" s="607"/>
      <c r="O49" s="607"/>
      <c r="P49" s="607"/>
      <c r="Q49" s="607"/>
      <c r="R49" s="607"/>
      <c r="S49" s="607"/>
      <c r="T49" s="607"/>
      <c r="U49" s="607"/>
      <c r="V49" s="607"/>
      <c r="W49" s="607"/>
      <c r="X49" s="607"/>
      <c r="Y49" s="607"/>
      <c r="Z49" s="607"/>
      <c r="AA49" s="607"/>
      <c r="AB49" s="607"/>
      <c r="AC49" s="607"/>
      <c r="AD49" s="607"/>
      <c r="AE49" s="607"/>
    </row>
    <row r="50" spans="1:31" x14ac:dyDescent="0.2">
      <c r="A50" s="7" t="str">
        <f ca="1">IF(AUTOEVENTO="Manual",IF(EVENTOS!#REF!&gt;0,"F",""),IF(CRONOPLE!B50&lt;=MAX(CÁLCULO!$M$15:$M$89),"F",""))</f>
        <v/>
      </c>
      <c r="B50" s="257">
        <f t="shared" ca="1" si="1"/>
        <v>35</v>
      </c>
      <c r="C50" s="554">
        <f ca="1">IF(AUTOEVENTO="Manual",IF($B50&gt;0,OFFSET(EVENTOS!$D$15,$B50-$B$15,0),0),IF(B50&lt;=MAX(CÁLCULO!$M$15:$M$89),VLOOKUP($B50,CÁLCULO!$M$15:$N$89,2,FALSE),0))</f>
        <v>0</v>
      </c>
      <c r="D50" s="608"/>
      <c r="E50" s="258"/>
      <c r="F50" t="str">
        <f t="shared" ca="1" si="2"/>
        <v/>
      </c>
      <c r="G50" s="607"/>
      <c r="H50" s="607"/>
      <c r="I50" s="607"/>
      <c r="J50" s="607"/>
      <c r="K50" s="607"/>
      <c r="L50" s="607"/>
      <c r="M50" s="607"/>
      <c r="N50" s="607"/>
      <c r="O50" s="607"/>
      <c r="P50" s="607"/>
      <c r="Q50" s="607"/>
      <c r="R50" s="607"/>
      <c r="S50" s="607"/>
      <c r="T50" s="607"/>
      <c r="U50" s="607"/>
      <c r="V50" s="607"/>
      <c r="W50" s="607"/>
      <c r="X50" s="607"/>
      <c r="Y50" s="607"/>
      <c r="Z50" s="607"/>
      <c r="AA50" s="607"/>
      <c r="AB50" s="607"/>
      <c r="AC50" s="607"/>
      <c r="AD50" s="607"/>
      <c r="AE50" s="607"/>
    </row>
    <row r="51" spans="1:31" x14ac:dyDescent="0.2">
      <c r="A51" s="7" t="str">
        <f ca="1">IF(AUTOEVENTO="Manual",IF(EVENTOS!#REF!&gt;0,"F",""),IF(CRONOPLE!B51&lt;=MAX(CÁLCULO!$M$15:$M$89),"F",""))</f>
        <v/>
      </c>
      <c r="B51" s="257">
        <f t="shared" ca="1" si="1"/>
        <v>36</v>
      </c>
      <c r="C51" s="554">
        <f ca="1">IF(AUTOEVENTO="Manual",IF($B51&gt;0,OFFSET(EVENTOS!$D$15,$B51-$B$15,0),0),IF(B51&lt;=MAX(CÁLCULO!$M$15:$M$89),VLOOKUP($B51,CÁLCULO!$M$15:$N$89,2,FALSE),0))</f>
        <v>0</v>
      </c>
      <c r="D51" s="608"/>
      <c r="E51" s="258"/>
      <c r="F51" t="str">
        <f t="shared" ca="1" si="2"/>
        <v/>
      </c>
      <c r="G51" s="607"/>
      <c r="H51" s="607"/>
      <c r="I51" s="607"/>
      <c r="J51" s="607"/>
      <c r="K51" s="607"/>
      <c r="L51" s="607"/>
      <c r="M51" s="607"/>
      <c r="N51" s="607"/>
      <c r="O51" s="607"/>
      <c r="P51" s="607"/>
      <c r="Q51" s="607"/>
      <c r="R51" s="607"/>
      <c r="S51" s="607"/>
      <c r="T51" s="607"/>
      <c r="U51" s="607"/>
      <c r="V51" s="607"/>
      <c r="W51" s="607"/>
      <c r="X51" s="607"/>
      <c r="Y51" s="607"/>
      <c r="Z51" s="607"/>
      <c r="AA51" s="607"/>
      <c r="AB51" s="607"/>
      <c r="AC51" s="607"/>
      <c r="AD51" s="607"/>
      <c r="AE51" s="607"/>
    </row>
    <row r="52" spans="1:31" x14ac:dyDescent="0.2">
      <c r="A52" s="7" t="str">
        <f ca="1">IF(AUTOEVENTO="Manual",IF(EVENTOS!#REF!&gt;0,"F",""),IF(CRONOPLE!B52&lt;=MAX(CÁLCULO!$M$15:$M$89),"F",""))</f>
        <v/>
      </c>
      <c r="B52" s="257">
        <f t="shared" ca="1" si="1"/>
        <v>37</v>
      </c>
      <c r="C52" s="554">
        <f ca="1">IF(AUTOEVENTO="Manual",IF($B52&gt;0,OFFSET(EVENTOS!$D$15,$B52-$B$15,0),0),IF(B52&lt;=MAX(CÁLCULO!$M$15:$M$89),VLOOKUP($B52,CÁLCULO!$M$15:$N$89,2,FALSE),0))</f>
        <v>0</v>
      </c>
      <c r="D52" s="608"/>
      <c r="E52" s="258"/>
      <c r="F52" t="str">
        <f t="shared" ca="1" si="2"/>
        <v/>
      </c>
      <c r="G52" s="607"/>
      <c r="H52" s="607"/>
      <c r="I52" s="607"/>
      <c r="J52" s="607"/>
      <c r="K52" s="607"/>
      <c r="L52" s="607"/>
      <c r="M52" s="607"/>
      <c r="N52" s="607"/>
      <c r="O52" s="607"/>
      <c r="P52" s="607"/>
      <c r="Q52" s="607"/>
      <c r="R52" s="607"/>
      <c r="S52" s="607"/>
      <c r="T52" s="607"/>
      <c r="U52" s="607"/>
      <c r="V52" s="607"/>
      <c r="W52" s="607"/>
      <c r="X52" s="607"/>
      <c r="Y52" s="607"/>
      <c r="Z52" s="607"/>
      <c r="AA52" s="607"/>
      <c r="AB52" s="607"/>
      <c r="AC52" s="607"/>
      <c r="AD52" s="607"/>
      <c r="AE52" s="607"/>
    </row>
    <row r="53" spans="1:31" x14ac:dyDescent="0.2">
      <c r="A53" s="7" t="str">
        <f ca="1">IF(AUTOEVENTO="Manual",IF(EVENTOS!#REF!&gt;0,"F",""),IF(CRONOPLE!B53&lt;=MAX(CÁLCULO!$M$15:$M$89),"F",""))</f>
        <v/>
      </c>
      <c r="B53" s="257">
        <f t="shared" ca="1" si="1"/>
        <v>38</v>
      </c>
      <c r="C53" s="554">
        <f ca="1">IF(AUTOEVENTO="Manual",IF($B53&gt;0,OFFSET(EVENTOS!$D$15,$B53-$B$15,0),0),IF(B53&lt;=MAX(CÁLCULO!$M$15:$M$89),VLOOKUP($B53,CÁLCULO!$M$15:$N$89,2,FALSE),0))</f>
        <v>0</v>
      </c>
      <c r="D53" s="608"/>
      <c r="E53" s="258"/>
      <c r="F53" t="str">
        <f t="shared" ca="1" si="2"/>
        <v/>
      </c>
      <c r="G53" s="607"/>
      <c r="H53" s="607"/>
      <c r="I53" s="607"/>
      <c r="J53" s="607"/>
      <c r="K53" s="607"/>
      <c r="L53" s="607"/>
      <c r="M53" s="607"/>
      <c r="N53" s="607"/>
      <c r="O53" s="607"/>
      <c r="P53" s="607"/>
      <c r="Q53" s="607"/>
      <c r="R53" s="607"/>
      <c r="S53" s="607"/>
      <c r="T53" s="607"/>
      <c r="U53" s="607"/>
      <c r="V53" s="607"/>
      <c r="W53" s="607"/>
      <c r="X53" s="607"/>
      <c r="Y53" s="607"/>
      <c r="Z53" s="607"/>
      <c r="AA53" s="607"/>
      <c r="AB53" s="607"/>
      <c r="AC53" s="607"/>
      <c r="AD53" s="607"/>
      <c r="AE53" s="607"/>
    </row>
    <row r="54" spans="1:31" x14ac:dyDescent="0.2">
      <c r="A54" s="7" t="str">
        <f ca="1">IF(AUTOEVENTO="Manual",IF(EVENTOS!#REF!&gt;0,"F",""),IF(CRONOPLE!B54&lt;=MAX(CÁLCULO!$M$15:$M$89),"F",""))</f>
        <v/>
      </c>
      <c r="B54" s="257">
        <f t="shared" ca="1" si="1"/>
        <v>39</v>
      </c>
      <c r="C54" s="554">
        <f ca="1">IF(AUTOEVENTO="Manual",IF($B54&gt;0,OFFSET(EVENTOS!$D$15,$B54-$B$15,0),0),IF(B54&lt;=MAX(CÁLCULO!$M$15:$M$89),VLOOKUP($B54,CÁLCULO!$M$15:$N$89,2,FALSE),0))</f>
        <v>0</v>
      </c>
      <c r="D54" s="608"/>
      <c r="E54" s="258"/>
      <c r="F54" t="str">
        <f t="shared" ca="1" si="2"/>
        <v/>
      </c>
      <c r="G54" s="607"/>
      <c r="H54" s="607"/>
      <c r="I54" s="607"/>
      <c r="J54" s="607"/>
      <c r="K54" s="607"/>
      <c r="L54" s="607"/>
      <c r="M54" s="607"/>
      <c r="N54" s="607"/>
      <c r="O54" s="607"/>
      <c r="P54" s="607"/>
      <c r="Q54" s="607"/>
      <c r="R54" s="607"/>
      <c r="S54" s="607"/>
      <c r="T54" s="607"/>
      <c r="U54" s="607"/>
      <c r="V54" s="607"/>
      <c r="W54" s="607"/>
      <c r="X54" s="607"/>
      <c r="Y54" s="607"/>
      <c r="Z54" s="607"/>
      <c r="AA54" s="607"/>
      <c r="AB54" s="607"/>
      <c r="AC54" s="607"/>
      <c r="AD54" s="607"/>
      <c r="AE54" s="607"/>
    </row>
    <row r="55" spans="1:31" x14ac:dyDescent="0.2">
      <c r="A55" s="7" t="str">
        <f ca="1">IF(AUTOEVENTO="Manual",IF(EVENTOS!#REF!&gt;0,"F",""),IF(CRONOPLE!B55&lt;=MAX(CÁLCULO!$M$15:$M$89),"F",""))</f>
        <v/>
      </c>
      <c r="B55" s="257">
        <f t="shared" ca="1" si="1"/>
        <v>40</v>
      </c>
      <c r="C55" s="554">
        <f ca="1">IF(AUTOEVENTO="Manual",IF($B55&gt;0,OFFSET(EVENTOS!$D$15,$B55-$B$15,0),0),IF(B55&lt;=MAX(CÁLCULO!$M$15:$M$89),VLOOKUP($B55,CÁLCULO!$M$15:$N$89,2,FALSE),0))</f>
        <v>0</v>
      </c>
      <c r="D55" s="608"/>
      <c r="E55" s="258"/>
      <c r="F55" t="str">
        <f t="shared" ca="1" si="2"/>
        <v/>
      </c>
      <c r="G55" s="607"/>
      <c r="H55" s="607"/>
      <c r="I55" s="607"/>
      <c r="J55" s="607"/>
      <c r="K55" s="607"/>
      <c r="L55" s="607"/>
      <c r="M55" s="607"/>
      <c r="N55" s="607"/>
      <c r="O55" s="607"/>
      <c r="P55" s="607"/>
      <c r="Q55" s="607"/>
      <c r="R55" s="607"/>
      <c r="S55" s="607"/>
      <c r="T55" s="607"/>
      <c r="U55" s="607"/>
      <c r="V55" s="607"/>
      <c r="W55" s="607"/>
      <c r="X55" s="607"/>
      <c r="Y55" s="607"/>
      <c r="Z55" s="607"/>
      <c r="AA55" s="607"/>
      <c r="AB55" s="607"/>
      <c r="AC55" s="607"/>
      <c r="AD55" s="607"/>
      <c r="AE55" s="607"/>
    </row>
    <row r="56" spans="1:31" x14ac:dyDescent="0.2">
      <c r="A56" s="7" t="str">
        <f ca="1">IF(AUTOEVENTO="Manual",IF(EVENTOS!#REF!&gt;0,"F",""),IF(CRONOPLE!B56&lt;=MAX(CÁLCULO!$M$15:$M$89),"F",""))</f>
        <v/>
      </c>
      <c r="B56" s="257">
        <f t="shared" ca="1" si="1"/>
        <v>41</v>
      </c>
      <c r="C56" s="554">
        <f ca="1">IF(AUTOEVENTO="Manual",IF($B56&gt;0,OFFSET(EVENTOS!$D$15,$B56-$B$15,0),0),IF(B56&lt;=MAX(CÁLCULO!$M$15:$M$89),VLOOKUP($B56,CÁLCULO!$M$15:$N$89,2,FALSE),0))</f>
        <v>0</v>
      </c>
      <c r="D56" s="608"/>
      <c r="E56" s="258"/>
      <c r="F56" t="str">
        <f t="shared" ca="1" si="2"/>
        <v/>
      </c>
      <c r="G56" s="607"/>
      <c r="H56" s="607"/>
      <c r="I56" s="607"/>
      <c r="J56" s="607"/>
      <c r="K56" s="607"/>
      <c r="L56" s="607"/>
      <c r="M56" s="607"/>
      <c r="N56" s="607"/>
      <c r="O56" s="607"/>
      <c r="P56" s="607"/>
      <c r="Q56" s="607"/>
      <c r="R56" s="607"/>
      <c r="S56" s="607"/>
      <c r="T56" s="607"/>
      <c r="U56" s="607"/>
      <c r="V56" s="607"/>
      <c r="W56" s="607"/>
      <c r="X56" s="607"/>
      <c r="Y56" s="607"/>
      <c r="Z56" s="607"/>
      <c r="AA56" s="607"/>
      <c r="AB56" s="607"/>
      <c r="AC56" s="607"/>
      <c r="AD56" s="607"/>
      <c r="AE56" s="607"/>
    </row>
    <row r="57" spans="1:31" x14ac:dyDescent="0.2">
      <c r="A57" s="7" t="str">
        <f ca="1">IF(AUTOEVENTO="Manual",IF(EVENTOS!#REF!&gt;0,"F",""),IF(CRONOPLE!B57&lt;=MAX(CÁLCULO!$M$15:$M$89),"F",""))</f>
        <v/>
      </c>
      <c r="B57" s="257">
        <f t="shared" ca="1" si="1"/>
        <v>42</v>
      </c>
      <c r="C57" s="554">
        <f ca="1">IF(AUTOEVENTO="Manual",IF($B57&gt;0,OFFSET(EVENTOS!$D$15,$B57-$B$15,0),0),IF(B57&lt;=MAX(CÁLCULO!$M$15:$M$89),VLOOKUP($B57,CÁLCULO!$M$15:$N$89,2,FALSE),0))</f>
        <v>0</v>
      </c>
      <c r="D57" s="608"/>
      <c r="E57" s="258"/>
      <c r="F57" t="str">
        <f t="shared" ca="1" si="2"/>
        <v/>
      </c>
      <c r="G57" s="607"/>
      <c r="H57" s="607"/>
      <c r="I57" s="607"/>
      <c r="J57" s="607"/>
      <c r="K57" s="607"/>
      <c r="L57" s="607"/>
      <c r="M57" s="607"/>
      <c r="N57" s="607"/>
      <c r="O57" s="607"/>
      <c r="P57" s="607"/>
      <c r="Q57" s="607"/>
      <c r="R57" s="607"/>
      <c r="S57" s="607"/>
      <c r="T57" s="607"/>
      <c r="U57" s="607"/>
      <c r="V57" s="607"/>
      <c r="W57" s="607"/>
      <c r="X57" s="607"/>
      <c r="Y57" s="607"/>
      <c r="Z57" s="607"/>
      <c r="AA57" s="607"/>
      <c r="AB57" s="607"/>
      <c r="AC57" s="607"/>
      <c r="AD57" s="607"/>
      <c r="AE57" s="607"/>
    </row>
    <row r="58" spans="1:31" x14ac:dyDescent="0.2">
      <c r="A58" s="7" t="str">
        <f ca="1">IF(AUTOEVENTO="Manual",IF(EVENTOS!#REF!&gt;0,"F",""),IF(CRONOPLE!B58&lt;=MAX(CÁLCULO!$M$15:$M$89),"F",""))</f>
        <v/>
      </c>
      <c r="B58" s="257">
        <f t="shared" ca="1" si="1"/>
        <v>43</v>
      </c>
      <c r="C58" s="554">
        <f ca="1">IF(AUTOEVENTO="Manual",IF($B58&gt;0,OFFSET(EVENTOS!$D$15,$B58-$B$15,0),0),IF(B58&lt;=MAX(CÁLCULO!$M$15:$M$89),VLOOKUP($B58,CÁLCULO!$M$15:$N$89,2,FALSE),0))</f>
        <v>0</v>
      </c>
      <c r="D58" s="608"/>
      <c r="E58" s="258"/>
      <c r="F58" t="str">
        <f t="shared" ca="1" si="2"/>
        <v/>
      </c>
      <c r="G58" s="607"/>
      <c r="H58" s="607"/>
      <c r="I58" s="607"/>
      <c r="J58" s="607"/>
      <c r="K58" s="607"/>
      <c r="L58" s="607"/>
      <c r="M58" s="607"/>
      <c r="N58" s="607"/>
      <c r="O58" s="607"/>
      <c r="P58" s="607"/>
      <c r="Q58" s="607"/>
      <c r="R58" s="607"/>
      <c r="S58" s="607"/>
      <c r="T58" s="607"/>
      <c r="U58" s="607"/>
      <c r="V58" s="607"/>
      <c r="W58" s="607"/>
      <c r="X58" s="607"/>
      <c r="Y58" s="607"/>
      <c r="Z58" s="607"/>
      <c r="AA58" s="607"/>
      <c r="AB58" s="607"/>
      <c r="AC58" s="607"/>
      <c r="AD58" s="607"/>
      <c r="AE58" s="607"/>
    </row>
    <row r="59" spans="1:31" x14ac:dyDescent="0.2">
      <c r="A59" s="7" t="str">
        <f ca="1">IF(AUTOEVENTO="Manual",IF(EVENTOS!#REF!&gt;0,"F",""),IF(CRONOPLE!B59&lt;=MAX(CÁLCULO!$M$15:$M$89),"F",""))</f>
        <v/>
      </c>
      <c r="B59" s="257">
        <f t="shared" ca="1" si="1"/>
        <v>44</v>
      </c>
      <c r="C59" s="554">
        <f ca="1">IF(AUTOEVENTO="Manual",IF($B59&gt;0,OFFSET(EVENTOS!$D$15,$B59-$B$15,0),0),IF(B59&lt;=MAX(CÁLCULO!$M$15:$M$89),VLOOKUP($B59,CÁLCULO!$M$15:$N$89,2,FALSE),0))</f>
        <v>0</v>
      </c>
      <c r="D59" s="608"/>
      <c r="E59" s="258"/>
      <c r="F59" t="str">
        <f t="shared" ca="1" si="2"/>
        <v/>
      </c>
      <c r="G59" s="607"/>
      <c r="H59" s="607"/>
      <c r="I59" s="607"/>
      <c r="J59" s="607"/>
      <c r="K59" s="607"/>
      <c r="L59" s="607"/>
      <c r="M59" s="607"/>
      <c r="N59" s="607"/>
      <c r="O59" s="607"/>
      <c r="P59" s="607"/>
      <c r="Q59" s="607"/>
      <c r="R59" s="607"/>
      <c r="S59" s="607"/>
      <c r="T59" s="607"/>
      <c r="U59" s="607"/>
      <c r="V59" s="607"/>
      <c r="W59" s="607"/>
      <c r="X59" s="607"/>
      <c r="Y59" s="607"/>
      <c r="Z59" s="607"/>
      <c r="AA59" s="607"/>
      <c r="AB59" s="607"/>
      <c r="AC59" s="607"/>
      <c r="AD59" s="607"/>
      <c r="AE59" s="607"/>
    </row>
    <row r="60" spans="1:31" x14ac:dyDescent="0.2">
      <c r="A60" s="7" t="str">
        <f ca="1">IF(AUTOEVENTO="Manual",IF(EVENTOS!#REF!&gt;0,"F",""),IF(CRONOPLE!B60&lt;=MAX(CÁLCULO!$M$15:$M$89),"F",""))</f>
        <v/>
      </c>
      <c r="B60" s="257">
        <f t="shared" ca="1" si="1"/>
        <v>45</v>
      </c>
      <c r="C60" s="554">
        <f ca="1">IF(AUTOEVENTO="Manual",IF($B60&gt;0,OFFSET(EVENTOS!$D$15,$B60-$B$15,0),0),IF(B60&lt;=MAX(CÁLCULO!$M$15:$M$89),VLOOKUP($B60,CÁLCULO!$M$15:$N$89,2,FALSE),0))</f>
        <v>0</v>
      </c>
      <c r="D60" s="608"/>
      <c r="E60" s="258"/>
      <c r="F60" t="str">
        <f t="shared" ca="1" si="2"/>
        <v/>
      </c>
      <c r="G60" s="607"/>
      <c r="H60" s="607"/>
      <c r="I60" s="607"/>
      <c r="J60" s="607"/>
      <c r="K60" s="607"/>
      <c r="L60" s="607"/>
      <c r="M60" s="607"/>
      <c r="N60" s="607"/>
      <c r="O60" s="607"/>
      <c r="P60" s="607"/>
      <c r="Q60" s="607"/>
      <c r="R60" s="607"/>
      <c r="S60" s="607"/>
      <c r="T60" s="607"/>
      <c r="U60" s="607"/>
      <c r="V60" s="607"/>
      <c r="W60" s="607"/>
      <c r="X60" s="607"/>
      <c r="Y60" s="607"/>
      <c r="Z60" s="607"/>
      <c r="AA60" s="607"/>
      <c r="AB60" s="607"/>
      <c r="AC60" s="607"/>
      <c r="AD60" s="607"/>
      <c r="AE60" s="607"/>
    </row>
    <row r="61" spans="1:31" x14ac:dyDescent="0.2">
      <c r="A61" s="7" t="str">
        <f ca="1">IF(AUTOEVENTO="Manual",IF(EVENTOS!#REF!&gt;0,"F",""),IF(CRONOPLE!B61&lt;=MAX(CÁLCULO!$M$15:$M$89),"F",""))</f>
        <v/>
      </c>
      <c r="B61" s="257">
        <f t="shared" ca="1" si="1"/>
        <v>46</v>
      </c>
      <c r="C61" s="554">
        <f ca="1">IF(AUTOEVENTO="Manual",IF($B61&gt;0,OFFSET(EVENTOS!$D$15,$B61-$B$15,0),0),IF(B61&lt;=MAX(CÁLCULO!$M$15:$M$89),VLOOKUP($B61,CÁLCULO!$M$15:$N$89,2,FALSE),0))</f>
        <v>0</v>
      </c>
      <c r="D61" s="608"/>
      <c r="E61" s="258"/>
      <c r="F61" t="str">
        <f t="shared" ca="1" si="2"/>
        <v/>
      </c>
      <c r="G61" s="607"/>
      <c r="H61" s="607"/>
      <c r="I61" s="607"/>
      <c r="J61" s="607"/>
      <c r="K61" s="607"/>
      <c r="L61" s="607"/>
      <c r="M61" s="607"/>
      <c r="N61" s="607"/>
      <c r="O61" s="607"/>
      <c r="P61" s="607"/>
      <c r="Q61" s="607"/>
      <c r="R61" s="607"/>
      <c r="S61" s="607"/>
      <c r="T61" s="607"/>
      <c r="U61" s="607"/>
      <c r="V61" s="607"/>
      <c r="W61" s="607"/>
      <c r="X61" s="607"/>
      <c r="Y61" s="607"/>
      <c r="Z61" s="607"/>
      <c r="AA61" s="607"/>
      <c r="AB61" s="607"/>
      <c r="AC61" s="607"/>
      <c r="AD61" s="607"/>
      <c r="AE61" s="607"/>
    </row>
    <row r="62" spans="1:31" x14ac:dyDescent="0.2">
      <c r="A62" s="7" t="str">
        <f ca="1">IF(AUTOEVENTO="Manual",IF(EVENTOS!#REF!&gt;0,"F",""),IF(CRONOPLE!B62&lt;=MAX(CÁLCULO!$M$15:$M$89),"F",""))</f>
        <v/>
      </c>
      <c r="B62" s="257">
        <f t="shared" ca="1" si="1"/>
        <v>47</v>
      </c>
      <c r="C62" s="554">
        <f ca="1">IF(AUTOEVENTO="Manual",IF($B62&gt;0,OFFSET(EVENTOS!$D$15,$B62-$B$15,0),0),IF(B62&lt;=MAX(CÁLCULO!$M$15:$M$89),VLOOKUP($B62,CÁLCULO!$M$15:$N$89,2,FALSE),0))</f>
        <v>0</v>
      </c>
      <c r="D62" s="608"/>
      <c r="E62" s="258"/>
      <c r="F62" t="str">
        <f t="shared" ca="1" si="2"/>
        <v/>
      </c>
      <c r="G62" s="607"/>
      <c r="H62" s="607"/>
      <c r="I62" s="607"/>
      <c r="J62" s="607"/>
      <c r="K62" s="607"/>
      <c r="L62" s="607"/>
      <c r="M62" s="607"/>
      <c r="N62" s="607"/>
      <c r="O62" s="607"/>
      <c r="P62" s="607"/>
      <c r="Q62" s="607"/>
      <c r="R62" s="607"/>
      <c r="S62" s="607"/>
      <c r="T62" s="607"/>
      <c r="U62" s="607"/>
      <c r="V62" s="607"/>
      <c r="W62" s="607"/>
      <c r="X62" s="607"/>
      <c r="Y62" s="607"/>
      <c r="Z62" s="607"/>
      <c r="AA62" s="607"/>
      <c r="AB62" s="607"/>
      <c r="AC62" s="607"/>
      <c r="AD62" s="607"/>
      <c r="AE62" s="607"/>
    </row>
    <row r="63" spans="1:31" x14ac:dyDescent="0.2">
      <c r="A63" s="7" t="str">
        <f ca="1">IF(AUTOEVENTO="Manual",IF(EVENTOS!#REF!&gt;0,"F",""),IF(CRONOPLE!B63&lt;=MAX(CÁLCULO!$M$15:$M$89),"F",""))</f>
        <v/>
      </c>
      <c r="B63" s="257">
        <f t="shared" ca="1" si="1"/>
        <v>48</v>
      </c>
      <c r="C63" s="554">
        <f ca="1">IF(AUTOEVENTO="Manual",IF($B63&gt;0,OFFSET(EVENTOS!$D$15,$B63-$B$15,0),0),IF(B63&lt;=MAX(CÁLCULO!$M$15:$M$89),VLOOKUP($B63,CÁLCULO!$M$15:$N$89,2,FALSE),0))</f>
        <v>0</v>
      </c>
      <c r="D63" s="608"/>
      <c r="E63" s="258"/>
      <c r="F63" t="str">
        <f t="shared" ca="1" si="2"/>
        <v/>
      </c>
      <c r="G63" s="607"/>
      <c r="H63" s="607"/>
      <c r="I63" s="607"/>
      <c r="J63" s="607"/>
      <c r="K63" s="607"/>
      <c r="L63" s="607"/>
      <c r="M63" s="607"/>
      <c r="N63" s="607"/>
      <c r="O63" s="607"/>
      <c r="P63" s="607"/>
      <c r="Q63" s="607"/>
      <c r="R63" s="607"/>
      <c r="S63" s="607"/>
      <c r="T63" s="607"/>
      <c r="U63" s="607"/>
      <c r="V63" s="607"/>
      <c r="W63" s="607"/>
      <c r="X63" s="607"/>
      <c r="Y63" s="607"/>
      <c r="Z63" s="607"/>
      <c r="AA63" s="607"/>
      <c r="AB63" s="607"/>
      <c r="AC63" s="607"/>
      <c r="AD63" s="607"/>
      <c r="AE63" s="607"/>
    </row>
    <row r="64" spans="1:31" x14ac:dyDescent="0.2">
      <c r="A64" s="7" t="str">
        <f ca="1">IF(AUTOEVENTO="Manual",IF(EVENTOS!#REF!&gt;0,"F",""),IF(CRONOPLE!B64&lt;=MAX(CÁLCULO!$M$15:$M$89),"F",""))</f>
        <v/>
      </c>
      <c r="B64" s="257">
        <f t="shared" ca="1" si="1"/>
        <v>49</v>
      </c>
      <c r="C64" s="554">
        <f ca="1">IF(AUTOEVENTO="Manual",IF($B64&gt;0,OFFSET(EVENTOS!$D$15,$B64-$B$15,0),0),IF(B64&lt;=MAX(CÁLCULO!$M$15:$M$89),VLOOKUP($B64,CÁLCULO!$M$15:$N$89,2,FALSE),0))</f>
        <v>0</v>
      </c>
      <c r="D64" s="608"/>
      <c r="E64" s="258"/>
      <c r="F64" t="str">
        <f t="shared" ca="1" si="2"/>
        <v/>
      </c>
      <c r="G64" s="607"/>
      <c r="H64" s="607"/>
      <c r="I64" s="607"/>
      <c r="J64" s="607"/>
      <c r="K64" s="607"/>
      <c r="L64" s="607"/>
      <c r="M64" s="607"/>
      <c r="N64" s="607"/>
      <c r="O64" s="607"/>
      <c r="P64" s="607"/>
      <c r="Q64" s="607"/>
      <c r="R64" s="607"/>
      <c r="S64" s="607"/>
      <c r="T64" s="607"/>
      <c r="U64" s="607"/>
      <c r="V64" s="607"/>
      <c r="W64" s="607"/>
      <c r="X64" s="607"/>
      <c r="Y64" s="607"/>
      <c r="Z64" s="607"/>
      <c r="AA64" s="607"/>
      <c r="AB64" s="607"/>
      <c r="AC64" s="607"/>
      <c r="AD64" s="607"/>
      <c r="AE64" s="607"/>
    </row>
    <row r="65" spans="1:31" x14ac:dyDescent="0.2">
      <c r="A65" s="7" t="str">
        <f ca="1">IF(AUTOEVENTO="Manual",IF(EVENTOS!#REF!&gt;0,"F",""),IF(CRONOPLE!B65&lt;=MAX(CÁLCULO!$M$15:$M$89),"F",""))</f>
        <v/>
      </c>
      <c r="B65" s="257">
        <f t="shared" ca="1" si="1"/>
        <v>50</v>
      </c>
      <c r="C65" s="554">
        <f ca="1">IF(AUTOEVENTO="Manual",IF($B65&gt;0,OFFSET(EVENTOS!$D$15,$B65-$B$15,0),0),IF(B65&lt;=MAX(CÁLCULO!$M$15:$M$89),VLOOKUP($B65,CÁLCULO!$M$15:$N$89,2,FALSE),0))</f>
        <v>0</v>
      </c>
      <c r="D65" s="608"/>
      <c r="E65" s="258"/>
      <c r="F65" t="str">
        <f t="shared" ca="1" si="2"/>
        <v/>
      </c>
      <c r="G65" s="607"/>
      <c r="H65" s="607"/>
      <c r="I65" s="607"/>
      <c r="J65" s="607"/>
      <c r="K65" s="607"/>
      <c r="L65" s="607"/>
      <c r="M65" s="607"/>
      <c r="N65" s="607"/>
      <c r="O65" s="607"/>
      <c r="P65" s="607"/>
      <c r="Q65" s="607"/>
      <c r="R65" s="607"/>
      <c r="S65" s="607"/>
      <c r="T65" s="607"/>
      <c r="U65" s="607"/>
      <c r="V65" s="607"/>
      <c r="W65" s="607"/>
      <c r="X65" s="607"/>
      <c r="Y65" s="607"/>
      <c r="Z65" s="607"/>
      <c r="AA65" s="607"/>
      <c r="AB65" s="607"/>
      <c r="AC65" s="607"/>
      <c r="AD65" s="607"/>
      <c r="AE65" s="607"/>
    </row>
    <row r="66" spans="1:31" x14ac:dyDescent="0.2">
      <c r="A66" s="7" t="str">
        <f ca="1">IF(AUTOEVENTO="Manual",IF(EVENTOS!#REF!&gt;0,"F",""),IF(CRONOPLE!B66&lt;=MAX(CÁLCULO!$M$15:$M$89),"F",""))</f>
        <v/>
      </c>
      <c r="B66" s="257">
        <f t="shared" ca="1" si="1"/>
        <v>51</v>
      </c>
      <c r="C66" s="554">
        <f ca="1">IF(AUTOEVENTO="Manual",IF($B66&gt;0,OFFSET(EVENTOS!$D$15,$B66-$B$15,0),0),IF(B66&lt;=MAX(CÁLCULO!$M$15:$M$89),VLOOKUP($B66,CÁLCULO!$M$15:$N$89,2,FALSE),0))</f>
        <v>0</v>
      </c>
      <c r="D66" s="608"/>
      <c r="E66" s="258"/>
      <c r="F66" t="str">
        <f t="shared" ca="1" si="2"/>
        <v/>
      </c>
      <c r="G66" s="607"/>
      <c r="H66" s="607"/>
      <c r="I66" s="607"/>
      <c r="J66" s="607"/>
      <c r="K66" s="607"/>
      <c r="L66" s="607"/>
      <c r="M66" s="607"/>
      <c r="N66" s="607"/>
      <c r="O66" s="607"/>
      <c r="P66" s="607"/>
      <c r="Q66" s="607"/>
      <c r="R66" s="607"/>
      <c r="S66" s="607"/>
      <c r="T66" s="607"/>
      <c r="U66" s="607"/>
      <c r="V66" s="607"/>
      <c r="W66" s="607"/>
      <c r="X66" s="607"/>
      <c r="Y66" s="607"/>
      <c r="Z66" s="607"/>
      <c r="AA66" s="607"/>
      <c r="AB66" s="607"/>
      <c r="AC66" s="607"/>
      <c r="AD66" s="607"/>
      <c r="AE66" s="607"/>
    </row>
    <row r="67" spans="1:31" x14ac:dyDescent="0.2">
      <c r="A67" s="7" t="str">
        <f ca="1">IF(AUTOEVENTO="Manual",IF(EVENTOS!#REF!&gt;0,"F",""),IF(CRONOPLE!B67&lt;=MAX(CÁLCULO!$M$15:$M$89),"F",""))</f>
        <v/>
      </c>
      <c r="B67" s="257">
        <f t="shared" ca="1" si="1"/>
        <v>52</v>
      </c>
      <c r="C67" s="554">
        <f ca="1">IF(AUTOEVENTO="Manual",IF($B67&gt;0,OFFSET(EVENTOS!$D$15,$B67-$B$15,0),0),IF(B67&lt;=MAX(CÁLCULO!$M$15:$M$89),VLOOKUP($B67,CÁLCULO!$M$15:$N$89,2,FALSE),0))</f>
        <v>0</v>
      </c>
      <c r="D67" s="608"/>
      <c r="E67" s="258"/>
      <c r="F67" t="str">
        <f t="shared" ca="1" si="2"/>
        <v/>
      </c>
      <c r="G67" s="607"/>
      <c r="H67" s="607"/>
      <c r="I67" s="607"/>
      <c r="J67" s="607"/>
      <c r="K67" s="607"/>
      <c r="L67" s="607"/>
      <c r="M67" s="607"/>
      <c r="N67" s="607"/>
      <c r="O67" s="607"/>
      <c r="P67" s="607"/>
      <c r="Q67" s="607"/>
      <c r="R67" s="607"/>
      <c r="S67" s="607"/>
      <c r="T67" s="607"/>
      <c r="U67" s="607"/>
      <c r="V67" s="607"/>
      <c r="W67" s="607"/>
      <c r="X67" s="607"/>
      <c r="Y67" s="607"/>
      <c r="Z67" s="607"/>
      <c r="AA67" s="607"/>
      <c r="AB67" s="607"/>
      <c r="AC67" s="607"/>
      <c r="AD67" s="607"/>
      <c r="AE67" s="607"/>
    </row>
    <row r="68" spans="1:31" x14ac:dyDescent="0.2">
      <c r="A68" s="7" t="str">
        <f ca="1">IF(AUTOEVENTO="Manual",IF(EVENTOS!#REF!&gt;0,"F",""),IF(CRONOPLE!B68&lt;=MAX(CÁLCULO!$M$15:$M$89),"F",""))</f>
        <v/>
      </c>
      <c r="B68" s="257">
        <f t="shared" ca="1" si="1"/>
        <v>53</v>
      </c>
      <c r="C68" s="554">
        <f ca="1">IF(AUTOEVENTO="Manual",IF($B68&gt;0,OFFSET(EVENTOS!$D$15,$B68-$B$15,0),0),IF(B68&lt;=MAX(CÁLCULO!$M$15:$M$89),VLOOKUP($B68,CÁLCULO!$M$15:$N$89,2,FALSE),0))</f>
        <v>0</v>
      </c>
      <c r="D68" s="608"/>
      <c r="E68" s="258"/>
      <c r="F68" t="str">
        <f t="shared" ca="1" si="2"/>
        <v/>
      </c>
      <c r="G68" s="607"/>
      <c r="H68" s="607"/>
      <c r="I68" s="607"/>
      <c r="J68" s="607"/>
      <c r="K68" s="607"/>
      <c r="L68" s="607"/>
      <c r="M68" s="607"/>
      <c r="N68" s="607"/>
      <c r="O68" s="607"/>
      <c r="P68" s="607"/>
      <c r="Q68" s="607"/>
      <c r="R68" s="607"/>
      <c r="S68" s="607"/>
      <c r="T68" s="607"/>
      <c r="U68" s="607"/>
      <c r="V68" s="607"/>
      <c r="W68" s="607"/>
      <c r="X68" s="607"/>
      <c r="Y68" s="607"/>
      <c r="Z68" s="607"/>
      <c r="AA68" s="607"/>
      <c r="AB68" s="607"/>
      <c r="AC68" s="607"/>
      <c r="AD68" s="607"/>
      <c r="AE68" s="607"/>
    </row>
    <row r="69" spans="1:31" x14ac:dyDescent="0.2">
      <c r="A69" s="7" t="str">
        <f ca="1">IF(AUTOEVENTO="Manual",IF(EVENTOS!#REF!&gt;0,"F",""),IF(CRONOPLE!B69&lt;=MAX(CÁLCULO!$M$15:$M$89),"F",""))</f>
        <v/>
      </c>
      <c r="B69" s="257">
        <f t="shared" ca="1" si="1"/>
        <v>54</v>
      </c>
      <c r="C69" s="554">
        <f ca="1">IF(AUTOEVENTO="Manual",IF($B69&gt;0,OFFSET(EVENTOS!$D$15,$B69-$B$15,0),0),IF(B69&lt;=MAX(CÁLCULO!$M$15:$M$89),VLOOKUP($B69,CÁLCULO!$M$15:$N$89,2,FALSE),0))</f>
        <v>0</v>
      </c>
      <c r="D69" s="608"/>
      <c r="E69" s="258"/>
      <c r="F69" t="str">
        <f t="shared" ca="1" si="2"/>
        <v/>
      </c>
      <c r="G69" s="607"/>
      <c r="H69" s="607"/>
      <c r="I69" s="607"/>
      <c r="J69" s="607"/>
      <c r="K69" s="607"/>
      <c r="L69" s="607"/>
      <c r="M69" s="607"/>
      <c r="N69" s="607"/>
      <c r="O69" s="607"/>
      <c r="P69" s="607"/>
      <c r="Q69" s="607"/>
      <c r="R69" s="607"/>
      <c r="S69" s="607"/>
      <c r="T69" s="607"/>
      <c r="U69" s="607"/>
      <c r="V69" s="607"/>
      <c r="W69" s="607"/>
      <c r="X69" s="607"/>
      <c r="Y69" s="607"/>
      <c r="Z69" s="607"/>
      <c r="AA69" s="607"/>
      <c r="AB69" s="607"/>
      <c r="AC69" s="607"/>
      <c r="AD69" s="607"/>
      <c r="AE69" s="607"/>
    </row>
    <row r="70" spans="1:31" ht="5.0999999999999996" customHeight="1" x14ac:dyDescent="0.2">
      <c r="B70" s="463"/>
      <c r="C70" s="464"/>
      <c r="D70" s="609"/>
      <c r="E70" s="272"/>
      <c r="F70" s="272"/>
      <c r="G70" s="463"/>
      <c r="H70" s="465"/>
      <c r="I70" s="465"/>
      <c r="J70" s="465"/>
      <c r="K70" s="465"/>
      <c r="L70" s="465"/>
      <c r="M70" s="465"/>
      <c r="N70" s="465"/>
      <c r="O70" s="465"/>
      <c r="P70" s="465"/>
      <c r="Q70" s="465"/>
      <c r="R70" s="465"/>
      <c r="S70" s="465"/>
      <c r="T70" s="465"/>
      <c r="U70" s="465"/>
      <c r="V70" s="465"/>
      <c r="W70" s="465"/>
      <c r="X70" s="465"/>
      <c r="Y70" s="465"/>
      <c r="Z70" s="465"/>
      <c r="AA70" s="465"/>
      <c r="AB70" s="465"/>
      <c r="AC70" s="465"/>
      <c r="AD70" s="465"/>
      <c r="AE70" s="464"/>
    </row>
    <row r="71" spans="1:31" ht="6" customHeight="1" x14ac:dyDescent="0.2">
      <c r="A71" s="7" t="s">
        <v>244</v>
      </c>
    </row>
    <row r="72" spans="1:31" ht="15" x14ac:dyDescent="0.2">
      <c r="A72" s="7" t="s">
        <v>244</v>
      </c>
      <c r="C72" s="521" t="s">
        <v>442</v>
      </c>
      <c r="H72" s="740">
        <f>(ROW($G72)-ROW($G$72))/8*12+1</f>
        <v>1</v>
      </c>
      <c r="I72" s="740"/>
      <c r="J72" s="740">
        <f>H72+1</f>
        <v>2</v>
      </c>
      <c r="K72" s="740"/>
      <c r="L72" s="740">
        <f>J72+1</f>
        <v>3</v>
      </c>
      <c r="M72" s="740"/>
      <c r="N72" s="740">
        <f>L72+1</f>
        <v>4</v>
      </c>
      <c r="O72" s="740"/>
      <c r="P72" s="740">
        <f>N72+1</f>
        <v>5</v>
      </c>
      <c r="Q72" s="740"/>
      <c r="R72" s="740">
        <f>P72+1</f>
        <v>6</v>
      </c>
      <c r="S72" s="740"/>
      <c r="T72" s="740">
        <f>R72+1</f>
        <v>7</v>
      </c>
      <c r="U72" s="740"/>
      <c r="V72" s="740">
        <f>T72+1</f>
        <v>8</v>
      </c>
      <c r="W72" s="740"/>
      <c r="X72" s="740">
        <f>V72+1</f>
        <v>9</v>
      </c>
      <c r="Y72" s="740"/>
      <c r="Z72" s="740">
        <f>X72+1</f>
        <v>10</v>
      </c>
      <c r="AA72" s="740"/>
      <c r="AB72" s="740">
        <f>Z72+1</f>
        <v>11</v>
      </c>
      <c r="AC72" s="740"/>
      <c r="AD72" s="740">
        <f>AB72+1</f>
        <v>12</v>
      </c>
      <c r="AE72" s="740"/>
    </row>
    <row r="73" spans="1:31" ht="12.75" customHeight="1" x14ac:dyDescent="0.2">
      <c r="A73" s="7" t="s">
        <v>244</v>
      </c>
      <c r="C73" s="725" t="s">
        <v>443</v>
      </c>
      <c r="G73" s="605" t="s">
        <v>294</v>
      </c>
      <c r="H73" s="727" t="e">
        <f ca="1">OFFSET(CRONO!$T$93,0,CRONOPLE!H72)</f>
        <v>#DIV/0!</v>
      </c>
      <c r="I73" s="727"/>
      <c r="J73" s="727" t="e">
        <f ca="1">OFFSET(CRONO!$T$93,0,CRONOPLE!J72)</f>
        <v>#DIV/0!</v>
      </c>
      <c r="K73" s="727"/>
      <c r="L73" s="727" t="e">
        <f ca="1">OFFSET(CRONO!$T$93,0,CRONOPLE!L72)</f>
        <v>#DIV/0!</v>
      </c>
      <c r="M73" s="727"/>
      <c r="N73" s="727" t="e">
        <f ca="1">OFFSET(CRONO!$T$93,0,CRONOPLE!N72)</f>
        <v>#DIV/0!</v>
      </c>
      <c r="O73" s="727"/>
      <c r="P73" s="727" t="e">
        <f ca="1">OFFSET(CRONO!$T$93,0,CRONOPLE!P72)</f>
        <v>#DIV/0!</v>
      </c>
      <c r="Q73" s="727"/>
      <c r="R73" s="727" t="e">
        <f ca="1">OFFSET(CRONO!$T$93,0,CRONOPLE!R72)</f>
        <v>#DIV/0!</v>
      </c>
      <c r="S73" s="727"/>
      <c r="T73" s="727" t="e">
        <f ca="1">OFFSET(CRONO!$T$93,0,CRONOPLE!T72)</f>
        <v>#DIV/0!</v>
      </c>
      <c r="U73" s="727"/>
      <c r="V73" s="727" t="e">
        <f ca="1">OFFSET(CRONO!$T$93,0,CRONOPLE!V72)</f>
        <v>#DIV/0!</v>
      </c>
      <c r="W73" s="727"/>
      <c r="X73" s="727" t="e">
        <f ca="1">OFFSET(CRONO!$T$93,0,CRONOPLE!X72)</f>
        <v>#DIV/0!</v>
      </c>
      <c r="Y73" s="727"/>
      <c r="Z73" s="727" t="e">
        <f ca="1">OFFSET(CRONO!$T$93,0,CRONOPLE!Z72)</f>
        <v>#DIV/0!</v>
      </c>
      <c r="AA73" s="727"/>
      <c r="AB73" s="727" t="e">
        <f ca="1">OFFSET(CRONO!$T$93,0,CRONOPLE!AB72)</f>
        <v>#DIV/0!</v>
      </c>
      <c r="AC73" s="727"/>
      <c r="AD73" s="727" t="e">
        <f ca="1">OFFSET(CRONO!$T$93,0,CRONOPLE!AD72)</f>
        <v>#DIV/0!</v>
      </c>
      <c r="AE73" s="727"/>
    </row>
    <row r="74" spans="1:31" ht="12.75" customHeight="1" x14ac:dyDescent="0.2">
      <c r="A74" s="7" t="s">
        <v>244</v>
      </c>
      <c r="C74" s="742"/>
      <c r="G74" s="522" t="s">
        <v>295</v>
      </c>
      <c r="H74" s="743">
        <f ca="1">OFFSET(CRONO!$T$97,0,CRONOPLE!H72)</f>
        <v>0</v>
      </c>
      <c r="I74" s="743"/>
      <c r="J74" s="744">
        <f ca="1">OFFSET(CRONO!$T$97,0,CRONOPLE!J72)</f>
        <v>0</v>
      </c>
      <c r="K74" s="745"/>
      <c r="L74" s="744">
        <f ca="1">OFFSET(CRONO!$T$97,0,CRONOPLE!L72)</f>
        <v>0</v>
      </c>
      <c r="M74" s="745"/>
      <c r="N74" s="744">
        <f ca="1">OFFSET(CRONO!$T$97,0,CRONOPLE!N72)</f>
        <v>0</v>
      </c>
      <c r="O74" s="745"/>
      <c r="P74" s="744">
        <f ca="1">OFFSET(CRONO!$T$97,0,CRONOPLE!P72)</f>
        <v>0</v>
      </c>
      <c r="Q74" s="745"/>
      <c r="R74" s="744">
        <f ca="1">OFFSET(CRONO!$T$97,0,CRONOPLE!R72)</f>
        <v>0</v>
      </c>
      <c r="S74" s="745"/>
      <c r="T74" s="744">
        <f ca="1">OFFSET(CRONO!$T$97,0,CRONOPLE!T72)</f>
        <v>0</v>
      </c>
      <c r="U74" s="745"/>
      <c r="V74" s="744">
        <f ca="1">OFFSET(CRONO!$T$97,0,CRONOPLE!V72)</f>
        <v>0</v>
      </c>
      <c r="W74" s="745"/>
      <c r="X74" s="744">
        <f ca="1">OFFSET(CRONO!$T$97,0,CRONOPLE!X72)</f>
        <v>0</v>
      </c>
      <c r="Y74" s="745"/>
      <c r="Z74" s="744">
        <f ca="1">OFFSET(CRONO!$T$97,0,CRONOPLE!Z72)</f>
        <v>0</v>
      </c>
      <c r="AA74" s="745"/>
      <c r="AB74" s="744">
        <f ca="1">OFFSET(CRONO!$T$97,0,CRONOPLE!AB72)</f>
        <v>0</v>
      </c>
      <c r="AC74" s="745"/>
      <c r="AD74" s="744">
        <f ca="1">OFFSET(CRONO!$T$97,0,CRONOPLE!AD72)</f>
        <v>0</v>
      </c>
      <c r="AE74" s="745"/>
    </row>
    <row r="75" spans="1:31" ht="12.75" customHeight="1" x14ac:dyDescent="0.2">
      <c r="A75" s="7" t="s">
        <v>244</v>
      </c>
      <c r="C75" s="725" t="s">
        <v>444</v>
      </c>
      <c r="G75" s="605" t="s">
        <v>294</v>
      </c>
      <c r="H75" s="727" t="e">
        <f ca="1">OFFSET(CRONO!$T$98,0,CRONOPLE!H72)</f>
        <v>#DIV/0!</v>
      </c>
      <c r="I75" s="727"/>
      <c r="J75" s="730" t="e">
        <f ca="1">OFFSET(CRONO!$T$98,0,CRONOPLE!J72)</f>
        <v>#DIV/0!</v>
      </c>
      <c r="K75" s="731"/>
      <c r="L75" s="730" t="e">
        <f ca="1">OFFSET(CRONO!$T$98,0,CRONOPLE!L72)</f>
        <v>#DIV/0!</v>
      </c>
      <c r="M75" s="731"/>
      <c r="N75" s="730" t="e">
        <f ca="1">OFFSET(CRONO!$T$98,0,CRONOPLE!N72)</f>
        <v>#DIV/0!</v>
      </c>
      <c r="O75" s="731"/>
      <c r="P75" s="730" t="e">
        <f ca="1">OFFSET(CRONO!$T$98,0,CRONOPLE!P72)</f>
        <v>#DIV/0!</v>
      </c>
      <c r="Q75" s="731"/>
      <c r="R75" s="730" t="e">
        <f ca="1">OFFSET(CRONO!$T$98,0,CRONOPLE!R72)</f>
        <v>#DIV/0!</v>
      </c>
      <c r="S75" s="731"/>
      <c r="T75" s="730" t="e">
        <f ca="1">OFFSET(CRONO!$T$98,0,CRONOPLE!T72)</f>
        <v>#DIV/0!</v>
      </c>
      <c r="U75" s="731"/>
      <c r="V75" s="730" t="e">
        <f ca="1">OFFSET(CRONO!$T$98,0,CRONOPLE!V72)</f>
        <v>#DIV/0!</v>
      </c>
      <c r="W75" s="731"/>
      <c r="X75" s="730" t="e">
        <f ca="1">OFFSET(CRONO!$T$98,0,CRONOPLE!X72)</f>
        <v>#DIV/0!</v>
      </c>
      <c r="Y75" s="731"/>
      <c r="Z75" s="730" t="e">
        <f ca="1">OFFSET(CRONO!$T$98,0,CRONOPLE!Z72)</f>
        <v>#DIV/0!</v>
      </c>
      <c r="AA75" s="731"/>
      <c r="AB75" s="730" t="e">
        <f ca="1">OFFSET(CRONO!$T$98,0,CRONOPLE!AB72)</f>
        <v>#DIV/0!</v>
      </c>
      <c r="AC75" s="731"/>
      <c r="AD75" s="730" t="e">
        <f ca="1">OFFSET(CRONO!$T$98,0,CRONOPLE!AD72)</f>
        <v>#DIV/0!</v>
      </c>
      <c r="AE75" s="731"/>
    </row>
    <row r="76" spans="1:31" ht="12.75" customHeight="1" x14ac:dyDescent="0.2">
      <c r="A76" s="7" t="s">
        <v>244</v>
      </c>
      <c r="C76" s="726"/>
      <c r="G76" s="522" t="s">
        <v>295</v>
      </c>
      <c r="H76" s="735">
        <f ca="1">OFFSET(CRONO!$T$102,0,CRONOPLE!H72)</f>
        <v>0</v>
      </c>
      <c r="I76" s="735"/>
      <c r="J76" s="732">
        <f ca="1">OFFSET(CRONO!$T$102,0,CRONOPLE!J72)</f>
        <v>0</v>
      </c>
      <c r="K76" s="733"/>
      <c r="L76" s="732">
        <f ca="1">OFFSET(CRONO!$T$102,0,CRONOPLE!L72)</f>
        <v>0</v>
      </c>
      <c r="M76" s="733"/>
      <c r="N76" s="732">
        <f ca="1">OFFSET(CRONO!$T$102,0,CRONOPLE!N72)</f>
        <v>0</v>
      </c>
      <c r="O76" s="733"/>
      <c r="P76" s="732">
        <f ca="1">OFFSET(CRONO!$T$102,0,CRONOPLE!P72)</f>
        <v>0</v>
      </c>
      <c r="Q76" s="733"/>
      <c r="R76" s="732">
        <f ca="1">OFFSET(CRONO!$T$102,0,CRONOPLE!R72)</f>
        <v>0</v>
      </c>
      <c r="S76" s="733"/>
      <c r="T76" s="732">
        <f ca="1">OFFSET(CRONO!$T$102,0,CRONOPLE!T72)</f>
        <v>0</v>
      </c>
      <c r="U76" s="733"/>
      <c r="V76" s="732">
        <f ca="1">OFFSET(CRONO!$T$102,0,CRONOPLE!V72)</f>
        <v>0</v>
      </c>
      <c r="W76" s="733"/>
      <c r="X76" s="732">
        <f ca="1">OFFSET(CRONO!$T$102,0,CRONOPLE!X72)</f>
        <v>0</v>
      </c>
      <c r="Y76" s="733"/>
      <c r="Z76" s="732">
        <f ca="1">OFFSET(CRONO!$T$102,0,CRONOPLE!Z72)</f>
        <v>0</v>
      </c>
      <c r="AA76" s="733"/>
      <c r="AB76" s="732">
        <f ca="1">OFFSET(CRONO!$T$102,0,CRONOPLE!AB72)</f>
        <v>0</v>
      </c>
      <c r="AC76" s="733"/>
      <c r="AD76" s="732">
        <f ca="1">OFFSET(CRONO!$T$102,0,CRONOPLE!AD72)</f>
        <v>0</v>
      </c>
      <c r="AE76" s="733"/>
    </row>
    <row r="77" spans="1:31" ht="12.75" customHeight="1" x14ac:dyDescent="0.2">
      <c r="A77" s="7" t="s">
        <v>244</v>
      </c>
      <c r="C77" s="606" t="s">
        <v>911</v>
      </c>
      <c r="D77" s="604"/>
      <c r="G77" s="605" t="s">
        <v>294</v>
      </c>
      <c r="H77" s="727" t="e">
        <f ca="1">OFFSET(CRONO!$T$103,0,CRONOPLE!H72)</f>
        <v>#DIV/0!</v>
      </c>
      <c r="I77" s="727"/>
      <c r="J77" s="728" t="e">
        <f ca="1">OFFSET(CRONO!$T$103,0,CRONOPLE!J72)</f>
        <v>#DIV/0!</v>
      </c>
      <c r="K77" s="729"/>
      <c r="L77" s="728" t="e">
        <f ca="1">OFFSET(CRONO!$T$103,0,CRONOPLE!L72)</f>
        <v>#DIV/0!</v>
      </c>
      <c r="M77" s="729"/>
      <c r="N77" s="728" t="e">
        <f ca="1">OFFSET(CRONO!$T$103,0,CRONOPLE!N72)</f>
        <v>#DIV/0!</v>
      </c>
      <c r="O77" s="729"/>
      <c r="P77" s="728" t="e">
        <f ca="1">OFFSET(CRONO!$T$103,0,CRONOPLE!P72)</f>
        <v>#DIV/0!</v>
      </c>
      <c r="Q77" s="729"/>
      <c r="R77" s="728" t="e">
        <f ca="1">OFFSET(CRONO!$T$103,0,CRONOPLE!R72)</f>
        <v>#DIV/0!</v>
      </c>
      <c r="S77" s="729"/>
      <c r="T77" s="728" t="e">
        <f ca="1">OFFSET(CRONO!$T$103,0,CRONOPLE!T72)</f>
        <v>#DIV/0!</v>
      </c>
      <c r="U77" s="729"/>
      <c r="V77" s="728" t="e">
        <f ca="1">OFFSET(CRONO!$T$103,0,CRONOPLE!V72)</f>
        <v>#DIV/0!</v>
      </c>
      <c r="W77" s="729"/>
      <c r="X77" s="728" t="e">
        <f ca="1">OFFSET(CRONO!$T$103,0,CRONOPLE!X72)</f>
        <v>#DIV/0!</v>
      </c>
      <c r="Y77" s="729"/>
      <c r="Z77" s="728" t="e">
        <f ca="1">OFFSET(CRONO!$T$103,0,CRONOPLE!Z72)</f>
        <v>#DIV/0!</v>
      </c>
      <c r="AA77" s="729"/>
      <c r="AB77" s="728" t="e">
        <f ca="1">OFFSET(CRONO!$T$103,0,CRONOPLE!AB72)</f>
        <v>#DIV/0!</v>
      </c>
      <c r="AC77" s="729"/>
      <c r="AD77" s="728" t="e">
        <f ca="1">OFFSET(CRONO!$T$103,0,CRONOPLE!AD72)</f>
        <v>#DIV/0!</v>
      </c>
      <c r="AE77" s="729"/>
    </row>
    <row r="78" spans="1:31" ht="15" customHeight="1" x14ac:dyDescent="0.25">
      <c r="A78" s="7" t="s">
        <v>244</v>
      </c>
      <c r="C78" s="603"/>
      <c r="G78" s="642" t="str">
        <f ca="1">IF(COUNTIF(H78:AF78,"%Adm&gt;%Global")&gt;0,"Verificar proporcionalidade da Administração Local","")</f>
        <v/>
      </c>
      <c r="H78" s="578" t="e">
        <f ca="1">IF(H77="","",IF(ROUND(H77,4)&gt;ROUND(H75,4),"%Adm&gt;%Global",""))</f>
        <v>#DIV/0!</v>
      </c>
      <c r="J78" s="578" t="e">
        <f t="shared" ref="J78" ca="1" si="3">IF(J77="","",IF(ROUND(J77,4)&gt;ROUND(J75,4),"%Adm&gt;%Global",""))</f>
        <v>#DIV/0!</v>
      </c>
      <c r="L78" s="578" t="e">
        <f t="shared" ref="L78" ca="1" si="4">IF(L77="","",IF(ROUND(L77,4)&gt;ROUND(L75,4),"%Adm&gt;%Global",""))</f>
        <v>#DIV/0!</v>
      </c>
      <c r="N78" s="578" t="e">
        <f t="shared" ref="N78" ca="1" si="5">IF(N77="","",IF(ROUND(N77,4)&gt;ROUND(N75,4),"%Adm&gt;%Global",""))</f>
        <v>#DIV/0!</v>
      </c>
      <c r="P78" s="578" t="e">
        <f t="shared" ref="P78" ca="1" si="6">IF(P77="","",IF(ROUND(P77,4)&gt;ROUND(P75,4),"%Adm&gt;%Global",""))</f>
        <v>#DIV/0!</v>
      </c>
      <c r="R78" s="578" t="e">
        <f t="shared" ref="R78" ca="1" si="7">IF(R77="","",IF(ROUND(R77,4)&gt;ROUND(R75,4),"%Adm&gt;%Global",""))</f>
        <v>#DIV/0!</v>
      </c>
      <c r="T78" s="578" t="e">
        <f t="shared" ref="T78" ca="1" si="8">IF(T77="","",IF(ROUND(T77,4)&gt;ROUND(T75,4),"%Adm&gt;%Global",""))</f>
        <v>#DIV/0!</v>
      </c>
      <c r="V78" s="578" t="e">
        <f t="shared" ref="V78" ca="1" si="9">IF(V77="","",IF(ROUND(V77,4)&gt;ROUND(V75,4),"%Adm&gt;%Global",""))</f>
        <v>#DIV/0!</v>
      </c>
      <c r="X78" s="578" t="e">
        <f t="shared" ref="X78" ca="1" si="10">IF(X77="","",IF(ROUND(X77,4)&gt;ROUND(X75,4),"%Adm&gt;%Global",""))</f>
        <v>#DIV/0!</v>
      </c>
      <c r="Z78" s="578" t="e">
        <f t="shared" ref="Z78" ca="1" si="11">IF(Z77="","",IF(ROUND(Z77,4)&gt;ROUND(Z75,4),"%Adm&gt;%Global",""))</f>
        <v>#DIV/0!</v>
      </c>
      <c r="AB78" s="578" t="e">
        <f t="shared" ref="AB78" ca="1" si="12">IF(AB77="","",IF(ROUND(AB77,4)&gt;ROUND(AB75,4),"%Adm&gt;%Global",""))</f>
        <v>#DIV/0!</v>
      </c>
      <c r="AD78" s="578" t="e">
        <f t="shared" ref="AD78" ca="1" si="13">IF(AD77="","",IF(ROUND(AD77,4)&gt;ROUND(AD75,4),"%Adm&gt;%Global",""))</f>
        <v>#DIV/0!</v>
      </c>
    </row>
    <row r="79" spans="1:31" x14ac:dyDescent="0.2">
      <c r="A79" s="7" t="s">
        <v>244</v>
      </c>
    </row>
    <row r="80" spans="1:31" ht="15" x14ac:dyDescent="0.2">
      <c r="A80" s="7" t="s">
        <v>244</v>
      </c>
      <c r="B80" s="144" t="str">
        <f>Import.Município</f>
        <v>SARANDI/RS</v>
      </c>
      <c r="C80" s="144"/>
      <c r="E80" s="523"/>
      <c r="F80" s="523"/>
      <c r="G80" s="523"/>
      <c r="H80" s="523"/>
      <c r="I80" s="523"/>
      <c r="J80" s="523"/>
      <c r="K80" s="523"/>
      <c r="L80" s="523"/>
      <c r="V80" s="492"/>
      <c r="W80" s="435"/>
      <c r="X80" s="435"/>
      <c r="Y80" s="435"/>
      <c r="Z80" s="435"/>
      <c r="AA80" s="435"/>
      <c r="AB80" s="435"/>
      <c r="AC80" s="435"/>
      <c r="AD80" s="435"/>
      <c r="AE80" s="435"/>
    </row>
    <row r="81" spans="1:22" x14ac:dyDescent="0.2">
      <c r="A81" s="7" t="s">
        <v>244</v>
      </c>
      <c r="B81" s="10" t="s">
        <v>186</v>
      </c>
      <c r="F81" s="195"/>
      <c r="G81" s="195"/>
      <c r="H81" s="195"/>
      <c r="I81" s="195"/>
      <c r="J81" s="195"/>
      <c r="K81" s="195"/>
      <c r="L81" s="197"/>
      <c r="V81" s="190" t="s">
        <v>188</v>
      </c>
    </row>
    <row r="82" spans="1:22" x14ac:dyDescent="0.2">
      <c r="A82" s="7" t="s">
        <v>244</v>
      </c>
      <c r="F82" s="195"/>
      <c r="G82" s="195"/>
      <c r="H82" s="195"/>
      <c r="I82" s="195"/>
      <c r="J82" s="195"/>
      <c r="K82" s="195"/>
      <c r="L82" s="197"/>
      <c r="V82" s="413" t="str">
        <f t="array" aca="1" ref="V82:V84" ca="1">OFFSET(Import.RespOrçamento,0,-1) &amp; " " &amp; Import.RespOrçamento</f>
        <v xml:space="preserve">Nome: MARCIELE FLORES </v>
      </c>
    </row>
    <row r="83" spans="1:22" ht="16.5" x14ac:dyDescent="0.3">
      <c r="A83" s="7" t="s">
        <v>244</v>
      </c>
      <c r="B83" s="734">
        <f>DADOS!$C$25</f>
        <v>46161</v>
      </c>
      <c r="C83" s="734"/>
      <c r="F83" s="195"/>
      <c r="G83" s="195"/>
      <c r="H83" s="195"/>
      <c r="I83" s="195"/>
      <c r="J83" s="195"/>
      <c r="K83" s="195"/>
      <c r="L83" s="197"/>
      <c r="V83" s="413" t="str">
        <f ca="1"/>
        <v>CREA/CAU: CREA/RS 268.201</v>
      </c>
    </row>
    <row r="84" spans="1:22" x14ac:dyDescent="0.2">
      <c r="A84" s="7" t="s">
        <v>244</v>
      </c>
      <c r="B84" s="10" t="s">
        <v>187</v>
      </c>
      <c r="F84" s="195"/>
      <c r="G84" s="195"/>
      <c r="H84" s="195"/>
      <c r="I84" s="195"/>
      <c r="J84" s="195"/>
      <c r="K84" s="195"/>
      <c r="L84" s="197"/>
      <c r="V84" s="413" t="str">
        <f ca="1"/>
        <v>ART/RRT: 0</v>
      </c>
    </row>
  </sheetData>
  <sheetProtection algorithmName="SHA-512" hashValue="2/meQgFLjy99xzNPTyLcxGKmk4SvTZX1ek7ix56qzzpaeuq21sQVqEc8KBYLuWIE+7jrEWLssO+gExxEDg0+Ow==" saltValue="wHUpwpL5K5VAVXhTK1yzMw==" spinCount="100000" sheet="1" objects="1" scenarios="1" autoFilter="0"/>
  <autoFilter ref="A13:A84" xr:uid="{00000000-0001-0000-0800-000000000000}"/>
  <mergeCells count="86">
    <mergeCell ref="AD74:AE74"/>
    <mergeCell ref="L74:M74"/>
    <mergeCell ref="N74:O74"/>
    <mergeCell ref="AB77:AC77"/>
    <mergeCell ref="AD77:AE77"/>
    <mergeCell ref="R77:S77"/>
    <mergeCell ref="T77:U77"/>
    <mergeCell ref="V77:W77"/>
    <mergeCell ref="X77:Y77"/>
    <mergeCell ref="Z77:AA77"/>
    <mergeCell ref="AD75:AE75"/>
    <mergeCell ref="L77:M77"/>
    <mergeCell ref="N77:O77"/>
    <mergeCell ref="P77:Q77"/>
    <mergeCell ref="AD76:AE76"/>
    <mergeCell ref="L76:M76"/>
    <mergeCell ref="AB74:AC74"/>
    <mergeCell ref="X73:Y73"/>
    <mergeCell ref="Z73:AA73"/>
    <mergeCell ref="AB73:AC73"/>
    <mergeCell ref="L73:M73"/>
    <mergeCell ref="N73:O73"/>
    <mergeCell ref="P73:Q73"/>
    <mergeCell ref="R73:S73"/>
    <mergeCell ref="T73:U73"/>
    <mergeCell ref="V73:W73"/>
    <mergeCell ref="T74:U74"/>
    <mergeCell ref="V74:W74"/>
    <mergeCell ref="X74:Y74"/>
    <mergeCell ref="Z74:AA74"/>
    <mergeCell ref="P74:Q74"/>
    <mergeCell ref="R74:S74"/>
    <mergeCell ref="C73:C74"/>
    <mergeCell ref="H73:I73"/>
    <mergeCell ref="J73:K73"/>
    <mergeCell ref="H74:I74"/>
    <mergeCell ref="J74:K74"/>
    <mergeCell ref="H72:I72"/>
    <mergeCell ref="J72:K72"/>
    <mergeCell ref="L72:M72"/>
    <mergeCell ref="AD72:AE72"/>
    <mergeCell ref="B8:C8"/>
    <mergeCell ref="AB72:AC72"/>
    <mergeCell ref="N72:O72"/>
    <mergeCell ref="P72:Q72"/>
    <mergeCell ref="B12:B13"/>
    <mergeCell ref="C12:C13"/>
    <mergeCell ref="R72:S72"/>
    <mergeCell ref="AD73:AE73"/>
    <mergeCell ref="T72:U72"/>
    <mergeCell ref="V72:W72"/>
    <mergeCell ref="X72:Y72"/>
    <mergeCell ref="Z72:AA72"/>
    <mergeCell ref="AC2:AE2"/>
    <mergeCell ref="B4:D4"/>
    <mergeCell ref="G4:I4"/>
    <mergeCell ref="J4:L4"/>
    <mergeCell ref="B5:D5"/>
    <mergeCell ref="G5:I5"/>
    <mergeCell ref="J5:L5"/>
    <mergeCell ref="M5:AE5"/>
    <mergeCell ref="B83:C83"/>
    <mergeCell ref="V76:W76"/>
    <mergeCell ref="X76:Y76"/>
    <mergeCell ref="Z76:AA76"/>
    <mergeCell ref="H75:I75"/>
    <mergeCell ref="J75:K75"/>
    <mergeCell ref="L75:M75"/>
    <mergeCell ref="N75:O75"/>
    <mergeCell ref="H76:I76"/>
    <mergeCell ref="J76:K76"/>
    <mergeCell ref="N76:O76"/>
    <mergeCell ref="P76:Q76"/>
    <mergeCell ref="R76:S76"/>
    <mergeCell ref="T76:U76"/>
    <mergeCell ref="P75:Q75"/>
    <mergeCell ref="R75:S75"/>
    <mergeCell ref="C75:C76"/>
    <mergeCell ref="H77:I77"/>
    <mergeCell ref="J77:K77"/>
    <mergeCell ref="X75:Y75"/>
    <mergeCell ref="AB76:AC76"/>
    <mergeCell ref="Z75:AA75"/>
    <mergeCell ref="AB75:AC75"/>
    <mergeCell ref="T75:U75"/>
    <mergeCell ref="V75:W75"/>
  </mergeCells>
  <phoneticPr fontId="38" type="noConversion"/>
  <conditionalFormatting sqref="E1 G1:AE1">
    <cfRule type="expression" dxfId="286" priority="506" stopIfTrue="1">
      <formula>IF(OR(E$12&gt;CÁLCULO.NúmeroDeFrentes,ACOMPANHAMENTO="BM"),TRUE,CRONOPLE.ValorDoEvento=0)</formula>
    </cfRule>
  </conditionalFormatting>
  <conditionalFormatting sqref="U4:Y4">
    <cfRule type="expression" dxfId="285" priority="396" stopIfTrue="1">
      <formula>QCI.ExisteManual</formula>
    </cfRule>
  </conditionalFormatting>
  <conditionalFormatting sqref="J72:AE72">
    <cfRule type="expression" dxfId="284" priority="395" stopIfTrue="1">
      <formula>OFFSET(J72,3,-2)=1</formula>
    </cfRule>
  </conditionalFormatting>
  <conditionalFormatting sqref="J73:AE73">
    <cfRule type="expression" dxfId="283" priority="390" stopIfTrue="1">
      <formula>OFFSET(J73,2,-2)=1</formula>
    </cfRule>
  </conditionalFormatting>
  <conditionalFormatting sqref="J74:AE74">
    <cfRule type="expression" dxfId="282" priority="389" stopIfTrue="1">
      <formula>OFFSET(J74,1,-2)=1</formula>
    </cfRule>
  </conditionalFormatting>
  <conditionalFormatting sqref="J75:AE75">
    <cfRule type="expression" dxfId="281" priority="388" stopIfTrue="1">
      <formula>OFFSET(J75,0,-2)=1</formula>
    </cfRule>
  </conditionalFormatting>
  <conditionalFormatting sqref="J76:AE76">
    <cfRule type="expression" dxfId="280" priority="387" stopIfTrue="1">
      <formula>OFFSET(J76,-1,-2)=1</formula>
    </cfRule>
  </conditionalFormatting>
  <conditionalFormatting sqref="B15:C15 E15 G15:AF15">
    <cfRule type="expression" dxfId="279" priority="211">
      <formula>$B$15=0</formula>
    </cfRule>
  </conditionalFormatting>
  <conditionalFormatting sqref="B8:C8">
    <cfRule type="expression" dxfId="278" priority="210">
      <formula>$B$7=""</formula>
    </cfRule>
  </conditionalFormatting>
  <conditionalFormatting sqref="J77:AE77">
    <cfRule type="expression" dxfId="277" priority="209">
      <formula>OFFSET(J77,-2,-2)=1</formula>
    </cfRule>
  </conditionalFormatting>
  <conditionalFormatting sqref="H77:AE77">
    <cfRule type="expression" dxfId="276" priority="208">
      <formula>ROUND(H77,4)&gt;ROUND(H75,4)</formula>
    </cfRule>
  </conditionalFormatting>
  <conditionalFormatting sqref="E16 G16:AE16 G22:AE29 E22:E29">
    <cfRule type="expression" dxfId="275" priority="7" stopIfTrue="1">
      <formula>IF(OR(E$12&gt;CÁLCULO.NúmeroDeFrentes,ACOMPANHAMENTO="BM"),TRUE,CRONOPLE.ValorDoEvento=0)</formula>
    </cfRule>
  </conditionalFormatting>
  <conditionalFormatting sqref="E30:E38 G30:AE38">
    <cfRule type="expression" dxfId="274" priority="6" stopIfTrue="1">
      <formula>IF(OR(E$12&gt;CÁLCULO.NúmeroDeFrentes,ACOMPANHAMENTO="BM"),TRUE,CRONOPLE.ValorDoEvento=0)</formula>
    </cfRule>
  </conditionalFormatting>
  <conditionalFormatting sqref="E39:E47 G39:AE47">
    <cfRule type="expression" dxfId="273" priority="5" stopIfTrue="1">
      <formula>IF(OR(E$12&gt;CÁLCULO.NúmeroDeFrentes,ACOMPANHAMENTO="BM"),TRUE,CRONOPLE.ValorDoEvento=0)</formula>
    </cfRule>
  </conditionalFormatting>
  <conditionalFormatting sqref="E48:E56 G48:AE56">
    <cfRule type="expression" dxfId="272" priority="4" stopIfTrue="1">
      <formula>IF(OR(E$12&gt;CÁLCULO.NúmeroDeFrentes,ACOMPANHAMENTO="BM"),TRUE,CRONOPLE.ValorDoEvento=0)</formula>
    </cfRule>
  </conditionalFormatting>
  <conditionalFormatting sqref="E57:E65 G57:AE65">
    <cfRule type="expression" dxfId="271" priority="3" stopIfTrue="1">
      <formula>IF(OR(E$12&gt;CÁLCULO.NúmeroDeFrentes,ACOMPANHAMENTO="BM"),TRUE,CRONOPLE.ValorDoEvento=0)</formula>
    </cfRule>
  </conditionalFormatting>
  <conditionalFormatting sqref="E66:E69 G66:AE69">
    <cfRule type="expression" dxfId="270" priority="2" stopIfTrue="1">
      <formula>IF(OR(E$12&gt;CÁLCULO.NúmeroDeFrentes,ACOMPANHAMENTO="BM"),TRUE,CRONOPLE.ValorDoEvento=0)</formula>
    </cfRule>
  </conditionalFormatting>
  <conditionalFormatting sqref="E17:E21 G17:AE21">
    <cfRule type="expression" dxfId="269"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69 E16:E69" xr:uid="{00000000-0002-0000-0800-000000000000}">
      <formula1>0</formula1>
      <formula2>0</formula2>
    </dataValidation>
    <dataValidation type="list" allowBlank="1" showErrorMessage="1" errorTitle="Atenção" error="Selecione uma opção da lista." sqref="B8:C8" xr:uid="{F5F696FA-ECF3-46D7-85FD-9D51970D3D7F}">
      <formula1>$F$15:$F$70</formula1>
    </dataValidation>
  </dataValidations>
  <pageMargins left="0.78740157480314998" right="0.78740157480314998" top="0.78740157480314998" bottom="0.78740157480314998" header="0.59055118110236204" footer="0.59055118110236204"/>
  <pageSetup paperSize="9" scale="46" firstPageNumber="0" orientation="landscape" horizontalDpi="300" verticalDpi="300" r:id="rId1"/>
  <headerFooter alignWithMargins="0">
    <oddHeader>&amp;L_&amp;C&amp;14I</oddHeader>
    <oddFooter>&amp;LPMv3.08&amp;R&amp;P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09"/>
  <sheetViews>
    <sheetView showGridLines="0" zoomScaleNormal="100" zoomScaleSheetLayoutView="90" workbookViewId="0">
      <pane xSplit="20" ySplit="13" topLeftCell="U14" activePane="bottomRight" state="frozen"/>
      <selection activeCell="F4" sqref="F4"/>
      <selection pane="topRight" activeCell="T4" sqref="T4"/>
      <selection pane="bottomLeft" activeCell="F14" sqref="F14"/>
      <selection pane="bottomRight" activeCell="R65" sqref="R65:S65 F66 U65:AG65"/>
    </sheetView>
  </sheetViews>
  <sheetFormatPr defaultColWidth="9.140625" defaultRowHeight="12.75" x14ac:dyDescent="0.2"/>
  <cols>
    <col min="1" max="1" width="9.140625" style="196" hidden="1" customWidth="1"/>
    <col min="2" max="4" width="9.140625" style="195" hidden="1" customWidth="1"/>
    <col min="5" max="5" width="11" style="196" hidden="1" customWidth="1"/>
    <col min="6" max="6" width="19" style="195" hidden="1" customWidth="1"/>
    <col min="7" max="7" width="3.5703125" style="196" customWidth="1"/>
    <col min="8" max="8" width="12.5703125" style="195" customWidth="1"/>
    <col min="9" max="9" width="7.140625" style="196" customWidth="1"/>
    <col min="10" max="10" width="11.5703125" style="196" customWidth="1"/>
    <col min="11" max="11" width="12" style="196" customWidth="1"/>
    <col min="12" max="12" width="11" style="196" customWidth="1"/>
    <col min="13" max="18" width="9.140625" style="195" hidden="1" customWidth="1"/>
    <col min="19" max="19" width="11.42578125" style="197" customWidth="1"/>
    <col min="20" max="20" width="9.5703125" style="197" customWidth="1"/>
    <col min="21" max="32" width="11" style="196" customWidth="1"/>
    <col min="33" max="33" width="5.5703125" style="196" hidden="1" customWidth="1"/>
    <col min="34" max="16384" width="9.140625" style="196"/>
  </cols>
  <sheetData>
    <row r="1" spans="1:33" hidden="1" x14ac:dyDescent="0.2">
      <c r="A1" s="196" t="e">
        <f ca="1">IF($M1&gt;1,CONCATENATE($I1," ",$J1),"")</f>
        <v>#REF!</v>
      </c>
      <c r="B1" s="195" t="e">
        <f ca="1">OFFSET(B1,-3,0)+1</f>
        <v>#REF!</v>
      </c>
      <c r="C1" s="195" t="e">
        <f ca="1">IF($R1&lt;&gt;2,0,IF($S1=0,1,IF(F2&gt;0,OFFSET(QCI!$M$13,SUBSTITUTE(F2,".",""),0),OFFSET(ORÇAMENTO!$AA$15,CRONO!$F1,0))/$S1))</f>
        <v>#REF!</v>
      </c>
      <c r="D1" s="195" t="e">
        <f ca="1">IF($R1&lt;&gt;2,0,IF($S1=0,1,IF(F2&gt;0,OFFSET(QCI!$N$13,SUBSTITUTE(F2,".",""),0),OFFSET(ORÇAMENTO!$AB$15,CRONO!$F1,0))/$S1))</f>
        <v>#REF!</v>
      </c>
      <c r="E1" s="198" t="e">
        <f ca="1">IF(AND($R1=2,ACOMPANHAMENTO="BM"),ROUND(E2,4),E3/$S1)</f>
        <v>#REF!</v>
      </c>
      <c r="F1" s="195" t="e">
        <f ca="1">IF(B1&lt;=ORÇAMENTO.MáximoListaCrono,MATCH(B1,ORÇAMENTO.ListaCrono,0),NA())</f>
        <v>#REF!</v>
      </c>
      <c r="G1" s="195" t="e">
        <f ca="1">IF(AND($F2&lt;&gt;-1,$S1&gt;0),"F","")</f>
        <v>#REF!</v>
      </c>
      <c r="H1" s="199" t="e">
        <f ca="1">IF(OR(S1=0,S1=""),"Linha",IF(AND(OR(ACOMPANHAMENTO="PLE",$R1&lt;&gt;2),$F2=0),"Linha",ROUND(1-SUM(U1:AG1),4)))</f>
        <v>#REF!</v>
      </c>
      <c r="I1" s="200" t="e">
        <f ca="1">IF($F2=0,OFFSET(ORÇAMENTO!O$15,$F1,0),IF($F2&lt;&gt;-1,OFFSET(QCI!$D$13,$F2,0),""))</f>
        <v>#REF!</v>
      </c>
      <c r="J1" s="201" t="e">
        <f ca="1">IF($F2=0,OFFSET(ORÇAMENTO!R$15,$F1,0),IF($F2&lt;&gt;-1,OFFSET(QCI!$G$13,$F2,0),""))</f>
        <v>#REF!</v>
      </c>
      <c r="K1" s="201"/>
      <c r="L1" s="201"/>
      <c r="M1" s="202" t="e">
        <f ca="1">IF($F2=0,OFFSET(ORÇAMENTO!C$15,$F1,0),1)</f>
        <v>#REF!</v>
      </c>
      <c r="N1" s="203" t="e">
        <f ca="1">IF($F2=-1,0,IF(N$13&lt;=$M1,IF(ISERROR(MATCH(N$13,OFFSET($M1,1,0,ROW($M$92)-ROW($M1)-1),0)),ROW($M$92)-ROW($M1)-1,MATCH(N$13,OFFSET($M1,1,0,ROW($M$92)-ROW($M1)-1),0)-1),0))</f>
        <v>#REF!</v>
      </c>
      <c r="O1" s="203" t="e">
        <f ca="1">IF($F2=-1,0,IF(O$13&lt;=$M1,IF(ISERROR(MATCH(O$13,OFFSET($M1,1,0,ROW($M$92)-ROW($M1)-1),0)),ROW($M$92)-ROW($M1)-1,MATCH(O$13,OFFSET($M1,1,0,ROW($M$92)-ROW($M1)-1),0)-1),0))</f>
        <v>#REF!</v>
      </c>
      <c r="P1" s="203" t="e">
        <f ca="1">IF($F2=-1,0,IF(P$13&lt;=$M1,IF(ISERROR(MATCH(P$13,OFFSET($M1,1,0,ROW($M$92)-ROW($M1)-1),0)),ROW($M$92)-ROW($M1)-1,MATCH(P$13,OFFSET($M1,1,0,ROW($M$92)-ROW($M1)-1),0)-1),0))</f>
        <v>#REF!</v>
      </c>
      <c r="Q1" s="203" t="e">
        <f ca="1">IF($F2=-1,0,IF(Q$13&lt;=$M1,IF(ISERROR(MATCH(Q$13,OFFSET($M1,1,0,ROW($M$92)-ROW($M1)-1),0)),ROW($M$92)-ROW($M1)-1,MATCH(Q$13,OFFSET($M1,1,0,ROW($M$92)-ROW($M1)-1),0)-1),0))</f>
        <v>#REF!</v>
      </c>
      <c r="R1" s="203" t="e">
        <f ca="1">MIN(OFFSET(M1,0,1,,M1))</f>
        <v>#REF!</v>
      </c>
      <c r="S1" s="204" t="e">
        <f ca="1">IF($F2=0,OFFSET(ORÇAMENTO!X$15,$F1,0),IF($F2&lt;&gt;-1,OFFSET(QCI!$O$13,$F2,0),""))</f>
        <v>#REF!</v>
      </c>
      <c r="T1" s="205" t="s">
        <v>266</v>
      </c>
      <c r="U1" s="198" t="e">
        <f ca="1">IF(AND($R1=2,ACOMPANHAMENTO="BM"),ROUND(U2,4),U3/$S1)</f>
        <v>#REF!</v>
      </c>
      <c r="V1" s="198" t="e">
        <f ca="1">IF(AND($R1=2,ACOMPANHAMENTO="BM"),ROUND(V2,4),V3/$S1)</f>
        <v>#REF!</v>
      </c>
      <c r="W1" s="198" t="e">
        <f ca="1">IF(AND($R1=2,ACOMPANHAMENTO="BM"),ROUND(W2,4),W3/$S1)</f>
        <v>#REF!</v>
      </c>
      <c r="X1" s="198" t="e">
        <f ca="1">IF(AND($R1=2,ACOMPANHAMENTO="BM"),ROUND(X2,4),X3/$S1)</f>
        <v>#REF!</v>
      </c>
      <c r="Y1" s="198" t="e">
        <f ca="1">IF(AND($R1=2,ACOMPANHAMENTO="BM"),ROUND(Y2,4),Y3/$S1)</f>
        <v>#REF!</v>
      </c>
      <c r="Z1" s="198" t="e">
        <f ca="1">IF(AND($R1=2,ACOMPANHAMENTO="BM"),ROUND(Z2,4),Z3/$S1)</f>
        <v>#REF!</v>
      </c>
      <c r="AA1" s="198" t="e">
        <f ca="1">IF(AND($R1=2,ACOMPANHAMENTO="BM"),ROUND(AA2,4),AA3/$S1)</f>
        <v>#REF!</v>
      </c>
      <c r="AB1" s="198" t="e">
        <f ca="1">IF(AND($R1=2,ACOMPANHAMENTO="BM"),ROUND(AB2,4),AB3/$S1)</f>
        <v>#REF!</v>
      </c>
      <c r="AC1" s="198" t="e">
        <f ca="1">IF(AND($R1=2,ACOMPANHAMENTO="BM"),ROUND(AC2,4),AC3/$S1)</f>
        <v>#REF!</v>
      </c>
      <c r="AD1" s="198" t="e">
        <f ca="1">IF(AND($R1=2,ACOMPANHAMENTO="BM"),ROUND(AD2,4),AD3/$S1)</f>
        <v>#REF!</v>
      </c>
      <c r="AE1" s="198" t="e">
        <f ca="1">IF(AND($R1=2,ACOMPANHAMENTO="BM"),ROUND(AE2,4),AE3/$S1)</f>
        <v>#REF!</v>
      </c>
      <c r="AF1" s="198" t="e">
        <f ca="1">IF(AND($R1=2,ACOMPANHAMENTO="BM"),ROUND(AF2,4),AF3/$S1)</f>
        <v>#REF!</v>
      </c>
      <c r="AG1" s="577"/>
    </row>
    <row r="2" spans="1:33" ht="12.75" hidden="1" customHeight="1" x14ac:dyDescent="0.2">
      <c r="E2" s="646"/>
      <c r="F2" s="195" t="e">
        <f ca="1">IF(ISERROR(F1),IF(1+COUNTIF($M$13:OFFSET(M1,-1,0),1)&lt;=MAX(QCI!$D$13:$D$24),1+COUNTIF($M$13:OFFSET(M1,-1,0),1),-1),0)</f>
        <v>#REF!</v>
      </c>
      <c r="G2" s="195" t="str">
        <f ca="1">IF(ACOMPANHAMENTO="BM",OFFSET(G2,-1,0),"")</f>
        <v/>
      </c>
      <c r="H2" s="206" t="e">
        <f ca="1">IF(OR(S1=0,S1=""),"vazia",IF(AND(OR(ACOMPANHAMENTO="PLE",$R1&lt;&gt;2),$F2=0),"calculada","--&gt;"))</f>
        <v>#REF!</v>
      </c>
      <c r="I2" s="207"/>
      <c r="J2" s="208" t="e">
        <f ca="1">IF(AND(H1&lt;&gt;0,ISNUMBER(H1)),"PREENCHA ESTA LINHA --&gt;","")</f>
        <v>#REF!</v>
      </c>
      <c r="K2" s="208"/>
      <c r="L2" s="208"/>
      <c r="M2" s="209"/>
      <c r="N2" s="209"/>
      <c r="O2" s="209"/>
      <c r="P2" s="209"/>
      <c r="Q2" s="209"/>
      <c r="R2" s="209"/>
      <c r="S2" s="210"/>
      <c r="T2" s="211"/>
      <c r="U2" s="646"/>
      <c r="V2" s="646"/>
      <c r="W2" s="646"/>
      <c r="X2" s="646"/>
      <c r="Y2" s="646"/>
      <c r="Z2" s="646"/>
      <c r="AA2" s="646"/>
      <c r="AB2" s="646"/>
      <c r="AC2" s="646"/>
      <c r="AD2" s="646"/>
      <c r="AE2" s="646"/>
      <c r="AF2" s="646"/>
      <c r="AG2" s="577"/>
    </row>
    <row r="3" spans="1:33" ht="12.75" hidden="1" customHeight="1" x14ac:dyDescent="0.2">
      <c r="D3" s="576"/>
      <c r="E3" s="212" t="e">
        <f ca="1">IF($R1=2,
         IF(AND(ACOMPANHAMENTO="PLE",ISNUMBER($F1)),
                SUMIF((OFFSET(CÁLCULO!$AM$15:$AW$15,$F1,0,OFFSET(ORÇAMENTO!$D$15,CRONO!$F1,0))),CRONO!E$12,OFFSET(CÁLCULO!$AB$15:$AL$15,$F1,0,OFFSET(ORÇAMENTO!$D$15,CRONO!$F1,0)))
                +IF(AND($F3&lt;&gt;"",$F3&lt;&gt;0),
                        SUMIF(CÁLCULO!$AM$15:$AW$89,CRONO!E$12,CÁLCULO!$AB$15:$AL$89)/(ORÇAMENTO!$X$15-CÁLCULO.TotalAdmLocal)*CRONO!$F3,
                        0),
                 E2*$S1),
          SUMIF(OFFSET($S3,1,0,$R1-2),($M1+1)&amp;"$",OFFSET(E3,1,0,$R1-2)))</f>
        <v>#REF!</v>
      </c>
      <c r="F3" s="195" t="e">
        <f ca="1">IF(OR($R1&lt;&gt;2,AUTOEVENTO&lt;&gt;"manual",$F2&gt;0),"",
        IF(Import.TipoArredondamento="Tradicional",
              SUMIF(OFFSET(CÁLCULO!$M$15,CRONO!$F1,0,OFFSET(ORÇAMENTO!$D$15,CRONO!$F1,0)),1,OFFSET(ORÇAMENTO!$X$15,CRONO!$F1,0,OFFSET(ORÇAMENTO!$D$15,CRONO!$F1,0))),
              0))</f>
        <v>#REF!</v>
      </c>
      <c r="H3" s="213"/>
      <c r="S3" s="214" t="e">
        <f ca="1">M1&amp;"$"</f>
        <v>#REF!</v>
      </c>
      <c r="T3" s="215"/>
      <c r="U3" s="212" t="e">
        <f ca="1">IF($R1=2,
         IF(AND(ACOMPANHAMENTO="PLE",ISNUMBER($F1)),
                SUMIF((OFFSET(CÁLCULO!$AM$15:$AW$15,$F1,0,OFFSET(ORÇAMENTO!$D$15,CRONO!$F1,0))),CRONO!U$12,OFFSET(CÁLCULO!$AB$15:$AL$15,$F1,0,OFFSET(ORÇAMENTO!$D$15,CRONO!$F1,0)))
                +IF(AND($F3&lt;&gt;"",$F3&lt;&gt;0),
                        SUMIF(CÁLCULO!$AM$15:$AW$89,CRONO!U$12,CÁLCULO!$AB$15:$AL$89)/(ORÇAMENTO!$X$15-CÁLCULO.TotalAdmLocal)*CRONO!$F3,
                        0),
                 U2*$S1),
          SUMIF(OFFSET($S3,1,0,$R1-2),($M1+1)&amp;"$",OFFSET(U3,1,0,$R1-2)))</f>
        <v>#REF!</v>
      </c>
      <c r="V3" s="212" t="e">
        <f ca="1">IF($R1=2,
         IF(AND(ACOMPANHAMENTO="PLE",ISNUMBER($F1)),
                SUMIF((OFFSET(CÁLCULO!$AM$15:$AW$15,$F1,0,OFFSET(ORÇAMENTO!$D$15,CRONO!$F1,0))),CRONO!V$12,OFFSET(CÁLCULO!$AB$15:$AL$15,$F1,0,OFFSET(ORÇAMENTO!$D$15,CRONO!$F1,0)))
                +IF(AND($F3&lt;&gt;"",$F3&lt;&gt;0),
                        SUMIF(CÁLCULO!$AM$15:$AW$89,CRONO!V$12,CÁLCULO!$AB$15:$AL$89)/(ORÇAMENTO!$X$15-CÁLCULO.TotalAdmLocal)*CRONO!$F3,
                        0),
                 V2*$S1),
          SUMIF(OFFSET($S3,1,0,$R1-2),($M1+1)&amp;"$",OFFSET(V3,1,0,$R1-2)))</f>
        <v>#REF!</v>
      </c>
      <c r="W3" s="212" t="e">
        <f ca="1">IF($R1=2,
         IF(AND(ACOMPANHAMENTO="PLE",ISNUMBER($F1)),
                SUMIF((OFFSET(CÁLCULO!$AM$15:$AW$15,$F1,0,OFFSET(ORÇAMENTO!$D$15,CRONO!$F1,0))),CRONO!W$12,OFFSET(CÁLCULO!$AB$15:$AL$15,$F1,0,OFFSET(ORÇAMENTO!$D$15,CRONO!$F1,0)))
                +IF(AND($F3&lt;&gt;"",$F3&lt;&gt;0),
                        SUMIF(CÁLCULO!$AM$15:$AW$89,CRONO!W$12,CÁLCULO!$AB$15:$AL$89)/(ORÇAMENTO!$X$15-CÁLCULO.TotalAdmLocal)*CRONO!$F3,
                        0),
                 W2*$S1),
          SUMIF(OFFSET($S3,1,0,$R1-2),($M1+1)&amp;"$",OFFSET(W3,1,0,$R1-2)))</f>
        <v>#REF!</v>
      </c>
      <c r="X3" s="212" t="e">
        <f ca="1">IF($R1=2,
         IF(AND(ACOMPANHAMENTO="PLE",ISNUMBER($F1)),
                SUMIF((OFFSET(CÁLCULO!$AM$15:$AW$15,$F1,0,OFFSET(ORÇAMENTO!$D$15,CRONO!$F1,0))),CRONO!X$12,OFFSET(CÁLCULO!$AB$15:$AL$15,$F1,0,OFFSET(ORÇAMENTO!$D$15,CRONO!$F1,0)))
                +IF(AND($F3&lt;&gt;"",$F3&lt;&gt;0),
                        SUMIF(CÁLCULO!$AM$15:$AW$89,CRONO!X$12,CÁLCULO!$AB$15:$AL$89)/(ORÇAMENTO!$X$15-CÁLCULO.TotalAdmLocal)*CRONO!$F3,
                        0),
                 X2*$S1),
          SUMIF(OFFSET($S3,1,0,$R1-2),($M1+1)&amp;"$",OFFSET(X3,1,0,$R1-2)))</f>
        <v>#REF!</v>
      </c>
      <c r="Y3" s="212" t="e">
        <f ca="1">IF($R1=2,
         IF(AND(ACOMPANHAMENTO="PLE",ISNUMBER($F1)),
                SUMIF((OFFSET(CÁLCULO!$AM$15:$AW$15,$F1,0,OFFSET(ORÇAMENTO!$D$15,CRONO!$F1,0))),CRONO!Y$12,OFFSET(CÁLCULO!$AB$15:$AL$15,$F1,0,OFFSET(ORÇAMENTO!$D$15,CRONO!$F1,0)))
                +IF(AND($F3&lt;&gt;"",$F3&lt;&gt;0),
                        SUMIF(CÁLCULO!$AM$15:$AW$89,CRONO!Y$12,CÁLCULO!$AB$15:$AL$89)/(ORÇAMENTO!$X$15-CÁLCULO.TotalAdmLocal)*CRONO!$F3,
                        0),
                 Y2*$S1),
          SUMIF(OFFSET($S3,1,0,$R1-2),($M1+1)&amp;"$",OFFSET(Y3,1,0,$R1-2)))</f>
        <v>#REF!</v>
      </c>
      <c r="Z3" s="212" t="e">
        <f ca="1">IF($R1=2,
         IF(AND(ACOMPANHAMENTO="PLE",ISNUMBER($F1)),
                SUMIF((OFFSET(CÁLCULO!$AM$15:$AW$15,$F1,0,OFFSET(ORÇAMENTO!$D$15,CRONO!$F1,0))),CRONO!Z$12,OFFSET(CÁLCULO!$AB$15:$AL$15,$F1,0,OFFSET(ORÇAMENTO!$D$15,CRONO!$F1,0)))
                +IF(AND($F3&lt;&gt;"",$F3&lt;&gt;0),
                        SUMIF(CÁLCULO!$AM$15:$AW$89,CRONO!Z$12,CÁLCULO!$AB$15:$AL$89)/(ORÇAMENTO!$X$15-CÁLCULO.TotalAdmLocal)*CRONO!$F3,
                        0),
                 Z2*$S1),
          SUMIF(OFFSET($S3,1,0,$R1-2),($M1+1)&amp;"$",OFFSET(Z3,1,0,$R1-2)))</f>
        <v>#REF!</v>
      </c>
      <c r="AA3" s="212" t="e">
        <f ca="1">IF($R1=2,
         IF(AND(ACOMPANHAMENTO="PLE",ISNUMBER($F1)),
                SUMIF((OFFSET(CÁLCULO!$AM$15:$AW$15,$F1,0,OFFSET(ORÇAMENTO!$D$15,CRONO!$F1,0))),CRONO!AA$12,OFFSET(CÁLCULO!$AB$15:$AL$15,$F1,0,OFFSET(ORÇAMENTO!$D$15,CRONO!$F1,0)))
                +IF(AND($F3&lt;&gt;"",$F3&lt;&gt;0),
                        SUMIF(CÁLCULO!$AM$15:$AW$89,CRONO!AA$12,CÁLCULO!$AB$15:$AL$89)/(ORÇAMENTO!$X$15-CÁLCULO.TotalAdmLocal)*CRONO!$F3,
                        0),
                 AA2*$S1),
          SUMIF(OFFSET($S3,1,0,$R1-2),($M1+1)&amp;"$",OFFSET(AA3,1,0,$R1-2)))</f>
        <v>#REF!</v>
      </c>
      <c r="AB3" s="212" t="e">
        <f ca="1">IF($R1=2,
         IF(AND(ACOMPANHAMENTO="PLE",ISNUMBER($F1)),
                SUMIF((OFFSET(CÁLCULO!$AM$15:$AW$15,$F1,0,OFFSET(ORÇAMENTO!$D$15,CRONO!$F1,0))),CRONO!AB$12,OFFSET(CÁLCULO!$AB$15:$AL$15,$F1,0,OFFSET(ORÇAMENTO!$D$15,CRONO!$F1,0)))
                +IF(AND($F3&lt;&gt;"",$F3&lt;&gt;0),
                        SUMIF(CÁLCULO!$AM$15:$AW$89,CRONO!AB$12,CÁLCULO!$AB$15:$AL$89)/(ORÇAMENTO!$X$15-CÁLCULO.TotalAdmLocal)*CRONO!$F3,
                        0),
                 AB2*$S1),
          SUMIF(OFFSET($S3,1,0,$R1-2),($M1+1)&amp;"$",OFFSET(AB3,1,0,$R1-2)))</f>
        <v>#REF!</v>
      </c>
      <c r="AC3" s="212" t="e">
        <f ca="1">IF($R1=2,
         IF(AND(ACOMPANHAMENTO="PLE",ISNUMBER($F1)),
                SUMIF((OFFSET(CÁLCULO!$AM$15:$AW$15,$F1,0,OFFSET(ORÇAMENTO!$D$15,CRONO!$F1,0))),CRONO!AC$12,OFFSET(CÁLCULO!$AB$15:$AL$15,$F1,0,OFFSET(ORÇAMENTO!$D$15,CRONO!$F1,0)))
                +IF(AND($F3&lt;&gt;"",$F3&lt;&gt;0),
                        SUMIF(CÁLCULO!$AM$15:$AW$89,CRONO!AC$12,CÁLCULO!$AB$15:$AL$89)/(ORÇAMENTO!$X$15-CÁLCULO.TotalAdmLocal)*CRONO!$F3,
                        0),
                 AC2*$S1),
          SUMIF(OFFSET($S3,1,0,$R1-2),($M1+1)&amp;"$",OFFSET(AC3,1,0,$R1-2)))</f>
        <v>#REF!</v>
      </c>
      <c r="AD3" s="212" t="e">
        <f ca="1">IF($R1=2,
         IF(AND(ACOMPANHAMENTO="PLE",ISNUMBER($F1)),
                SUMIF((OFFSET(CÁLCULO!$AM$15:$AW$15,$F1,0,OFFSET(ORÇAMENTO!$D$15,CRONO!$F1,0))),CRONO!AD$12,OFFSET(CÁLCULO!$AB$15:$AL$15,$F1,0,OFFSET(ORÇAMENTO!$D$15,CRONO!$F1,0)))
                +IF(AND($F3&lt;&gt;"",$F3&lt;&gt;0),
                        SUMIF(CÁLCULO!$AM$15:$AW$89,CRONO!AD$12,CÁLCULO!$AB$15:$AL$89)/(ORÇAMENTO!$X$15-CÁLCULO.TotalAdmLocal)*CRONO!$F3,
                        0),
                 AD2*$S1),
          SUMIF(OFFSET($S3,1,0,$R1-2),($M1+1)&amp;"$",OFFSET(AD3,1,0,$R1-2)))</f>
        <v>#REF!</v>
      </c>
      <c r="AE3" s="212" t="e">
        <f ca="1">IF($R1=2,
         IF(AND(ACOMPANHAMENTO="PLE",ISNUMBER($F1)),
                SUMIF((OFFSET(CÁLCULO!$AM$15:$AW$15,$F1,0,OFFSET(ORÇAMENTO!$D$15,CRONO!$F1,0))),CRONO!AE$12,OFFSET(CÁLCULO!$AB$15:$AL$15,$F1,0,OFFSET(ORÇAMENTO!$D$15,CRONO!$F1,0)))
                +IF(AND($F3&lt;&gt;"",$F3&lt;&gt;0),
                        SUMIF(CÁLCULO!$AM$15:$AW$89,CRONO!AE$12,CÁLCULO!$AB$15:$AL$89)/(ORÇAMENTO!$X$15-CÁLCULO.TotalAdmLocal)*CRONO!$F3,
                        0),
                 AE2*$S1),
          SUMIF(OFFSET($S3,1,0,$R1-2),($M1+1)&amp;"$",OFFSET(AE3,1,0,$R1-2)))</f>
        <v>#REF!</v>
      </c>
      <c r="AF3" s="212" t="e">
        <f ca="1">IF($R1=2,
         IF(AND(ACOMPANHAMENTO="PLE",ISNUMBER($F1)),
                SUMIF((OFFSET(CÁLCULO!$AM$15:$AW$15,$F1,0,OFFSET(ORÇAMENTO!$D$15,CRONO!$F1,0))),CRONO!AF$12,OFFSET(CÁLCULO!$AB$15:$AL$15,$F1,0,OFFSET(ORÇAMENTO!$D$15,CRONO!$F1,0)))
                +IF(AND($F3&lt;&gt;"",$F3&lt;&gt;0),
                        SUMIF(CÁLCULO!$AM$15:$AW$89,CRONO!AF$12,CÁLCULO!$AB$15:$AL$89)/(ORÇAMENTO!$X$15-CÁLCULO.TotalAdmLocal)*CRONO!$F3,
                        0),
                 AF2*$S1),
          SUMIF(OFFSET($S3,1,0,$R1-2),($M1+1)&amp;"$",OFFSET(AF3,1,0,$R1-2)))</f>
        <v>#REF!</v>
      </c>
      <c r="AG3" s="577"/>
    </row>
    <row r="4" spans="1:33" ht="15" customHeight="1" x14ac:dyDescent="0.25">
      <c r="S4" s="216" t="str">
        <f>IF(TIPOORCAMENTO="licitado","CFF - CRONOGRAMA FÍSICO-FINANCEIRO LICITADO","CFF - CRONOGRAMA FÍSICO-FINANCEIRO")</f>
        <v>CFF - CRONOGRAMA FÍSICO-FINANCEIRO</v>
      </c>
      <c r="AE4" s="706" t="s">
        <v>139</v>
      </c>
      <c r="AF4" s="706"/>
    </row>
    <row r="5" spans="1:33" ht="15" x14ac:dyDescent="0.2">
      <c r="S5" s="84" t="str">
        <f>import.recurso</f>
        <v>OGU</v>
      </c>
      <c r="AE5" s="707" t="s">
        <v>142</v>
      </c>
      <c r="AF5" s="707"/>
    </row>
    <row r="6" spans="1:33" ht="12.75" customHeight="1" x14ac:dyDescent="0.2"/>
    <row r="7" spans="1:33" ht="12.75" customHeight="1" x14ac:dyDescent="0.2">
      <c r="F7" s="217"/>
      <c r="H7" s="757" t="s">
        <v>267</v>
      </c>
      <c r="I7" s="218" t="s">
        <v>145</v>
      </c>
      <c r="J7" s="219"/>
      <c r="K7" s="220" t="s">
        <v>426</v>
      </c>
      <c r="L7" s="221" t="s">
        <v>268</v>
      </c>
      <c r="M7" s="196"/>
      <c r="N7" s="196"/>
      <c r="O7" s="196"/>
      <c r="T7" s="222"/>
      <c r="U7" s="218" t="s">
        <v>269</v>
      </c>
      <c r="Y7" s="219"/>
      <c r="Z7" s="218" t="str">
        <f>IF(TIPOORCAMENTO="Licitado","NOME DA EMPRESA","DESCRIÇÃO DO LOTE")</f>
        <v>DESCRIÇÃO DO LOTE</v>
      </c>
      <c r="AF7" s="223" t="str">
        <f>IF(TIPOORCAMENTO="Licitado","Nº CTEF","")</f>
        <v/>
      </c>
    </row>
    <row r="8" spans="1:33" x14ac:dyDescent="0.2">
      <c r="E8" s="195"/>
      <c r="F8" s="116"/>
      <c r="G8" s="665" t="s">
        <v>207</v>
      </c>
      <c r="H8" s="757"/>
      <c r="I8" s="748" t="str">
        <f>Import.CR</f>
        <v>000000-00</v>
      </c>
      <c r="J8" s="748"/>
      <c r="K8" s="224" t="str">
        <f>Import.TransfereGOV</f>
        <v>000000</v>
      </c>
      <c r="L8" s="747" t="str">
        <f>Import.Proponente</f>
        <v>PREFEITURA MUNICIPAL DE SARANDI/RS</v>
      </c>
      <c r="M8" s="747"/>
      <c r="N8" s="747"/>
      <c r="O8" s="747"/>
      <c r="P8" s="747"/>
      <c r="Q8" s="747"/>
      <c r="R8" s="747"/>
      <c r="S8" s="747"/>
      <c r="T8" s="747"/>
      <c r="U8" s="748" t="str">
        <f>Import.Apelido</f>
        <v>PAVILHÃO COMUNITÁRIO COMUNIDADE ÁREA 10</v>
      </c>
      <c r="V8" s="748"/>
      <c r="W8" s="748"/>
      <c r="X8" s="748"/>
      <c r="Y8" s="748"/>
      <c r="Z8" s="758" t="str">
        <f>IF(TIPOORCAMENTO="Licitado",Import.empresa,Import.DescLote)</f>
        <v>PAVILHÃO COMUNITÁRIO COMUNIDADE ÁREA 10</v>
      </c>
      <c r="AA8" s="758"/>
      <c r="AB8" s="758"/>
      <c r="AC8" s="758"/>
      <c r="AD8" s="758"/>
      <c r="AE8" s="758"/>
      <c r="AF8" s="213" t="str">
        <f>IF(TIPOORCAMENTO="Licitado",Import.CTEF,"")</f>
        <v/>
      </c>
    </row>
    <row r="9" spans="1:33" x14ac:dyDescent="0.2">
      <c r="F9" s="116"/>
      <c r="G9" s="665"/>
      <c r="H9" s="757"/>
    </row>
    <row r="10" spans="1:33" x14ac:dyDescent="0.2">
      <c r="F10" s="195" cm="1">
        <f t="array" aca="1" ref="F10" ca="1">CRONO.LinhasNecessarias</f>
        <v>12</v>
      </c>
      <c r="G10" s="665"/>
      <c r="H10" s="225">
        <v>2</v>
      </c>
      <c r="K10" s="749" t="str">
        <f ca="1">IF(MAX($B$13:$B$92)&lt;CRONO.LinhasNecessarias,"ERRO: NÚMERO DE LINHAS DO CRONOGRAMA INSUFICIENTE. CLIQUE EM ATUALIZAR LINHAS.",IF(AND(ACOMPANHAMENTO="PLE",ROUND(OFFSET($AG$102,0,-1),2)=0),"CRONOGRAMA DEVE SER PREENCHIDO POR EVENTOS",IF(ROUND(OFFSET($AG$102,0,-1),2)&lt;&gt;$R$93,"ERRO: CRONOGRAMA NÃO FECHA 100%","")))</f>
        <v>CRONOGRAMA DEVE SER PREENCHIDO POR EVENTOS</v>
      </c>
      <c r="L10" s="749"/>
      <c r="M10" s="749"/>
      <c r="N10" s="749"/>
      <c r="O10" s="749"/>
      <c r="P10" s="749"/>
      <c r="Q10" s="749"/>
      <c r="R10" s="749"/>
      <c r="S10" s="749"/>
      <c r="T10" s="749"/>
    </row>
    <row r="11" spans="1:33" ht="12.75" customHeight="1" x14ac:dyDescent="0.2">
      <c r="F11" s="195" t="e" cm="1">
        <f t="array" aca="1" ref="F11" ca="1">CRONO.ParcelaFinal</f>
        <v>#N/A</v>
      </c>
      <c r="G11" s="665"/>
      <c r="I11" s="226"/>
      <c r="J11" s="226"/>
      <c r="K11" s="749"/>
      <c r="L11" s="749"/>
      <c r="M11" s="749"/>
      <c r="N11" s="749"/>
      <c r="O11" s="749"/>
      <c r="P11" s="749"/>
      <c r="Q11" s="749"/>
      <c r="R11" s="749"/>
      <c r="S11" s="749"/>
      <c r="T11" s="749"/>
    </row>
    <row r="12" spans="1:33" ht="12.75" customHeight="1" x14ac:dyDescent="0.2">
      <c r="A12" s="196" t="s">
        <v>927</v>
      </c>
      <c r="E12" s="227">
        <f ca="1">OFFSET(E12,0,-1)+1</f>
        <v>1</v>
      </c>
      <c r="G12" s="108" t="s">
        <v>215</v>
      </c>
      <c r="H12" s="751" t="s">
        <v>270</v>
      </c>
      <c r="I12" s="752" t="s">
        <v>229</v>
      </c>
      <c r="J12" s="753" t="s">
        <v>232</v>
      </c>
      <c r="K12" s="228"/>
      <c r="L12" s="228"/>
      <c r="M12" s="229"/>
      <c r="N12" s="229"/>
      <c r="O12" s="229"/>
      <c r="P12" s="229"/>
      <c r="Q12" s="229"/>
      <c r="R12" s="229"/>
      <c r="S12" s="756" t="s">
        <v>271</v>
      </c>
      <c r="T12" s="746" t="s">
        <v>272</v>
      </c>
      <c r="U12" s="230">
        <v>1</v>
      </c>
      <c r="V12" s="227">
        <f ca="1">OFFSET(V12,0,-1)+1</f>
        <v>2</v>
      </c>
      <c r="W12" s="227">
        <f t="shared" ref="W12:AF12" ca="1" si="0">OFFSET(W12,0,-1)+1</f>
        <v>3</v>
      </c>
      <c r="X12" s="227">
        <f t="shared" ca="1" si="0"/>
        <v>4</v>
      </c>
      <c r="Y12" s="227">
        <f t="shared" ca="1" si="0"/>
        <v>5</v>
      </c>
      <c r="Z12" s="227">
        <f t="shared" ca="1" si="0"/>
        <v>6</v>
      </c>
      <c r="AA12" s="227">
        <f t="shared" ca="1" si="0"/>
        <v>7</v>
      </c>
      <c r="AB12" s="227">
        <f t="shared" ca="1" si="0"/>
        <v>8</v>
      </c>
      <c r="AC12" s="227">
        <f t="shared" ca="1" si="0"/>
        <v>9</v>
      </c>
      <c r="AD12" s="227">
        <f t="shared" ca="1" si="0"/>
        <v>10</v>
      </c>
      <c r="AE12" s="227">
        <f t="shared" ca="1" si="0"/>
        <v>11</v>
      </c>
      <c r="AF12" s="580">
        <f t="shared" ca="1" si="0"/>
        <v>12</v>
      </c>
      <c r="AG12" s="577"/>
    </row>
    <row r="13" spans="1:33" ht="24.95" customHeight="1" x14ac:dyDescent="0.2">
      <c r="B13" s="231" t="s">
        <v>273</v>
      </c>
      <c r="C13" s="231" t="s">
        <v>168</v>
      </c>
      <c r="D13" s="231" t="s">
        <v>274</v>
      </c>
      <c r="E13" s="232" t="e">
        <f ca="1">OFFSET(E13,0,-1)+41-DAY(OFFSET(E13,0,-1)+40)</f>
        <v>#VALUE!</v>
      </c>
      <c r="F13" s="231" t="s">
        <v>275</v>
      </c>
      <c r="H13" s="751"/>
      <c r="I13" s="752"/>
      <c r="J13" s="753"/>
      <c r="K13" s="233"/>
      <c r="L13" s="233"/>
      <c r="M13" s="234" t="s">
        <v>227</v>
      </c>
      <c r="N13" s="234">
        <v>1</v>
      </c>
      <c r="O13" s="234">
        <v>2</v>
      </c>
      <c r="P13" s="234">
        <v>3</v>
      </c>
      <c r="Q13" s="234">
        <v>4</v>
      </c>
      <c r="R13" s="235" t="s">
        <v>276</v>
      </c>
      <c r="S13" s="756"/>
      <c r="T13" s="746"/>
      <c r="U13" s="236">
        <v>46143</v>
      </c>
      <c r="V13" s="232">
        <f ca="1">OFFSET(V13,0,-1)+41-DAY(OFFSET(V13,0,-1)+40)</f>
        <v>46174</v>
      </c>
      <c r="W13" s="232">
        <f ca="1">OFFSET(W13,0,-1)+41-DAY(OFFSET(W13,0,-1)+40)</f>
        <v>46204</v>
      </c>
      <c r="X13" s="232">
        <f t="shared" ref="X13:AF13" ca="1" si="1">OFFSET(X13,0,-1)+41-DAY(OFFSET(X13,0,-1)+40)</f>
        <v>46235</v>
      </c>
      <c r="Y13" s="232">
        <f t="shared" ca="1" si="1"/>
        <v>46266</v>
      </c>
      <c r="Z13" s="232">
        <f t="shared" ca="1" si="1"/>
        <v>46296</v>
      </c>
      <c r="AA13" s="232">
        <f t="shared" ca="1" si="1"/>
        <v>46327</v>
      </c>
      <c r="AB13" s="232">
        <f t="shared" ca="1" si="1"/>
        <v>46357</v>
      </c>
      <c r="AC13" s="232">
        <f t="shared" ca="1" si="1"/>
        <v>46388</v>
      </c>
      <c r="AD13" s="232">
        <f t="shared" ca="1" si="1"/>
        <v>46419</v>
      </c>
      <c r="AE13" s="232">
        <f t="shared" ca="1" si="1"/>
        <v>46447</v>
      </c>
      <c r="AF13" s="581">
        <f t="shared" ca="1" si="1"/>
        <v>46478</v>
      </c>
      <c r="AG13" s="577"/>
    </row>
    <row r="14" spans="1:33" x14ac:dyDescent="0.2">
      <c r="A14" s="196" t="str">
        <f t="shared" ref="A14" ca="1" si="2">IF($M14&gt;1,CONCATENATE($I14," ",$J14),"")</f>
        <v/>
      </c>
      <c r="B14" s="195">
        <f t="shared" ref="B14" ca="1" si="3">OFFSET(B14,-3,0)+1</f>
        <v>1</v>
      </c>
      <c r="C14" s="195">
        <f ca="1">IF($R14&lt;&gt;2,0,IF($S14=0,1,IF(F15&gt;0,OFFSET(QCI!$M$13,SUBSTITUTE(F15,".",""),0),OFFSET(ORÇAMENTO!$AA$15,CRONO!$F14,0))/$S14))</f>
        <v>0</v>
      </c>
      <c r="D14" s="195">
        <f ca="1">IF($R14&lt;&gt;2,0,IF($S14=0,1,IF(F15&gt;0,OFFSET(QCI!$N$13,SUBSTITUTE(F15,".",""),0),OFFSET(ORÇAMENTO!$AB$15,CRONO!$F14,0))/$S14))</f>
        <v>0</v>
      </c>
      <c r="E14" s="198" t="e">
        <f ca="1">IF(AND($R14=2,ACOMPANHAMENTO="BM"),ROUND(E15,4),E16/$S14)</f>
        <v>#DIV/0!</v>
      </c>
      <c r="F14" s="195">
        <f ca="1">IF(B14&lt;=ORÇAMENTO.MáximoListaCrono,MATCH(B14,ORÇAMENTO.ListaCrono,0),NA())</f>
        <v>1</v>
      </c>
      <c r="G14" s="195" t="str">
        <f t="shared" ref="G14" ca="1" si="4">IF(AND($F15&lt;&gt;-1,$S14&gt;0),"F","")</f>
        <v/>
      </c>
      <c r="H14" s="199" t="str">
        <f ca="1">IF(OR(S14=0,S14=""),"Linha",IF(AND(OR(ACOMPANHAMENTO="PLE",$R14&lt;&gt;2),$F15=0),"Linha",ROUND(1-SUM(U14:AG14),4)))</f>
        <v>Linha</v>
      </c>
      <c r="I14" s="200" t="str">
        <f ca="1">IF($F15=0,OFFSET(ORÇAMENTO!O$15,$F14,0),IF($F15&lt;&gt;-1,OFFSET(QCI!$D$13,$F15,0),""))</f>
        <v>1.</v>
      </c>
      <c r="J14" s="201" t="str">
        <f ca="1">IF($F15=0,OFFSET(ORÇAMENTO!R$15,$F14,0),IF($F15&lt;&gt;-1,OFFSET(QCI!$G$13,$F15,0),""))</f>
        <v>REFORMA E AMPLIAÇÃO DE PAVILHÃO</v>
      </c>
      <c r="K14" s="201"/>
      <c r="L14" s="201"/>
      <c r="M14" s="202">
        <f ca="1">IF($F15=0,OFFSET(ORÇAMENTO!C$15,$F14,0),1)</f>
        <v>1</v>
      </c>
      <c r="N14" s="203">
        <f ca="1">IF($F15=-1,0,IF(N$13&lt;=$M14,IF(ISERROR(MATCH(N$13,OFFSET($M14,1,0,ROW($M$92)-ROW($M14)-1),0)),ROW($M$92)-ROW($M14)-1,MATCH(N$13,OFFSET($M14,1,0,ROW($M$92)-ROW($M14)-1),0)-1),0))</f>
        <v>8</v>
      </c>
      <c r="O14" s="203">
        <f ca="1">IF($F15=-1,0,IF(O$13&lt;=$M14,IF(ISERROR(MATCH(O$13,OFFSET($M14,1,0,ROW($M$92)-ROW($M14)-1),0)),ROW($M$92)-ROW($M14)-1,MATCH(O$13,OFFSET($M14,1,0,ROW($M$92)-ROW($M14)-1),0)-1),0))</f>
        <v>0</v>
      </c>
      <c r="P14" s="203">
        <f ca="1">IF($F15=-1,0,IF(P$13&lt;=$M14,IF(ISERROR(MATCH(P$13,OFFSET($M14,1,0,ROW($M$92)-ROW($M14)-1),0)),ROW($M$92)-ROW($M14)-1,MATCH(P$13,OFFSET($M14,1,0,ROW($M$92)-ROW($M14)-1),0)-1),0))</f>
        <v>0</v>
      </c>
      <c r="Q14" s="203">
        <f ca="1">IF($F15=-1,0,IF(Q$13&lt;=$M14,IF(ISERROR(MATCH(Q$13,OFFSET($M14,1,0,ROW($M$92)-ROW($M14)-1),0)),ROW($M$92)-ROW($M14)-1,MATCH(Q$13,OFFSET($M14,1,0,ROW($M$92)-ROW($M14)-1),0)-1),0))</f>
        <v>0</v>
      </c>
      <c r="R14" s="203">
        <f t="shared" ref="R14" ca="1" si="5">MIN(OFFSET(M14,0,1,,M14))</f>
        <v>8</v>
      </c>
      <c r="S14" s="204">
        <f ca="1">IF($F15=0,OFFSET(ORÇAMENTO!X$15,$F14,0),IF($F15&lt;&gt;-1,OFFSET(QCI!$O$13,$F15,0),""))</f>
        <v>0</v>
      </c>
      <c r="T14" s="205" t="s">
        <v>266</v>
      </c>
      <c r="U14" s="198" t="e">
        <f ca="1">IF(AND($R14=2,ACOMPANHAMENTO="BM"),ROUND(U15,4),U16/$S14)</f>
        <v>#DIV/0!</v>
      </c>
      <c r="V14" s="198" t="e">
        <f ca="1">IF(AND($R14=2,ACOMPANHAMENTO="BM"),ROUND(V15,4),V16/$S14)</f>
        <v>#DIV/0!</v>
      </c>
      <c r="W14" s="198" t="e">
        <f ca="1">IF(AND($R14=2,ACOMPANHAMENTO="BM"),ROUND(W15,4),W16/$S14)</f>
        <v>#DIV/0!</v>
      </c>
      <c r="X14" s="198" t="e">
        <f ca="1">IF(AND($R14=2,ACOMPANHAMENTO="BM"),ROUND(X15,4),X16/$S14)</f>
        <v>#DIV/0!</v>
      </c>
      <c r="Y14" s="198" t="e">
        <f ca="1">IF(AND($R14=2,ACOMPANHAMENTO="BM"),ROUND(Y15,4),Y16/$S14)</f>
        <v>#DIV/0!</v>
      </c>
      <c r="Z14" s="198" t="e">
        <f ca="1">IF(AND($R14=2,ACOMPANHAMENTO="BM"),ROUND(Z15,4),Z16/$S14)</f>
        <v>#DIV/0!</v>
      </c>
      <c r="AA14" s="198" t="e">
        <f ca="1">IF(AND($R14=2,ACOMPANHAMENTO="BM"),ROUND(AA15,4),AA16/$S14)</f>
        <v>#DIV/0!</v>
      </c>
      <c r="AB14" s="198" t="e">
        <f ca="1">IF(AND($R14=2,ACOMPANHAMENTO="BM"),ROUND(AB15,4),AB16/$S14)</f>
        <v>#DIV/0!</v>
      </c>
      <c r="AC14" s="198" t="e">
        <f ca="1">IF(AND($R14=2,ACOMPANHAMENTO="BM"),ROUND(AC15,4),AC16/$S14)</f>
        <v>#DIV/0!</v>
      </c>
      <c r="AD14" s="198" t="e">
        <f ca="1">IF(AND($R14=2,ACOMPANHAMENTO="BM"),ROUND(AD15,4),AD16/$S14)</f>
        <v>#DIV/0!</v>
      </c>
      <c r="AE14" s="198" t="e">
        <f ca="1">IF(AND($R14=2,ACOMPANHAMENTO="BM"),ROUND(AE15,4),AE16/$S14)</f>
        <v>#DIV/0!</v>
      </c>
      <c r="AF14" s="198" t="e">
        <f ca="1">IF(AND($R14=2,ACOMPANHAMENTO="BM"),ROUND(AF15,4),AF16/$S14)</f>
        <v>#DIV/0!</v>
      </c>
      <c r="AG14" s="577"/>
    </row>
    <row r="15" spans="1:33" ht="12.75" hidden="1" customHeight="1" x14ac:dyDescent="0.2">
      <c r="E15" s="646"/>
      <c r="F15" s="195">
        <f ca="1">IF(ISERROR(F14),IF(1+COUNTIF($M$13:OFFSET(M14,-1,0),1)&lt;=MAX(QCI!$D$13:$D$24),1+COUNTIF($M$13:OFFSET(M14,-1,0),1),-1),0)</f>
        <v>0</v>
      </c>
      <c r="G15" s="195" t="str">
        <f ca="1">IF(ACOMPANHAMENTO="BM",OFFSET(G15,-1,0),"")</f>
        <v/>
      </c>
      <c r="H15" s="206" t="str">
        <f ca="1">IF(OR(S14=0,S14=""),"vazia",IF(AND(OR(ACOMPANHAMENTO="PLE",$R14&lt;&gt;2),$F15=0),"calculada","--&gt;"))</f>
        <v>vazia</v>
      </c>
      <c r="I15" s="207"/>
      <c r="J15" s="208" t="str">
        <f t="shared" ref="J15" ca="1" si="6">IF(AND(H14&lt;&gt;0,ISNUMBER(H14)),"PREENCHA ESTA LINHA --&gt;","")</f>
        <v/>
      </c>
      <c r="K15" s="208"/>
      <c r="L15" s="208"/>
      <c r="M15" s="209"/>
      <c r="N15" s="209"/>
      <c r="O15" s="209"/>
      <c r="P15" s="209"/>
      <c r="Q15" s="209"/>
      <c r="R15" s="209"/>
      <c r="S15" s="210"/>
      <c r="T15" s="211"/>
      <c r="U15" s="646"/>
      <c r="V15" s="646"/>
      <c r="W15" s="646"/>
      <c r="X15" s="646"/>
      <c r="Y15" s="646"/>
      <c r="Z15" s="646"/>
      <c r="AA15" s="646"/>
      <c r="AB15" s="646"/>
      <c r="AC15" s="646"/>
      <c r="AD15" s="646"/>
      <c r="AE15" s="646"/>
      <c r="AF15" s="646"/>
      <c r="AG15" s="577"/>
    </row>
    <row r="16" spans="1:33" ht="12.75" hidden="1" customHeight="1" x14ac:dyDescent="0.2">
      <c r="D16" s="576"/>
      <c r="E16" s="212">
        <f ca="1">IF($R14=2,
         IF(AND(ACOMPANHAMENTO="PLE",ISNUMBER($F14)),
                SUMIF((OFFSET(CÁLCULO!$AM$15:$AW$15,$F14,0,OFFSET(ORÇAMENTO!$D$15,CRONO!$F14,0))),CRONO!E$12,OFFSET(CÁLCULO!$AB$15:$AL$15,$F14,0,OFFSET(ORÇAMENTO!$D$15,CRONO!$F14,0)))
                +IF(AND($F16&lt;&gt;"",$F16&lt;&gt;0),
                        SUMIF(CÁLCULO!$AM$15:$AW$89,CRONO!E$12,CÁLCULO!$AB$15:$AL$89)/(ORÇAMENTO!$X$15-CÁLCULO.TotalAdmLocal)*CRONO!$F16,
                        0),
                 E15*$S14),
          SUMIF(OFFSET($S16,1,0,$R14-2),($M14+1)&amp;"$",OFFSET(E16,1,0,$R14-2)))</f>
        <v>0</v>
      </c>
      <c r="F16" s="195" t="str">
        <f ca="1">IF(OR($R14&lt;&gt;2,AUTOEVENTO&lt;&gt;"manual",$F15&gt;0),"",
        IF(Import.TipoArredondamento="Tradicional",
              SUMIF(OFFSET(CÁLCULO!$M$15,CRONO!$F14,0,OFFSET(ORÇAMENTO!$D$15,CRONO!$F14,0)),1,OFFSET(ORÇAMENTO!$X$15,CRONO!$F14,0,OFFSET(ORÇAMENTO!$D$15,CRONO!$F14,0))),
              0))</f>
        <v/>
      </c>
      <c r="H16" s="213"/>
      <c r="S16" s="214" t="str">
        <f t="shared" ref="S16" ca="1" si="7">M14&amp;"$"</f>
        <v>1$</v>
      </c>
      <c r="T16" s="215"/>
      <c r="U16" s="212">
        <f ca="1">IF($R14=2,
         IF(AND(ACOMPANHAMENTO="PLE",ISNUMBER($F14)),
                SUMIF((OFFSET(CÁLCULO!$AM$15:$AW$15,$F14,0,OFFSET(ORÇAMENTO!$D$15,CRONO!$F14,0))),CRONO!U$12,OFFSET(CÁLCULO!$AB$15:$AL$15,$F14,0,OFFSET(ORÇAMENTO!$D$15,CRONO!$F14,0)))
                +IF(AND($F16&lt;&gt;"",$F16&lt;&gt;0),
                        SUMIF(CÁLCULO!$AM$15:$AW$89,CRONO!U$12,CÁLCULO!$AB$15:$AL$89)/(ORÇAMENTO!$X$15-CÁLCULO.TotalAdmLocal)*CRONO!$F16,
                        0),
                 U15*$S14),
          SUMIF(OFFSET($S16,1,0,$R14-2),($M14+1)&amp;"$",OFFSET(U16,1,0,$R14-2)))</f>
        <v>0</v>
      </c>
      <c r="V16" s="212">
        <f ca="1">IF($R14=2,
         IF(AND(ACOMPANHAMENTO="PLE",ISNUMBER($F14)),
                SUMIF((OFFSET(CÁLCULO!$AM$15:$AW$15,$F14,0,OFFSET(ORÇAMENTO!$D$15,CRONO!$F14,0))),CRONO!V$12,OFFSET(CÁLCULO!$AB$15:$AL$15,$F14,0,OFFSET(ORÇAMENTO!$D$15,CRONO!$F14,0)))
                +IF(AND($F16&lt;&gt;"",$F16&lt;&gt;0),
                        SUMIF(CÁLCULO!$AM$15:$AW$89,CRONO!V$12,CÁLCULO!$AB$15:$AL$89)/(ORÇAMENTO!$X$15-CÁLCULO.TotalAdmLocal)*CRONO!$F16,
                        0),
                 V15*$S14),
          SUMIF(OFFSET($S16,1,0,$R14-2),($M14+1)&amp;"$",OFFSET(V16,1,0,$R14-2)))</f>
        <v>0</v>
      </c>
      <c r="W16" s="212">
        <f ca="1">IF($R14=2,
         IF(AND(ACOMPANHAMENTO="PLE",ISNUMBER($F14)),
                SUMIF((OFFSET(CÁLCULO!$AM$15:$AW$15,$F14,0,OFFSET(ORÇAMENTO!$D$15,CRONO!$F14,0))),CRONO!W$12,OFFSET(CÁLCULO!$AB$15:$AL$15,$F14,0,OFFSET(ORÇAMENTO!$D$15,CRONO!$F14,0)))
                +IF(AND($F16&lt;&gt;"",$F16&lt;&gt;0),
                        SUMIF(CÁLCULO!$AM$15:$AW$89,CRONO!W$12,CÁLCULO!$AB$15:$AL$89)/(ORÇAMENTO!$X$15-CÁLCULO.TotalAdmLocal)*CRONO!$F16,
                        0),
                 W15*$S14),
          SUMIF(OFFSET($S16,1,0,$R14-2),($M14+1)&amp;"$",OFFSET(W16,1,0,$R14-2)))</f>
        <v>0</v>
      </c>
      <c r="X16" s="212">
        <f ca="1">IF($R14=2,
         IF(AND(ACOMPANHAMENTO="PLE",ISNUMBER($F14)),
                SUMIF((OFFSET(CÁLCULO!$AM$15:$AW$15,$F14,0,OFFSET(ORÇAMENTO!$D$15,CRONO!$F14,0))),CRONO!X$12,OFFSET(CÁLCULO!$AB$15:$AL$15,$F14,0,OFFSET(ORÇAMENTO!$D$15,CRONO!$F14,0)))
                +IF(AND($F16&lt;&gt;"",$F16&lt;&gt;0),
                        SUMIF(CÁLCULO!$AM$15:$AW$89,CRONO!X$12,CÁLCULO!$AB$15:$AL$89)/(ORÇAMENTO!$X$15-CÁLCULO.TotalAdmLocal)*CRONO!$F16,
                        0),
                 X15*$S14),
          SUMIF(OFFSET($S16,1,0,$R14-2),($M14+1)&amp;"$",OFFSET(X16,1,0,$R14-2)))</f>
        <v>0</v>
      </c>
      <c r="Y16" s="212">
        <f ca="1">IF($R14=2,
         IF(AND(ACOMPANHAMENTO="PLE",ISNUMBER($F14)),
                SUMIF((OFFSET(CÁLCULO!$AM$15:$AW$15,$F14,0,OFFSET(ORÇAMENTO!$D$15,CRONO!$F14,0))),CRONO!Y$12,OFFSET(CÁLCULO!$AB$15:$AL$15,$F14,0,OFFSET(ORÇAMENTO!$D$15,CRONO!$F14,0)))
                +IF(AND($F16&lt;&gt;"",$F16&lt;&gt;0),
                        SUMIF(CÁLCULO!$AM$15:$AW$89,CRONO!Y$12,CÁLCULO!$AB$15:$AL$89)/(ORÇAMENTO!$X$15-CÁLCULO.TotalAdmLocal)*CRONO!$F16,
                        0),
                 Y15*$S14),
          SUMIF(OFFSET($S16,1,0,$R14-2),($M14+1)&amp;"$",OFFSET(Y16,1,0,$R14-2)))</f>
        <v>0</v>
      </c>
      <c r="Z16" s="212">
        <f ca="1">IF($R14=2,
         IF(AND(ACOMPANHAMENTO="PLE",ISNUMBER($F14)),
                SUMIF((OFFSET(CÁLCULO!$AM$15:$AW$15,$F14,0,OFFSET(ORÇAMENTO!$D$15,CRONO!$F14,0))),CRONO!Z$12,OFFSET(CÁLCULO!$AB$15:$AL$15,$F14,0,OFFSET(ORÇAMENTO!$D$15,CRONO!$F14,0)))
                +IF(AND($F16&lt;&gt;"",$F16&lt;&gt;0),
                        SUMIF(CÁLCULO!$AM$15:$AW$89,CRONO!Z$12,CÁLCULO!$AB$15:$AL$89)/(ORÇAMENTO!$X$15-CÁLCULO.TotalAdmLocal)*CRONO!$F16,
                        0),
                 Z15*$S14),
          SUMIF(OFFSET($S16,1,0,$R14-2),($M14+1)&amp;"$",OFFSET(Z16,1,0,$R14-2)))</f>
        <v>0</v>
      </c>
      <c r="AA16" s="212">
        <f ca="1">IF($R14=2,
         IF(AND(ACOMPANHAMENTO="PLE",ISNUMBER($F14)),
                SUMIF((OFFSET(CÁLCULO!$AM$15:$AW$15,$F14,0,OFFSET(ORÇAMENTO!$D$15,CRONO!$F14,0))),CRONO!AA$12,OFFSET(CÁLCULO!$AB$15:$AL$15,$F14,0,OFFSET(ORÇAMENTO!$D$15,CRONO!$F14,0)))
                +IF(AND($F16&lt;&gt;"",$F16&lt;&gt;0),
                        SUMIF(CÁLCULO!$AM$15:$AW$89,CRONO!AA$12,CÁLCULO!$AB$15:$AL$89)/(ORÇAMENTO!$X$15-CÁLCULO.TotalAdmLocal)*CRONO!$F16,
                        0),
                 AA15*$S14),
          SUMIF(OFFSET($S16,1,0,$R14-2),($M14+1)&amp;"$",OFFSET(AA16,1,0,$R14-2)))</f>
        <v>0</v>
      </c>
      <c r="AB16" s="212">
        <f ca="1">IF($R14=2,
         IF(AND(ACOMPANHAMENTO="PLE",ISNUMBER($F14)),
                SUMIF((OFFSET(CÁLCULO!$AM$15:$AW$15,$F14,0,OFFSET(ORÇAMENTO!$D$15,CRONO!$F14,0))),CRONO!AB$12,OFFSET(CÁLCULO!$AB$15:$AL$15,$F14,0,OFFSET(ORÇAMENTO!$D$15,CRONO!$F14,0)))
                +IF(AND($F16&lt;&gt;"",$F16&lt;&gt;0),
                        SUMIF(CÁLCULO!$AM$15:$AW$89,CRONO!AB$12,CÁLCULO!$AB$15:$AL$89)/(ORÇAMENTO!$X$15-CÁLCULO.TotalAdmLocal)*CRONO!$F16,
                        0),
                 AB15*$S14),
          SUMIF(OFFSET($S16,1,0,$R14-2),($M14+1)&amp;"$",OFFSET(AB16,1,0,$R14-2)))</f>
        <v>0</v>
      </c>
      <c r="AC16" s="212">
        <f ca="1">IF($R14=2,
         IF(AND(ACOMPANHAMENTO="PLE",ISNUMBER($F14)),
                SUMIF((OFFSET(CÁLCULO!$AM$15:$AW$15,$F14,0,OFFSET(ORÇAMENTO!$D$15,CRONO!$F14,0))),CRONO!AC$12,OFFSET(CÁLCULO!$AB$15:$AL$15,$F14,0,OFFSET(ORÇAMENTO!$D$15,CRONO!$F14,0)))
                +IF(AND($F16&lt;&gt;"",$F16&lt;&gt;0),
                        SUMIF(CÁLCULO!$AM$15:$AW$89,CRONO!AC$12,CÁLCULO!$AB$15:$AL$89)/(ORÇAMENTO!$X$15-CÁLCULO.TotalAdmLocal)*CRONO!$F16,
                        0),
                 AC15*$S14),
          SUMIF(OFFSET($S16,1,0,$R14-2),($M14+1)&amp;"$",OFFSET(AC16,1,0,$R14-2)))</f>
        <v>0</v>
      </c>
      <c r="AD16" s="212">
        <f ca="1">IF($R14=2,
         IF(AND(ACOMPANHAMENTO="PLE",ISNUMBER($F14)),
                SUMIF((OFFSET(CÁLCULO!$AM$15:$AW$15,$F14,0,OFFSET(ORÇAMENTO!$D$15,CRONO!$F14,0))),CRONO!AD$12,OFFSET(CÁLCULO!$AB$15:$AL$15,$F14,0,OFFSET(ORÇAMENTO!$D$15,CRONO!$F14,0)))
                +IF(AND($F16&lt;&gt;"",$F16&lt;&gt;0),
                        SUMIF(CÁLCULO!$AM$15:$AW$89,CRONO!AD$12,CÁLCULO!$AB$15:$AL$89)/(ORÇAMENTO!$X$15-CÁLCULO.TotalAdmLocal)*CRONO!$F16,
                        0),
                 AD15*$S14),
          SUMIF(OFFSET($S16,1,0,$R14-2),($M14+1)&amp;"$",OFFSET(AD16,1,0,$R14-2)))</f>
        <v>0</v>
      </c>
      <c r="AE16" s="212">
        <f ca="1">IF($R14=2,
         IF(AND(ACOMPANHAMENTO="PLE",ISNUMBER($F14)),
                SUMIF((OFFSET(CÁLCULO!$AM$15:$AW$15,$F14,0,OFFSET(ORÇAMENTO!$D$15,CRONO!$F14,0))),CRONO!AE$12,OFFSET(CÁLCULO!$AB$15:$AL$15,$F14,0,OFFSET(ORÇAMENTO!$D$15,CRONO!$F14,0)))
                +IF(AND($F16&lt;&gt;"",$F16&lt;&gt;0),
                        SUMIF(CÁLCULO!$AM$15:$AW$89,CRONO!AE$12,CÁLCULO!$AB$15:$AL$89)/(ORÇAMENTO!$X$15-CÁLCULO.TotalAdmLocal)*CRONO!$F16,
                        0),
                 AE15*$S14),
          SUMIF(OFFSET($S16,1,0,$R14-2),($M14+1)&amp;"$",OFFSET(AE16,1,0,$R14-2)))</f>
        <v>0</v>
      </c>
      <c r="AF16" s="212">
        <f ca="1">IF($R14=2,
         IF(AND(ACOMPANHAMENTO="PLE",ISNUMBER($F14)),
                SUMIF((OFFSET(CÁLCULO!$AM$15:$AW$15,$F14,0,OFFSET(ORÇAMENTO!$D$15,CRONO!$F14,0))),CRONO!AF$12,OFFSET(CÁLCULO!$AB$15:$AL$15,$F14,0,OFFSET(ORÇAMENTO!$D$15,CRONO!$F14,0)))
                +IF(AND($F16&lt;&gt;"",$F16&lt;&gt;0),
                        SUMIF(CÁLCULO!$AM$15:$AW$89,CRONO!AF$12,CÁLCULO!$AB$15:$AL$89)/(ORÇAMENTO!$X$15-CÁLCULO.TotalAdmLocal)*CRONO!$F16,
                        0),
                 AF15*$S14),
          SUMIF(OFFSET($S16,1,0,$R14-2),($M14+1)&amp;"$",OFFSET(AF16,1,0,$R14-2)))</f>
        <v>0</v>
      </c>
      <c r="AG16" s="577"/>
    </row>
    <row r="17" spans="1:33" x14ac:dyDescent="0.2">
      <c r="A17" s="196" t="str">
        <f t="shared" ref="A17" ca="1" si="8">IF($M17&gt;1,CONCATENATE($I17," ",$J17),"")</f>
        <v xml:space="preserve">1.1. SERVIÇOS PRELIMINARES </v>
      </c>
      <c r="B17" s="195">
        <f t="shared" ref="B17" ca="1" si="9">OFFSET(B17,-3,0)+1</f>
        <v>2</v>
      </c>
      <c r="C17" s="195">
        <f ca="1">IF($R17&lt;&gt;2,0,IF($S17=0,1,IF(F18&gt;0,OFFSET(QCI!$M$13,SUBSTITUTE(F18,".",""),0),OFFSET(ORÇAMENTO!$AA$15,CRONO!$F17,0))/$S17))</f>
        <v>1</v>
      </c>
      <c r="D17" s="195">
        <f ca="1">IF($R17&lt;&gt;2,0,IF($S17=0,1,IF(F18&gt;0,OFFSET(QCI!$N$13,SUBSTITUTE(F18,".",""),0),OFFSET(ORÇAMENTO!$AB$15,CRONO!$F17,0))/$S17))</f>
        <v>1</v>
      </c>
      <c r="E17" s="198" t="e">
        <f ca="1">IF(AND($R17=2,ACOMPANHAMENTO="BM"),ROUND(E18,4),E19/$S17)</f>
        <v>#DIV/0!</v>
      </c>
      <c r="F17" s="195">
        <f ca="1">IF(B17&lt;=ORÇAMENTO.MáximoListaCrono,MATCH(B17,ORÇAMENTO.ListaCrono,0),NA())</f>
        <v>2</v>
      </c>
      <c r="G17" s="195" t="str">
        <f t="shared" ref="G17" ca="1" si="10">IF(AND($F18&lt;&gt;-1,$S17&gt;0),"F","")</f>
        <v/>
      </c>
      <c r="H17" s="199" t="str">
        <f ca="1">IF(OR(S17=0,S17=""),"Linha",IF(AND(OR(ACOMPANHAMENTO="PLE",$R17&lt;&gt;2),$F18=0),"Linha",ROUND(1-SUM(U17:AG17),4)))</f>
        <v>Linha</v>
      </c>
      <c r="I17" s="200" t="str">
        <f ca="1">IF($F18=0,OFFSET(ORÇAMENTO!O$15,$F17,0),IF($F18&lt;&gt;-1,OFFSET(QCI!$D$13,$F18,0),""))</f>
        <v>1.1.</v>
      </c>
      <c r="J17" s="201" t="str">
        <f ca="1">IF($F18=0,OFFSET(ORÇAMENTO!R$15,$F17,0),IF($F18&lt;&gt;-1,OFFSET(QCI!$G$13,$F18,0),""))</f>
        <v xml:space="preserve">SERVIÇOS PRELIMINARES </v>
      </c>
      <c r="K17" s="201"/>
      <c r="L17" s="201"/>
      <c r="M17" s="202">
        <f ca="1">IF($F18=0,OFFSET(ORÇAMENTO!C$15,$F17,0),1)</f>
        <v>2</v>
      </c>
      <c r="N17" s="203">
        <f ca="1">IF($F18=-1,0,IF(N$13&lt;=$M17,IF(ISERROR(MATCH(N$13,OFFSET($M17,1,0,ROW($M$92)-ROW($M17)-1),0)),ROW($M$92)-ROW($M17)-1,MATCH(N$13,OFFSET($M17,1,0,ROW($M$92)-ROW($M17)-1),0)-1),0))</f>
        <v>5</v>
      </c>
      <c r="O17" s="203">
        <f ca="1">IF($F18=-1,0,IF(O$13&lt;=$M17,IF(ISERROR(MATCH(O$13,OFFSET($M17,1,0,ROW($M$92)-ROW($M17)-1),0)),ROW($M$92)-ROW($M17)-1,MATCH(O$13,OFFSET($M17,1,0,ROW($M$92)-ROW($M17)-1),0)-1),0))</f>
        <v>2</v>
      </c>
      <c r="P17" s="203">
        <f ca="1">IF($F18=-1,0,IF(P$13&lt;=$M17,IF(ISERROR(MATCH(P$13,OFFSET($M17,1,0,ROW($M$92)-ROW($M17)-1),0)),ROW($M$92)-ROW($M17)-1,MATCH(P$13,OFFSET($M17,1,0,ROW($M$92)-ROW($M17)-1),0)-1),0))</f>
        <v>0</v>
      </c>
      <c r="Q17" s="203">
        <f ca="1">IF($F18=-1,0,IF(Q$13&lt;=$M17,IF(ISERROR(MATCH(Q$13,OFFSET($M17,1,0,ROW($M$92)-ROW($M17)-1),0)),ROW($M$92)-ROW($M17)-1,MATCH(Q$13,OFFSET($M17,1,0,ROW($M$92)-ROW($M17)-1),0)-1),0))</f>
        <v>0</v>
      </c>
      <c r="R17" s="203">
        <f t="shared" ref="R17" ca="1" si="11">MIN(OFFSET(M17,0,1,,M17))</f>
        <v>2</v>
      </c>
      <c r="S17" s="204">
        <f ca="1">IF($F18=0,OFFSET(ORÇAMENTO!X$15,$F17,0),IF($F18&lt;&gt;-1,OFFSET(QCI!$O$13,$F18,0),""))</f>
        <v>0</v>
      </c>
      <c r="T17" s="205" t="s">
        <v>266</v>
      </c>
      <c r="U17" s="198" t="e">
        <f ca="1">IF(AND($R17=2,ACOMPANHAMENTO="BM"),ROUND(U18,4),U19/$S17)</f>
        <v>#DIV/0!</v>
      </c>
      <c r="V17" s="198" t="e">
        <f ca="1">IF(AND($R17=2,ACOMPANHAMENTO="BM"),ROUND(V18,4),V19/$S17)</f>
        <v>#DIV/0!</v>
      </c>
      <c r="W17" s="198" t="e">
        <f ca="1">IF(AND($R17=2,ACOMPANHAMENTO="BM"),ROUND(W18,4),W19/$S17)</f>
        <v>#DIV/0!</v>
      </c>
      <c r="X17" s="198" t="e">
        <f ca="1">IF(AND($R17=2,ACOMPANHAMENTO="BM"),ROUND(X18,4),X19/$S17)</f>
        <v>#DIV/0!</v>
      </c>
      <c r="Y17" s="198" t="e">
        <f ca="1">IF(AND($R17=2,ACOMPANHAMENTO="BM"),ROUND(Y18,4),Y19/$S17)</f>
        <v>#DIV/0!</v>
      </c>
      <c r="Z17" s="198" t="e">
        <f ca="1">IF(AND($R17=2,ACOMPANHAMENTO="BM"),ROUND(Z18,4),Z19/$S17)</f>
        <v>#DIV/0!</v>
      </c>
      <c r="AA17" s="198" t="e">
        <f ca="1">IF(AND($R17=2,ACOMPANHAMENTO="BM"),ROUND(AA18,4),AA19/$S17)</f>
        <v>#DIV/0!</v>
      </c>
      <c r="AB17" s="198" t="e">
        <f ca="1">IF(AND($R17=2,ACOMPANHAMENTO="BM"),ROUND(AB18,4),AB19/$S17)</f>
        <v>#DIV/0!</v>
      </c>
      <c r="AC17" s="198" t="e">
        <f ca="1">IF(AND($R17=2,ACOMPANHAMENTO="BM"),ROUND(AC18,4),AC19/$S17)</f>
        <v>#DIV/0!</v>
      </c>
      <c r="AD17" s="198" t="e">
        <f ca="1">IF(AND($R17=2,ACOMPANHAMENTO="BM"),ROUND(AD18,4),AD19/$S17)</f>
        <v>#DIV/0!</v>
      </c>
      <c r="AE17" s="198" t="e">
        <f ca="1">IF(AND($R17=2,ACOMPANHAMENTO="BM"),ROUND(AE18,4),AE19/$S17)</f>
        <v>#DIV/0!</v>
      </c>
      <c r="AF17" s="198" t="e">
        <f ca="1">IF(AND($R17=2,ACOMPANHAMENTO="BM"),ROUND(AF18,4),AF19/$S17)</f>
        <v>#DIV/0!</v>
      </c>
      <c r="AG17" s="577"/>
    </row>
    <row r="18" spans="1:33" ht="12.75" hidden="1" customHeight="1" x14ac:dyDescent="0.2">
      <c r="E18" s="646"/>
      <c r="F18" s="195">
        <f ca="1">IF(ISERROR(F17),IF(1+COUNTIF($M$13:OFFSET(M17,-1,0),1)&lt;=MAX(QCI!$D$13:$D$24),1+COUNTIF($M$13:OFFSET(M17,-1,0),1),-1),0)</f>
        <v>0</v>
      </c>
      <c r="G18" s="195" t="str">
        <f ca="1">IF(ACOMPANHAMENTO="BM",OFFSET(G18,-1,0),"")</f>
        <v/>
      </c>
      <c r="H18" s="206" t="str">
        <f ca="1">IF(OR(S17=0,S17=""),"vazia",IF(AND(OR(ACOMPANHAMENTO="PLE",$R17&lt;&gt;2),$F18=0),"calculada","--&gt;"))</f>
        <v>vazia</v>
      </c>
      <c r="I18" s="207"/>
      <c r="J18" s="208" t="str">
        <f t="shared" ref="J18" ca="1" si="12">IF(AND(H17&lt;&gt;0,ISNUMBER(H17)),"PREENCHA ESTA LINHA --&gt;","")</f>
        <v/>
      </c>
      <c r="K18" s="208"/>
      <c r="L18" s="208"/>
      <c r="M18" s="209"/>
      <c r="N18" s="209"/>
      <c r="O18" s="209"/>
      <c r="P18" s="209"/>
      <c r="Q18" s="209"/>
      <c r="R18" s="209"/>
      <c r="S18" s="210"/>
      <c r="T18" s="211"/>
      <c r="U18" s="646"/>
      <c r="V18" s="646"/>
      <c r="W18" s="646"/>
      <c r="X18" s="646"/>
      <c r="Y18" s="646"/>
      <c r="Z18" s="646"/>
      <c r="AA18" s="646"/>
      <c r="AB18" s="646"/>
      <c r="AC18" s="646"/>
      <c r="AD18" s="646"/>
      <c r="AE18" s="646"/>
      <c r="AF18" s="646"/>
      <c r="AG18" s="577"/>
    </row>
    <row r="19" spans="1:33" ht="12.75" hidden="1" customHeight="1" x14ac:dyDescent="0.2">
      <c r="D19" s="576"/>
      <c r="E19" s="212">
        <f ca="1">IF($R17=2,
         IF(AND(ACOMPANHAMENTO="PLE",ISNUMBER($F17)),
                SUMIF((OFFSET(CÁLCULO!$AM$15:$AW$15,$F17,0,OFFSET(ORÇAMENTO!$D$15,CRONO!$F17,0))),CRONO!E$12,OFFSET(CÁLCULO!$AB$15:$AL$15,$F17,0,OFFSET(ORÇAMENTO!$D$15,CRONO!$F17,0)))
                +IF(AND($F19&lt;&gt;"",$F19&lt;&gt;0),
                        SUMIF(CÁLCULO!$AM$15:$AW$89,CRONO!E$12,CÁLCULO!$AB$15:$AL$89)/(ORÇAMENTO!$X$15-CÁLCULO.TotalAdmLocal)*CRONO!$F19,
                        0),
                 E18*$S17),
          SUMIF(OFFSET($S19,1,0,$R17-2),($M17+1)&amp;"$",OFFSET(E19,1,0,$R17-2)))</f>
        <v>0</v>
      </c>
      <c r="F19" s="195" t="str">
        <f ca="1">IF(OR($R17&lt;&gt;2,AUTOEVENTO&lt;&gt;"manual",$F18&gt;0),"",
        IF(Import.TipoArredondamento="Tradicional",
              SUMIF(OFFSET(CÁLCULO!$M$15,CRONO!$F17,0,OFFSET(ORÇAMENTO!$D$15,CRONO!$F17,0)),1,OFFSET(ORÇAMENTO!$X$15,CRONO!$F17,0,OFFSET(ORÇAMENTO!$D$15,CRONO!$F17,0))),
              0))</f>
        <v/>
      </c>
      <c r="H19" s="213"/>
      <c r="S19" s="214" t="str">
        <f t="shared" ref="S19" ca="1" si="13">M17&amp;"$"</f>
        <v>2$</v>
      </c>
      <c r="T19" s="215"/>
      <c r="U19" s="212">
        <f ca="1">IF($R17=2,
         IF(AND(ACOMPANHAMENTO="PLE",ISNUMBER($F17)),
                SUMIF((OFFSET(CÁLCULO!$AM$15:$AW$15,$F17,0,OFFSET(ORÇAMENTO!$D$15,CRONO!$F17,0))),CRONO!U$12,OFFSET(CÁLCULO!$AB$15:$AL$15,$F17,0,OFFSET(ORÇAMENTO!$D$15,CRONO!$F17,0)))
                +IF(AND($F19&lt;&gt;"",$F19&lt;&gt;0),
                        SUMIF(CÁLCULO!$AM$15:$AW$89,CRONO!U$12,CÁLCULO!$AB$15:$AL$89)/(ORÇAMENTO!$X$15-CÁLCULO.TotalAdmLocal)*CRONO!$F19,
                        0),
                 U18*$S17),
          SUMIF(OFFSET($S19,1,0,$R17-2),($M17+1)&amp;"$",OFFSET(U19,1,0,$R17-2)))</f>
        <v>0</v>
      </c>
      <c r="V19" s="212">
        <f ca="1">IF($R17=2,
         IF(AND(ACOMPANHAMENTO="PLE",ISNUMBER($F17)),
                SUMIF((OFFSET(CÁLCULO!$AM$15:$AW$15,$F17,0,OFFSET(ORÇAMENTO!$D$15,CRONO!$F17,0))),CRONO!V$12,OFFSET(CÁLCULO!$AB$15:$AL$15,$F17,0,OFFSET(ORÇAMENTO!$D$15,CRONO!$F17,0)))
                +IF(AND($F19&lt;&gt;"",$F19&lt;&gt;0),
                        SUMIF(CÁLCULO!$AM$15:$AW$89,CRONO!V$12,CÁLCULO!$AB$15:$AL$89)/(ORÇAMENTO!$X$15-CÁLCULO.TotalAdmLocal)*CRONO!$F19,
                        0),
                 V18*$S17),
          SUMIF(OFFSET($S19,1,0,$R17-2),($M17+1)&amp;"$",OFFSET(V19,1,0,$R17-2)))</f>
        <v>0</v>
      </c>
      <c r="W19" s="212">
        <f ca="1">IF($R17=2,
         IF(AND(ACOMPANHAMENTO="PLE",ISNUMBER($F17)),
                SUMIF((OFFSET(CÁLCULO!$AM$15:$AW$15,$F17,0,OFFSET(ORÇAMENTO!$D$15,CRONO!$F17,0))),CRONO!W$12,OFFSET(CÁLCULO!$AB$15:$AL$15,$F17,0,OFFSET(ORÇAMENTO!$D$15,CRONO!$F17,0)))
                +IF(AND($F19&lt;&gt;"",$F19&lt;&gt;0),
                        SUMIF(CÁLCULO!$AM$15:$AW$89,CRONO!W$12,CÁLCULO!$AB$15:$AL$89)/(ORÇAMENTO!$X$15-CÁLCULO.TotalAdmLocal)*CRONO!$F19,
                        0),
                 W18*$S17),
          SUMIF(OFFSET($S19,1,0,$R17-2),($M17+1)&amp;"$",OFFSET(W19,1,0,$R17-2)))</f>
        <v>0</v>
      </c>
      <c r="X19" s="212">
        <f ca="1">IF($R17=2,
         IF(AND(ACOMPANHAMENTO="PLE",ISNUMBER($F17)),
                SUMIF((OFFSET(CÁLCULO!$AM$15:$AW$15,$F17,0,OFFSET(ORÇAMENTO!$D$15,CRONO!$F17,0))),CRONO!X$12,OFFSET(CÁLCULO!$AB$15:$AL$15,$F17,0,OFFSET(ORÇAMENTO!$D$15,CRONO!$F17,0)))
                +IF(AND($F19&lt;&gt;"",$F19&lt;&gt;0),
                        SUMIF(CÁLCULO!$AM$15:$AW$89,CRONO!X$12,CÁLCULO!$AB$15:$AL$89)/(ORÇAMENTO!$X$15-CÁLCULO.TotalAdmLocal)*CRONO!$F19,
                        0),
                 X18*$S17),
          SUMIF(OFFSET($S19,1,0,$R17-2),($M17+1)&amp;"$",OFFSET(X19,1,0,$R17-2)))</f>
        <v>0</v>
      </c>
      <c r="Y19" s="212">
        <f ca="1">IF($R17=2,
         IF(AND(ACOMPANHAMENTO="PLE",ISNUMBER($F17)),
                SUMIF((OFFSET(CÁLCULO!$AM$15:$AW$15,$F17,0,OFFSET(ORÇAMENTO!$D$15,CRONO!$F17,0))),CRONO!Y$12,OFFSET(CÁLCULO!$AB$15:$AL$15,$F17,0,OFFSET(ORÇAMENTO!$D$15,CRONO!$F17,0)))
                +IF(AND($F19&lt;&gt;"",$F19&lt;&gt;0),
                        SUMIF(CÁLCULO!$AM$15:$AW$89,CRONO!Y$12,CÁLCULO!$AB$15:$AL$89)/(ORÇAMENTO!$X$15-CÁLCULO.TotalAdmLocal)*CRONO!$F19,
                        0),
                 Y18*$S17),
          SUMIF(OFFSET($S19,1,0,$R17-2),($M17+1)&amp;"$",OFFSET(Y19,1,0,$R17-2)))</f>
        <v>0</v>
      </c>
      <c r="Z19" s="212">
        <f ca="1">IF($R17=2,
         IF(AND(ACOMPANHAMENTO="PLE",ISNUMBER($F17)),
                SUMIF((OFFSET(CÁLCULO!$AM$15:$AW$15,$F17,0,OFFSET(ORÇAMENTO!$D$15,CRONO!$F17,0))),CRONO!Z$12,OFFSET(CÁLCULO!$AB$15:$AL$15,$F17,0,OFFSET(ORÇAMENTO!$D$15,CRONO!$F17,0)))
                +IF(AND($F19&lt;&gt;"",$F19&lt;&gt;0),
                        SUMIF(CÁLCULO!$AM$15:$AW$89,CRONO!Z$12,CÁLCULO!$AB$15:$AL$89)/(ORÇAMENTO!$X$15-CÁLCULO.TotalAdmLocal)*CRONO!$F19,
                        0),
                 Z18*$S17),
          SUMIF(OFFSET($S19,1,0,$R17-2),($M17+1)&amp;"$",OFFSET(Z19,1,0,$R17-2)))</f>
        <v>0</v>
      </c>
      <c r="AA19" s="212">
        <f ca="1">IF($R17=2,
         IF(AND(ACOMPANHAMENTO="PLE",ISNUMBER($F17)),
                SUMIF((OFFSET(CÁLCULO!$AM$15:$AW$15,$F17,0,OFFSET(ORÇAMENTO!$D$15,CRONO!$F17,0))),CRONO!AA$12,OFFSET(CÁLCULO!$AB$15:$AL$15,$F17,0,OFFSET(ORÇAMENTO!$D$15,CRONO!$F17,0)))
                +IF(AND($F19&lt;&gt;"",$F19&lt;&gt;0),
                        SUMIF(CÁLCULO!$AM$15:$AW$89,CRONO!AA$12,CÁLCULO!$AB$15:$AL$89)/(ORÇAMENTO!$X$15-CÁLCULO.TotalAdmLocal)*CRONO!$F19,
                        0),
                 AA18*$S17),
          SUMIF(OFFSET($S19,1,0,$R17-2),($M17+1)&amp;"$",OFFSET(AA19,1,0,$R17-2)))</f>
        <v>0</v>
      </c>
      <c r="AB19" s="212">
        <f ca="1">IF($R17=2,
         IF(AND(ACOMPANHAMENTO="PLE",ISNUMBER($F17)),
                SUMIF((OFFSET(CÁLCULO!$AM$15:$AW$15,$F17,0,OFFSET(ORÇAMENTO!$D$15,CRONO!$F17,0))),CRONO!AB$12,OFFSET(CÁLCULO!$AB$15:$AL$15,$F17,0,OFFSET(ORÇAMENTO!$D$15,CRONO!$F17,0)))
                +IF(AND($F19&lt;&gt;"",$F19&lt;&gt;0),
                        SUMIF(CÁLCULO!$AM$15:$AW$89,CRONO!AB$12,CÁLCULO!$AB$15:$AL$89)/(ORÇAMENTO!$X$15-CÁLCULO.TotalAdmLocal)*CRONO!$F19,
                        0),
                 AB18*$S17),
          SUMIF(OFFSET($S19,1,0,$R17-2),($M17+1)&amp;"$",OFFSET(AB19,1,0,$R17-2)))</f>
        <v>0</v>
      </c>
      <c r="AC19" s="212">
        <f ca="1">IF($R17=2,
         IF(AND(ACOMPANHAMENTO="PLE",ISNUMBER($F17)),
                SUMIF((OFFSET(CÁLCULO!$AM$15:$AW$15,$F17,0,OFFSET(ORÇAMENTO!$D$15,CRONO!$F17,0))),CRONO!AC$12,OFFSET(CÁLCULO!$AB$15:$AL$15,$F17,0,OFFSET(ORÇAMENTO!$D$15,CRONO!$F17,0)))
                +IF(AND($F19&lt;&gt;"",$F19&lt;&gt;0),
                        SUMIF(CÁLCULO!$AM$15:$AW$89,CRONO!AC$12,CÁLCULO!$AB$15:$AL$89)/(ORÇAMENTO!$X$15-CÁLCULO.TotalAdmLocal)*CRONO!$F19,
                        0),
                 AC18*$S17),
          SUMIF(OFFSET($S19,1,0,$R17-2),($M17+1)&amp;"$",OFFSET(AC19,1,0,$R17-2)))</f>
        <v>0</v>
      </c>
      <c r="AD19" s="212">
        <f ca="1">IF($R17=2,
         IF(AND(ACOMPANHAMENTO="PLE",ISNUMBER($F17)),
                SUMIF((OFFSET(CÁLCULO!$AM$15:$AW$15,$F17,0,OFFSET(ORÇAMENTO!$D$15,CRONO!$F17,0))),CRONO!AD$12,OFFSET(CÁLCULO!$AB$15:$AL$15,$F17,0,OFFSET(ORÇAMENTO!$D$15,CRONO!$F17,0)))
                +IF(AND($F19&lt;&gt;"",$F19&lt;&gt;0),
                        SUMIF(CÁLCULO!$AM$15:$AW$89,CRONO!AD$12,CÁLCULO!$AB$15:$AL$89)/(ORÇAMENTO!$X$15-CÁLCULO.TotalAdmLocal)*CRONO!$F19,
                        0),
                 AD18*$S17),
          SUMIF(OFFSET($S19,1,0,$R17-2),($M17+1)&amp;"$",OFFSET(AD19,1,0,$R17-2)))</f>
        <v>0</v>
      </c>
      <c r="AE19" s="212">
        <f ca="1">IF($R17=2,
         IF(AND(ACOMPANHAMENTO="PLE",ISNUMBER($F17)),
                SUMIF((OFFSET(CÁLCULO!$AM$15:$AW$15,$F17,0,OFFSET(ORÇAMENTO!$D$15,CRONO!$F17,0))),CRONO!AE$12,OFFSET(CÁLCULO!$AB$15:$AL$15,$F17,0,OFFSET(ORÇAMENTO!$D$15,CRONO!$F17,0)))
                +IF(AND($F19&lt;&gt;"",$F19&lt;&gt;0),
                        SUMIF(CÁLCULO!$AM$15:$AW$89,CRONO!AE$12,CÁLCULO!$AB$15:$AL$89)/(ORÇAMENTO!$X$15-CÁLCULO.TotalAdmLocal)*CRONO!$F19,
                        0),
                 AE18*$S17),
          SUMIF(OFFSET($S19,1,0,$R17-2),($M17+1)&amp;"$",OFFSET(AE19,1,0,$R17-2)))</f>
        <v>0</v>
      </c>
      <c r="AF19" s="212">
        <f ca="1">IF($R17=2,
         IF(AND(ACOMPANHAMENTO="PLE",ISNUMBER($F17)),
                SUMIF((OFFSET(CÁLCULO!$AM$15:$AW$15,$F17,0,OFFSET(ORÇAMENTO!$D$15,CRONO!$F17,0))),CRONO!AF$12,OFFSET(CÁLCULO!$AB$15:$AL$15,$F17,0,OFFSET(ORÇAMENTO!$D$15,CRONO!$F17,0)))
                +IF(AND($F19&lt;&gt;"",$F19&lt;&gt;0),
                        SUMIF(CÁLCULO!$AM$15:$AW$89,CRONO!AF$12,CÁLCULO!$AB$15:$AL$89)/(ORÇAMENTO!$X$15-CÁLCULO.TotalAdmLocal)*CRONO!$F19,
                        0),
                 AF18*$S17),
          SUMIF(OFFSET($S19,1,0,$R17-2),($M17+1)&amp;"$",OFFSET(AF19,1,0,$R17-2)))</f>
        <v>0</v>
      </c>
      <c r="AG19" s="577"/>
    </row>
    <row r="20" spans="1:33" x14ac:dyDescent="0.2">
      <c r="A20" s="196" t="str">
        <f t="shared" ref="A20" ca="1" si="14">IF($M20&gt;1,CONCATENATE($I20," ",$J20),"")</f>
        <v>1.2. ESTRUTURA METÁLICA - PILARES</v>
      </c>
      <c r="B20" s="195">
        <f t="shared" ref="B20" ca="1" si="15">OFFSET(B20,-3,0)+1</f>
        <v>3</v>
      </c>
      <c r="C20" s="195">
        <f ca="1">IF($R20&lt;&gt;2,0,IF($S20=0,1,IF(F21&gt;0,OFFSET(QCI!$M$13,SUBSTITUTE(F21,".",""),0),OFFSET(ORÇAMENTO!$AA$15,CRONO!$F20,0))/$S20))</f>
        <v>1</v>
      </c>
      <c r="D20" s="195">
        <f ca="1">IF($R20&lt;&gt;2,0,IF($S20=0,1,IF(F21&gt;0,OFFSET(QCI!$N$13,SUBSTITUTE(F21,".",""),0),OFFSET(ORÇAMENTO!$AB$15,CRONO!$F20,0))/$S20))</f>
        <v>1</v>
      </c>
      <c r="E20" s="198" t="e">
        <f ca="1">IF(AND($R20=2,ACOMPANHAMENTO="BM"),ROUND(E21,4),E22/$S20)</f>
        <v>#DIV/0!</v>
      </c>
      <c r="F20" s="195">
        <f ca="1">IF(B20&lt;=ORÇAMENTO.MáximoListaCrono,MATCH(B20,ORÇAMENTO.ListaCrono,0),NA())</f>
        <v>5</v>
      </c>
      <c r="G20" s="195" t="str">
        <f t="shared" ref="G20" ca="1" si="16">IF(AND($F21&lt;&gt;-1,$S20&gt;0),"F","")</f>
        <v/>
      </c>
      <c r="H20" s="199" t="str">
        <f ca="1">IF(OR(S20=0,S20=""),"Linha",IF(AND(OR(ACOMPANHAMENTO="PLE",$R20&lt;&gt;2),$F21=0),"Linha",ROUND(1-SUM(U20:AG20),4)))</f>
        <v>Linha</v>
      </c>
      <c r="I20" s="200" t="str">
        <f ca="1">IF($F21=0,OFFSET(ORÇAMENTO!O$15,$F20,0),IF($F21&lt;&gt;-1,OFFSET(QCI!$D$13,$F21,0),""))</f>
        <v>1.2.</v>
      </c>
      <c r="J20" s="201" t="str">
        <f ca="1">IF($F21=0,OFFSET(ORÇAMENTO!R$15,$F20,0),IF($F21&lt;&gt;-1,OFFSET(QCI!$G$13,$F21,0),""))</f>
        <v>ESTRUTURA METÁLICA - PILARES</v>
      </c>
      <c r="K20" s="201"/>
      <c r="L20" s="201"/>
      <c r="M20" s="202">
        <f ca="1">IF($F21=0,OFFSET(ORÇAMENTO!C$15,$F20,0),1)</f>
        <v>2</v>
      </c>
      <c r="N20" s="203">
        <f ca="1">IF($F21=-1,0,IF(N$13&lt;=$M20,IF(ISERROR(MATCH(N$13,OFFSET($M20,1,0,ROW($M$92)-ROW($M20)-1),0)),ROW($M$92)-ROW($M20)-1,MATCH(N$13,OFFSET($M20,1,0,ROW($M$92)-ROW($M20)-1),0)-1),0))</f>
        <v>2</v>
      </c>
      <c r="O20" s="203">
        <f ca="1">IF($F21=-1,0,IF(O$13&lt;=$M20,IF(ISERROR(MATCH(O$13,OFFSET($M20,1,0,ROW($M$92)-ROW($M20)-1),0)),ROW($M$92)-ROW($M20)-1,MATCH(O$13,OFFSET($M20,1,0,ROW($M$92)-ROW($M20)-1),0)-1),0))</f>
        <v>5</v>
      </c>
      <c r="P20" s="203">
        <f ca="1">IF($F21=-1,0,IF(P$13&lt;=$M20,IF(ISERROR(MATCH(P$13,OFFSET($M20,1,0,ROW($M$92)-ROW($M20)-1),0)),ROW($M$92)-ROW($M20)-1,MATCH(P$13,OFFSET($M20,1,0,ROW($M$92)-ROW($M20)-1),0)-1),0))</f>
        <v>0</v>
      </c>
      <c r="Q20" s="203">
        <f ca="1">IF($F21=-1,0,IF(Q$13&lt;=$M20,IF(ISERROR(MATCH(Q$13,OFFSET($M20,1,0,ROW($M$92)-ROW($M20)-1),0)),ROW($M$92)-ROW($M20)-1,MATCH(Q$13,OFFSET($M20,1,0,ROW($M$92)-ROW($M20)-1),0)-1),0))</f>
        <v>0</v>
      </c>
      <c r="R20" s="203">
        <f t="shared" ref="R20" ca="1" si="17">MIN(OFFSET(M20,0,1,,M20))</f>
        <v>2</v>
      </c>
      <c r="S20" s="204">
        <f ca="1">IF($F21=0,OFFSET(ORÇAMENTO!X$15,$F20,0),IF($F21&lt;&gt;-1,OFFSET(QCI!$O$13,$F21,0),""))</f>
        <v>0</v>
      </c>
      <c r="T20" s="205" t="s">
        <v>266</v>
      </c>
      <c r="U20" s="198" t="e">
        <f ca="1">IF(AND($R20=2,ACOMPANHAMENTO="BM"),ROUND(U21,4),U22/$S20)</f>
        <v>#DIV/0!</v>
      </c>
      <c r="V20" s="198" t="e">
        <f ca="1">IF(AND($R20=2,ACOMPANHAMENTO="BM"),ROUND(V21,4),V22/$S20)</f>
        <v>#DIV/0!</v>
      </c>
      <c r="W20" s="198" t="e">
        <f ca="1">IF(AND($R20=2,ACOMPANHAMENTO="BM"),ROUND(W21,4),W22/$S20)</f>
        <v>#DIV/0!</v>
      </c>
      <c r="X20" s="198" t="e">
        <f ca="1">IF(AND($R20=2,ACOMPANHAMENTO="BM"),ROUND(X21,4),X22/$S20)</f>
        <v>#DIV/0!</v>
      </c>
      <c r="Y20" s="198" t="e">
        <f ca="1">IF(AND($R20=2,ACOMPANHAMENTO="BM"),ROUND(Y21,4),Y22/$S20)</f>
        <v>#DIV/0!</v>
      </c>
      <c r="Z20" s="198" t="e">
        <f ca="1">IF(AND($R20=2,ACOMPANHAMENTO="BM"),ROUND(Z21,4),Z22/$S20)</f>
        <v>#DIV/0!</v>
      </c>
      <c r="AA20" s="198" t="e">
        <f ca="1">IF(AND($R20=2,ACOMPANHAMENTO="BM"),ROUND(AA21,4),AA22/$S20)</f>
        <v>#DIV/0!</v>
      </c>
      <c r="AB20" s="198" t="e">
        <f ca="1">IF(AND($R20=2,ACOMPANHAMENTO="BM"),ROUND(AB21,4),AB22/$S20)</f>
        <v>#DIV/0!</v>
      </c>
      <c r="AC20" s="198" t="e">
        <f ca="1">IF(AND($R20=2,ACOMPANHAMENTO="BM"),ROUND(AC21,4),AC22/$S20)</f>
        <v>#DIV/0!</v>
      </c>
      <c r="AD20" s="198" t="e">
        <f ca="1">IF(AND($R20=2,ACOMPANHAMENTO="BM"),ROUND(AD21,4),AD22/$S20)</f>
        <v>#DIV/0!</v>
      </c>
      <c r="AE20" s="198" t="e">
        <f ca="1">IF(AND($R20=2,ACOMPANHAMENTO="BM"),ROUND(AE21,4),AE22/$S20)</f>
        <v>#DIV/0!</v>
      </c>
      <c r="AF20" s="198" t="e">
        <f ca="1">IF(AND($R20=2,ACOMPANHAMENTO="BM"),ROUND(AF21,4),AF22/$S20)</f>
        <v>#DIV/0!</v>
      </c>
      <c r="AG20" s="577"/>
    </row>
    <row r="21" spans="1:33" ht="12.75" hidden="1" customHeight="1" x14ac:dyDescent="0.2">
      <c r="E21" s="646"/>
      <c r="F21" s="195">
        <f ca="1">IF(ISERROR(F20),IF(1+COUNTIF($M$13:OFFSET(M20,-1,0),1)&lt;=MAX(QCI!$D$13:$D$24),1+COUNTIF($M$13:OFFSET(M20,-1,0),1),-1),0)</f>
        <v>0</v>
      </c>
      <c r="G21" s="195" t="str">
        <f ca="1">IF(ACOMPANHAMENTO="BM",OFFSET(G21,-1,0),"")</f>
        <v/>
      </c>
      <c r="H21" s="206" t="str">
        <f ca="1">IF(OR(S20=0,S20=""),"vazia",IF(AND(OR(ACOMPANHAMENTO="PLE",$R20&lt;&gt;2),$F21=0),"calculada","--&gt;"))</f>
        <v>vazia</v>
      </c>
      <c r="I21" s="207"/>
      <c r="J21" s="208" t="str">
        <f t="shared" ref="J21" ca="1" si="18">IF(AND(H20&lt;&gt;0,ISNUMBER(H20)),"PREENCHA ESTA LINHA --&gt;","")</f>
        <v/>
      </c>
      <c r="K21" s="208"/>
      <c r="L21" s="208"/>
      <c r="M21" s="209"/>
      <c r="N21" s="209"/>
      <c r="O21" s="209"/>
      <c r="P21" s="209"/>
      <c r="Q21" s="209"/>
      <c r="R21" s="209"/>
      <c r="S21" s="210"/>
      <c r="T21" s="211"/>
      <c r="U21" s="646"/>
      <c r="V21" s="646"/>
      <c r="W21" s="646"/>
      <c r="X21" s="646"/>
      <c r="Y21" s="646"/>
      <c r="Z21" s="646"/>
      <c r="AA21" s="646"/>
      <c r="AB21" s="646"/>
      <c r="AC21" s="646"/>
      <c r="AD21" s="646"/>
      <c r="AE21" s="646"/>
      <c r="AF21" s="646"/>
      <c r="AG21" s="577"/>
    </row>
    <row r="22" spans="1:33" ht="12.75" hidden="1" customHeight="1" x14ac:dyDescent="0.2">
      <c r="D22" s="576"/>
      <c r="E22" s="212">
        <f ca="1">IF($R20=2,
         IF(AND(ACOMPANHAMENTO="PLE",ISNUMBER($F20)),
                SUMIF((OFFSET(CÁLCULO!$AM$15:$AW$15,$F20,0,OFFSET(ORÇAMENTO!$D$15,CRONO!$F20,0))),CRONO!E$12,OFFSET(CÁLCULO!$AB$15:$AL$15,$F20,0,OFFSET(ORÇAMENTO!$D$15,CRONO!$F20,0)))
                +IF(AND($F22&lt;&gt;"",$F22&lt;&gt;0),
                        SUMIF(CÁLCULO!$AM$15:$AW$89,CRONO!E$12,CÁLCULO!$AB$15:$AL$89)/(ORÇAMENTO!$X$15-CÁLCULO.TotalAdmLocal)*CRONO!$F22,
                        0),
                 E21*$S20),
          SUMIF(OFFSET($S22,1,0,$R20-2),($M20+1)&amp;"$",OFFSET(E22,1,0,$R20-2)))</f>
        <v>0</v>
      </c>
      <c r="F22" s="195" t="str">
        <f ca="1">IF(OR($R20&lt;&gt;2,AUTOEVENTO&lt;&gt;"manual",$F21&gt;0),"",
        IF(Import.TipoArredondamento="Tradicional",
              SUMIF(OFFSET(CÁLCULO!$M$15,CRONO!$F20,0,OFFSET(ORÇAMENTO!$D$15,CRONO!$F20,0)),1,OFFSET(ORÇAMENTO!$X$15,CRONO!$F20,0,OFFSET(ORÇAMENTO!$D$15,CRONO!$F20,0))),
              0))</f>
        <v/>
      </c>
      <c r="H22" s="213"/>
      <c r="S22" s="214" t="str">
        <f t="shared" ref="S22" ca="1" si="19">M20&amp;"$"</f>
        <v>2$</v>
      </c>
      <c r="T22" s="215"/>
      <c r="U22" s="212">
        <f ca="1">IF($R20=2,
         IF(AND(ACOMPANHAMENTO="PLE",ISNUMBER($F20)),
                SUMIF((OFFSET(CÁLCULO!$AM$15:$AW$15,$F20,0,OFFSET(ORÇAMENTO!$D$15,CRONO!$F20,0))),CRONO!U$12,OFFSET(CÁLCULO!$AB$15:$AL$15,$F20,0,OFFSET(ORÇAMENTO!$D$15,CRONO!$F20,0)))
                +IF(AND($F22&lt;&gt;"",$F22&lt;&gt;0),
                        SUMIF(CÁLCULO!$AM$15:$AW$89,CRONO!U$12,CÁLCULO!$AB$15:$AL$89)/(ORÇAMENTO!$X$15-CÁLCULO.TotalAdmLocal)*CRONO!$F22,
                        0),
                 U21*$S20),
          SUMIF(OFFSET($S22,1,0,$R20-2),($M20+1)&amp;"$",OFFSET(U22,1,0,$R20-2)))</f>
        <v>0</v>
      </c>
      <c r="V22" s="212">
        <f ca="1">IF($R20=2,
         IF(AND(ACOMPANHAMENTO="PLE",ISNUMBER($F20)),
                SUMIF((OFFSET(CÁLCULO!$AM$15:$AW$15,$F20,0,OFFSET(ORÇAMENTO!$D$15,CRONO!$F20,0))),CRONO!V$12,OFFSET(CÁLCULO!$AB$15:$AL$15,$F20,0,OFFSET(ORÇAMENTO!$D$15,CRONO!$F20,0)))
                +IF(AND($F22&lt;&gt;"",$F22&lt;&gt;0),
                        SUMIF(CÁLCULO!$AM$15:$AW$89,CRONO!V$12,CÁLCULO!$AB$15:$AL$89)/(ORÇAMENTO!$X$15-CÁLCULO.TotalAdmLocal)*CRONO!$F22,
                        0),
                 V21*$S20),
          SUMIF(OFFSET($S22,1,0,$R20-2),($M20+1)&amp;"$",OFFSET(V22,1,0,$R20-2)))</f>
        <v>0</v>
      </c>
      <c r="W22" s="212">
        <f ca="1">IF($R20=2,
         IF(AND(ACOMPANHAMENTO="PLE",ISNUMBER($F20)),
                SUMIF((OFFSET(CÁLCULO!$AM$15:$AW$15,$F20,0,OFFSET(ORÇAMENTO!$D$15,CRONO!$F20,0))),CRONO!W$12,OFFSET(CÁLCULO!$AB$15:$AL$15,$F20,0,OFFSET(ORÇAMENTO!$D$15,CRONO!$F20,0)))
                +IF(AND($F22&lt;&gt;"",$F22&lt;&gt;0),
                        SUMIF(CÁLCULO!$AM$15:$AW$89,CRONO!W$12,CÁLCULO!$AB$15:$AL$89)/(ORÇAMENTO!$X$15-CÁLCULO.TotalAdmLocal)*CRONO!$F22,
                        0),
                 W21*$S20),
          SUMIF(OFFSET($S22,1,0,$R20-2),($M20+1)&amp;"$",OFFSET(W22,1,0,$R20-2)))</f>
        <v>0</v>
      </c>
      <c r="X22" s="212">
        <f ca="1">IF($R20=2,
         IF(AND(ACOMPANHAMENTO="PLE",ISNUMBER($F20)),
                SUMIF((OFFSET(CÁLCULO!$AM$15:$AW$15,$F20,0,OFFSET(ORÇAMENTO!$D$15,CRONO!$F20,0))),CRONO!X$12,OFFSET(CÁLCULO!$AB$15:$AL$15,$F20,0,OFFSET(ORÇAMENTO!$D$15,CRONO!$F20,0)))
                +IF(AND($F22&lt;&gt;"",$F22&lt;&gt;0),
                        SUMIF(CÁLCULO!$AM$15:$AW$89,CRONO!X$12,CÁLCULO!$AB$15:$AL$89)/(ORÇAMENTO!$X$15-CÁLCULO.TotalAdmLocal)*CRONO!$F22,
                        0),
                 X21*$S20),
          SUMIF(OFFSET($S22,1,0,$R20-2),($M20+1)&amp;"$",OFFSET(X22,1,0,$R20-2)))</f>
        <v>0</v>
      </c>
      <c r="Y22" s="212">
        <f ca="1">IF($R20=2,
         IF(AND(ACOMPANHAMENTO="PLE",ISNUMBER($F20)),
                SUMIF((OFFSET(CÁLCULO!$AM$15:$AW$15,$F20,0,OFFSET(ORÇAMENTO!$D$15,CRONO!$F20,0))),CRONO!Y$12,OFFSET(CÁLCULO!$AB$15:$AL$15,$F20,0,OFFSET(ORÇAMENTO!$D$15,CRONO!$F20,0)))
                +IF(AND($F22&lt;&gt;"",$F22&lt;&gt;0),
                        SUMIF(CÁLCULO!$AM$15:$AW$89,CRONO!Y$12,CÁLCULO!$AB$15:$AL$89)/(ORÇAMENTO!$X$15-CÁLCULO.TotalAdmLocal)*CRONO!$F22,
                        0),
                 Y21*$S20),
          SUMIF(OFFSET($S22,1,0,$R20-2),($M20+1)&amp;"$",OFFSET(Y22,1,0,$R20-2)))</f>
        <v>0</v>
      </c>
      <c r="Z22" s="212">
        <f ca="1">IF($R20=2,
         IF(AND(ACOMPANHAMENTO="PLE",ISNUMBER($F20)),
                SUMIF((OFFSET(CÁLCULO!$AM$15:$AW$15,$F20,0,OFFSET(ORÇAMENTO!$D$15,CRONO!$F20,0))),CRONO!Z$12,OFFSET(CÁLCULO!$AB$15:$AL$15,$F20,0,OFFSET(ORÇAMENTO!$D$15,CRONO!$F20,0)))
                +IF(AND($F22&lt;&gt;"",$F22&lt;&gt;0),
                        SUMIF(CÁLCULO!$AM$15:$AW$89,CRONO!Z$12,CÁLCULO!$AB$15:$AL$89)/(ORÇAMENTO!$X$15-CÁLCULO.TotalAdmLocal)*CRONO!$F22,
                        0),
                 Z21*$S20),
          SUMIF(OFFSET($S22,1,0,$R20-2),($M20+1)&amp;"$",OFFSET(Z22,1,0,$R20-2)))</f>
        <v>0</v>
      </c>
      <c r="AA22" s="212">
        <f ca="1">IF($R20=2,
         IF(AND(ACOMPANHAMENTO="PLE",ISNUMBER($F20)),
                SUMIF((OFFSET(CÁLCULO!$AM$15:$AW$15,$F20,0,OFFSET(ORÇAMENTO!$D$15,CRONO!$F20,0))),CRONO!AA$12,OFFSET(CÁLCULO!$AB$15:$AL$15,$F20,0,OFFSET(ORÇAMENTO!$D$15,CRONO!$F20,0)))
                +IF(AND($F22&lt;&gt;"",$F22&lt;&gt;0),
                        SUMIF(CÁLCULO!$AM$15:$AW$89,CRONO!AA$12,CÁLCULO!$AB$15:$AL$89)/(ORÇAMENTO!$X$15-CÁLCULO.TotalAdmLocal)*CRONO!$F22,
                        0),
                 AA21*$S20),
          SUMIF(OFFSET($S22,1,0,$R20-2),($M20+1)&amp;"$",OFFSET(AA22,1,0,$R20-2)))</f>
        <v>0</v>
      </c>
      <c r="AB22" s="212">
        <f ca="1">IF($R20=2,
         IF(AND(ACOMPANHAMENTO="PLE",ISNUMBER($F20)),
                SUMIF((OFFSET(CÁLCULO!$AM$15:$AW$15,$F20,0,OFFSET(ORÇAMENTO!$D$15,CRONO!$F20,0))),CRONO!AB$12,OFFSET(CÁLCULO!$AB$15:$AL$15,$F20,0,OFFSET(ORÇAMENTO!$D$15,CRONO!$F20,0)))
                +IF(AND($F22&lt;&gt;"",$F22&lt;&gt;0),
                        SUMIF(CÁLCULO!$AM$15:$AW$89,CRONO!AB$12,CÁLCULO!$AB$15:$AL$89)/(ORÇAMENTO!$X$15-CÁLCULO.TotalAdmLocal)*CRONO!$F22,
                        0),
                 AB21*$S20),
          SUMIF(OFFSET($S22,1,0,$R20-2),($M20+1)&amp;"$",OFFSET(AB22,1,0,$R20-2)))</f>
        <v>0</v>
      </c>
      <c r="AC22" s="212">
        <f ca="1">IF($R20=2,
         IF(AND(ACOMPANHAMENTO="PLE",ISNUMBER($F20)),
                SUMIF((OFFSET(CÁLCULO!$AM$15:$AW$15,$F20,0,OFFSET(ORÇAMENTO!$D$15,CRONO!$F20,0))),CRONO!AC$12,OFFSET(CÁLCULO!$AB$15:$AL$15,$F20,0,OFFSET(ORÇAMENTO!$D$15,CRONO!$F20,0)))
                +IF(AND($F22&lt;&gt;"",$F22&lt;&gt;0),
                        SUMIF(CÁLCULO!$AM$15:$AW$89,CRONO!AC$12,CÁLCULO!$AB$15:$AL$89)/(ORÇAMENTO!$X$15-CÁLCULO.TotalAdmLocal)*CRONO!$F22,
                        0),
                 AC21*$S20),
          SUMIF(OFFSET($S22,1,0,$R20-2),($M20+1)&amp;"$",OFFSET(AC22,1,0,$R20-2)))</f>
        <v>0</v>
      </c>
      <c r="AD22" s="212">
        <f ca="1">IF($R20=2,
         IF(AND(ACOMPANHAMENTO="PLE",ISNUMBER($F20)),
                SUMIF((OFFSET(CÁLCULO!$AM$15:$AW$15,$F20,0,OFFSET(ORÇAMENTO!$D$15,CRONO!$F20,0))),CRONO!AD$12,OFFSET(CÁLCULO!$AB$15:$AL$15,$F20,0,OFFSET(ORÇAMENTO!$D$15,CRONO!$F20,0)))
                +IF(AND($F22&lt;&gt;"",$F22&lt;&gt;0),
                        SUMIF(CÁLCULO!$AM$15:$AW$89,CRONO!AD$12,CÁLCULO!$AB$15:$AL$89)/(ORÇAMENTO!$X$15-CÁLCULO.TotalAdmLocal)*CRONO!$F22,
                        0),
                 AD21*$S20),
          SUMIF(OFFSET($S22,1,0,$R20-2),($M20+1)&amp;"$",OFFSET(AD22,1,0,$R20-2)))</f>
        <v>0</v>
      </c>
      <c r="AE22" s="212">
        <f ca="1">IF($R20=2,
         IF(AND(ACOMPANHAMENTO="PLE",ISNUMBER($F20)),
                SUMIF((OFFSET(CÁLCULO!$AM$15:$AW$15,$F20,0,OFFSET(ORÇAMENTO!$D$15,CRONO!$F20,0))),CRONO!AE$12,OFFSET(CÁLCULO!$AB$15:$AL$15,$F20,0,OFFSET(ORÇAMENTO!$D$15,CRONO!$F20,0)))
                +IF(AND($F22&lt;&gt;"",$F22&lt;&gt;0),
                        SUMIF(CÁLCULO!$AM$15:$AW$89,CRONO!AE$12,CÁLCULO!$AB$15:$AL$89)/(ORÇAMENTO!$X$15-CÁLCULO.TotalAdmLocal)*CRONO!$F22,
                        0),
                 AE21*$S20),
          SUMIF(OFFSET($S22,1,0,$R20-2),($M20+1)&amp;"$",OFFSET(AE22,1,0,$R20-2)))</f>
        <v>0</v>
      </c>
      <c r="AF22" s="212">
        <f ca="1">IF($R20=2,
         IF(AND(ACOMPANHAMENTO="PLE",ISNUMBER($F20)),
                SUMIF((OFFSET(CÁLCULO!$AM$15:$AW$15,$F20,0,OFFSET(ORÇAMENTO!$D$15,CRONO!$F20,0))),CRONO!AF$12,OFFSET(CÁLCULO!$AB$15:$AL$15,$F20,0,OFFSET(ORÇAMENTO!$D$15,CRONO!$F20,0)))
                +IF(AND($F22&lt;&gt;"",$F22&lt;&gt;0),
                        SUMIF(CÁLCULO!$AM$15:$AW$89,CRONO!AF$12,CÁLCULO!$AB$15:$AL$89)/(ORÇAMENTO!$X$15-CÁLCULO.TotalAdmLocal)*CRONO!$F22,
                        0),
                 AF21*$S20),
          SUMIF(OFFSET($S22,1,0,$R20-2),($M20+1)&amp;"$",OFFSET(AF22,1,0,$R20-2)))</f>
        <v>0</v>
      </c>
      <c r="AG22" s="577"/>
    </row>
    <row r="23" spans="1:33" x14ac:dyDescent="0.2">
      <c r="A23" s="196" t="str">
        <f t="shared" ref="A23" ca="1" si="20">IF($M23&gt;1,CONCATENATE($I23," ",$J23),"")</f>
        <v/>
      </c>
      <c r="B23" s="195">
        <f t="shared" ref="B23" ca="1" si="21">OFFSET(B23,-3,0)+1</f>
        <v>4</v>
      </c>
      <c r="C23" s="195">
        <f ca="1">IF($R23&lt;&gt;2,0,IF($S23=0,1,IF(F24&gt;0,OFFSET(QCI!$M$13,SUBSTITUTE(F24,".",""),0),OFFSET(ORÇAMENTO!$AA$15,CRONO!$F23,0))/$S23))</f>
        <v>0</v>
      </c>
      <c r="D23" s="195">
        <f ca="1">IF($R23&lt;&gt;2,0,IF($S23=0,1,IF(F24&gt;0,OFFSET(QCI!$N$13,SUBSTITUTE(F24,".",""),0),OFFSET(ORÇAMENTO!$AB$15,CRONO!$F23,0))/$S23))</f>
        <v>0</v>
      </c>
      <c r="E23" s="198" t="e">
        <f ca="1">IF(AND($R23=2,ACOMPANHAMENTO="BM"),ROUND(E24,4),E25/$S23)</f>
        <v>#DIV/0!</v>
      </c>
      <c r="F23" s="195">
        <f ca="1">IF(B23&lt;=ORÇAMENTO.MáximoListaCrono,MATCH(B23,ORÇAMENTO.ListaCrono,0),NA())</f>
        <v>14</v>
      </c>
      <c r="G23" s="195" t="str">
        <f t="shared" ref="G23" ca="1" si="22">IF(AND($F24&lt;&gt;-1,$S23&gt;0),"F","")</f>
        <v/>
      </c>
      <c r="H23" s="199" t="str">
        <f ca="1">IF(OR(S23=0,S23=""),"Linha",IF(AND(OR(ACOMPANHAMENTO="PLE",$R23&lt;&gt;2),$F24=0),"Linha",ROUND(1-SUM(U23:AG23),4)))</f>
        <v>Linha</v>
      </c>
      <c r="I23" s="200" t="str">
        <f ca="1">IF($F24=0,OFFSET(ORÇAMENTO!O$15,$F23,0),IF($F24&lt;&gt;-1,OFFSET(QCI!$D$13,$F24,0),""))</f>
        <v>2.</v>
      </c>
      <c r="J23" s="201" t="str">
        <f ca="1">IF($F24=0,OFFSET(ORÇAMENTO!R$15,$F23,0),IF($F24&lt;&gt;-1,OFFSET(QCI!$G$13,$F24,0),""))</f>
        <v>CONSTRUÇÃO DA CHURRASQUEIRA</v>
      </c>
      <c r="K23" s="201"/>
      <c r="L23" s="201"/>
      <c r="M23" s="202">
        <f ca="1">IF($F24=0,OFFSET(ORÇAMENTO!C$15,$F23,0),1)</f>
        <v>1</v>
      </c>
      <c r="N23" s="203">
        <f ca="1">IF($F24=-1,0,IF(N$13&lt;=$M23,IF(ISERROR(MATCH(N$13,OFFSET($M23,1,0,ROW($M$92)-ROW($M23)-1),0)),ROW($M$92)-ROW($M23)-1,MATCH(N$13,OFFSET($M23,1,0,ROW($M$92)-ROW($M23)-1),0)-1),0))</f>
        <v>26</v>
      </c>
      <c r="O23" s="203">
        <f ca="1">IF($F24=-1,0,IF(O$13&lt;=$M23,IF(ISERROR(MATCH(O$13,OFFSET($M23,1,0,ROW($M$92)-ROW($M23)-1),0)),ROW($M$92)-ROW($M23)-1,MATCH(O$13,OFFSET($M23,1,0,ROW($M$92)-ROW($M23)-1),0)-1),0))</f>
        <v>0</v>
      </c>
      <c r="P23" s="203">
        <f ca="1">IF($F24=-1,0,IF(P$13&lt;=$M23,IF(ISERROR(MATCH(P$13,OFFSET($M23,1,0,ROW($M$92)-ROW($M23)-1),0)),ROW($M$92)-ROW($M23)-1,MATCH(P$13,OFFSET($M23,1,0,ROW($M$92)-ROW($M23)-1),0)-1),0))</f>
        <v>0</v>
      </c>
      <c r="Q23" s="203">
        <f ca="1">IF($F24=-1,0,IF(Q$13&lt;=$M23,IF(ISERROR(MATCH(Q$13,OFFSET($M23,1,0,ROW($M$92)-ROW($M23)-1),0)),ROW($M$92)-ROW($M23)-1,MATCH(Q$13,OFFSET($M23,1,0,ROW($M$92)-ROW($M23)-1),0)-1),0))</f>
        <v>0</v>
      </c>
      <c r="R23" s="203">
        <f t="shared" ref="R23" ca="1" si="23">MIN(OFFSET(M23,0,1,,M23))</f>
        <v>26</v>
      </c>
      <c r="S23" s="204">
        <f ca="1">IF($F24=0,OFFSET(ORÇAMENTO!X$15,$F23,0),IF($F24&lt;&gt;-1,OFFSET(QCI!$O$13,$F24,0),""))</f>
        <v>0</v>
      </c>
      <c r="T23" s="205" t="s">
        <v>266</v>
      </c>
      <c r="U23" s="198" t="e">
        <f ca="1">IF(AND($R23=2,ACOMPANHAMENTO="BM"),ROUND(U24,4),U25/$S23)</f>
        <v>#DIV/0!</v>
      </c>
      <c r="V23" s="198" t="e">
        <f ca="1">IF(AND($R23=2,ACOMPANHAMENTO="BM"),ROUND(V24,4),V25/$S23)</f>
        <v>#DIV/0!</v>
      </c>
      <c r="W23" s="198" t="e">
        <f ca="1">IF(AND($R23=2,ACOMPANHAMENTO="BM"),ROUND(W24,4),W25/$S23)</f>
        <v>#DIV/0!</v>
      </c>
      <c r="X23" s="198" t="e">
        <f ca="1">IF(AND($R23=2,ACOMPANHAMENTO="BM"),ROUND(X24,4),X25/$S23)</f>
        <v>#DIV/0!</v>
      </c>
      <c r="Y23" s="198" t="e">
        <f ca="1">IF(AND($R23=2,ACOMPANHAMENTO="BM"),ROUND(Y24,4),Y25/$S23)</f>
        <v>#DIV/0!</v>
      </c>
      <c r="Z23" s="198" t="e">
        <f ca="1">IF(AND($R23=2,ACOMPANHAMENTO="BM"),ROUND(Z24,4),Z25/$S23)</f>
        <v>#DIV/0!</v>
      </c>
      <c r="AA23" s="198" t="e">
        <f ca="1">IF(AND($R23=2,ACOMPANHAMENTO="BM"),ROUND(AA24,4),AA25/$S23)</f>
        <v>#DIV/0!</v>
      </c>
      <c r="AB23" s="198" t="e">
        <f ca="1">IF(AND($R23=2,ACOMPANHAMENTO="BM"),ROUND(AB24,4),AB25/$S23)</f>
        <v>#DIV/0!</v>
      </c>
      <c r="AC23" s="198" t="e">
        <f ca="1">IF(AND($R23=2,ACOMPANHAMENTO="BM"),ROUND(AC24,4),AC25/$S23)</f>
        <v>#DIV/0!</v>
      </c>
      <c r="AD23" s="198" t="e">
        <f ca="1">IF(AND($R23=2,ACOMPANHAMENTO="BM"),ROUND(AD24,4),AD25/$S23)</f>
        <v>#DIV/0!</v>
      </c>
      <c r="AE23" s="198" t="e">
        <f ca="1">IF(AND($R23=2,ACOMPANHAMENTO="BM"),ROUND(AE24,4),AE25/$S23)</f>
        <v>#DIV/0!</v>
      </c>
      <c r="AF23" s="198" t="e">
        <f ca="1">IF(AND($R23=2,ACOMPANHAMENTO="BM"),ROUND(AF24,4),AF25/$S23)</f>
        <v>#DIV/0!</v>
      </c>
      <c r="AG23" s="577"/>
    </row>
    <row r="24" spans="1:33" ht="12.75" hidden="1" customHeight="1" x14ac:dyDescent="0.2">
      <c r="E24" s="646"/>
      <c r="F24" s="195">
        <f ca="1">IF(ISERROR(F23),IF(1+COUNTIF($M$13:OFFSET(M23,-1,0),1)&lt;=MAX(QCI!$D$13:$D$24),1+COUNTIF($M$13:OFFSET(M23,-1,0),1),-1),0)</f>
        <v>0</v>
      </c>
      <c r="G24" s="195" t="str">
        <f ca="1">IF(ACOMPANHAMENTO="BM",OFFSET(G24,-1,0),"")</f>
        <v/>
      </c>
      <c r="H24" s="206" t="str">
        <f ca="1">IF(OR(S23=0,S23=""),"vazia",IF(AND(OR(ACOMPANHAMENTO="PLE",$R23&lt;&gt;2),$F24=0),"calculada","--&gt;"))</f>
        <v>vazia</v>
      </c>
      <c r="I24" s="207"/>
      <c r="J24" s="208" t="str">
        <f t="shared" ref="J24" ca="1" si="24">IF(AND(H23&lt;&gt;0,ISNUMBER(H23)),"PREENCHA ESTA LINHA --&gt;","")</f>
        <v/>
      </c>
      <c r="K24" s="208"/>
      <c r="L24" s="208"/>
      <c r="M24" s="209"/>
      <c r="N24" s="209"/>
      <c r="O24" s="209"/>
      <c r="P24" s="209"/>
      <c r="Q24" s="209"/>
      <c r="R24" s="209"/>
      <c r="S24" s="210"/>
      <c r="T24" s="211"/>
      <c r="U24" s="646"/>
      <c r="V24" s="646"/>
      <c r="W24" s="646"/>
      <c r="X24" s="646"/>
      <c r="Y24" s="646"/>
      <c r="Z24" s="646"/>
      <c r="AA24" s="646"/>
      <c r="AB24" s="646"/>
      <c r="AC24" s="646"/>
      <c r="AD24" s="646"/>
      <c r="AE24" s="646"/>
      <c r="AF24" s="646"/>
      <c r="AG24" s="577"/>
    </row>
    <row r="25" spans="1:33" ht="12.75" hidden="1" customHeight="1" x14ac:dyDescent="0.2">
      <c r="D25" s="576"/>
      <c r="E25" s="212">
        <f ca="1">IF($R23=2,
         IF(AND(ACOMPANHAMENTO="PLE",ISNUMBER($F23)),
                SUMIF((OFFSET(CÁLCULO!$AM$15:$AW$15,$F23,0,OFFSET(ORÇAMENTO!$D$15,CRONO!$F23,0))),CRONO!E$12,OFFSET(CÁLCULO!$AB$15:$AL$15,$F23,0,OFFSET(ORÇAMENTO!$D$15,CRONO!$F23,0)))
                +IF(AND($F25&lt;&gt;"",$F25&lt;&gt;0),
                        SUMIF(CÁLCULO!$AM$15:$AW$89,CRONO!E$12,CÁLCULO!$AB$15:$AL$89)/(ORÇAMENTO!$X$15-CÁLCULO.TotalAdmLocal)*CRONO!$F25,
                        0),
                 E24*$S23),
          SUMIF(OFFSET($S25,1,0,$R23-2),($M23+1)&amp;"$",OFFSET(E25,1,0,$R23-2)))</f>
        <v>0</v>
      </c>
      <c r="F25" s="195" t="str">
        <f ca="1">IF(OR($R23&lt;&gt;2,AUTOEVENTO&lt;&gt;"manual",$F24&gt;0),"",
        IF(Import.TipoArredondamento="Tradicional",
              SUMIF(OFFSET(CÁLCULO!$M$15,CRONO!$F23,0,OFFSET(ORÇAMENTO!$D$15,CRONO!$F23,0)),1,OFFSET(ORÇAMENTO!$X$15,CRONO!$F23,0,OFFSET(ORÇAMENTO!$D$15,CRONO!$F23,0))),
              0))</f>
        <v/>
      </c>
      <c r="H25" s="213"/>
      <c r="S25" s="214" t="str">
        <f t="shared" ref="S25" ca="1" si="25">M23&amp;"$"</f>
        <v>1$</v>
      </c>
      <c r="T25" s="215"/>
      <c r="U25" s="212">
        <f ca="1">IF($R23=2,
         IF(AND(ACOMPANHAMENTO="PLE",ISNUMBER($F23)),
                SUMIF((OFFSET(CÁLCULO!$AM$15:$AW$15,$F23,0,OFFSET(ORÇAMENTO!$D$15,CRONO!$F23,0))),CRONO!U$12,OFFSET(CÁLCULO!$AB$15:$AL$15,$F23,0,OFFSET(ORÇAMENTO!$D$15,CRONO!$F23,0)))
                +IF(AND($F25&lt;&gt;"",$F25&lt;&gt;0),
                        SUMIF(CÁLCULO!$AM$15:$AW$89,CRONO!U$12,CÁLCULO!$AB$15:$AL$89)/(ORÇAMENTO!$X$15-CÁLCULO.TotalAdmLocal)*CRONO!$F25,
                        0),
                 U24*$S23),
          SUMIF(OFFSET($S25,1,0,$R23-2),($M23+1)&amp;"$",OFFSET(U25,1,0,$R23-2)))</f>
        <v>0</v>
      </c>
      <c r="V25" s="212">
        <f ca="1">IF($R23=2,
         IF(AND(ACOMPANHAMENTO="PLE",ISNUMBER($F23)),
                SUMIF((OFFSET(CÁLCULO!$AM$15:$AW$15,$F23,0,OFFSET(ORÇAMENTO!$D$15,CRONO!$F23,0))),CRONO!V$12,OFFSET(CÁLCULO!$AB$15:$AL$15,$F23,0,OFFSET(ORÇAMENTO!$D$15,CRONO!$F23,0)))
                +IF(AND($F25&lt;&gt;"",$F25&lt;&gt;0),
                        SUMIF(CÁLCULO!$AM$15:$AW$89,CRONO!V$12,CÁLCULO!$AB$15:$AL$89)/(ORÇAMENTO!$X$15-CÁLCULO.TotalAdmLocal)*CRONO!$F25,
                        0),
                 V24*$S23),
          SUMIF(OFFSET($S25,1,0,$R23-2),($M23+1)&amp;"$",OFFSET(V25,1,0,$R23-2)))</f>
        <v>0</v>
      </c>
      <c r="W25" s="212">
        <f ca="1">IF($R23=2,
         IF(AND(ACOMPANHAMENTO="PLE",ISNUMBER($F23)),
                SUMIF((OFFSET(CÁLCULO!$AM$15:$AW$15,$F23,0,OFFSET(ORÇAMENTO!$D$15,CRONO!$F23,0))),CRONO!W$12,OFFSET(CÁLCULO!$AB$15:$AL$15,$F23,0,OFFSET(ORÇAMENTO!$D$15,CRONO!$F23,0)))
                +IF(AND($F25&lt;&gt;"",$F25&lt;&gt;0),
                        SUMIF(CÁLCULO!$AM$15:$AW$89,CRONO!W$12,CÁLCULO!$AB$15:$AL$89)/(ORÇAMENTO!$X$15-CÁLCULO.TotalAdmLocal)*CRONO!$F25,
                        0),
                 W24*$S23),
          SUMIF(OFFSET($S25,1,0,$R23-2),($M23+1)&amp;"$",OFFSET(W25,1,0,$R23-2)))</f>
        <v>0</v>
      </c>
      <c r="X25" s="212">
        <f ca="1">IF($R23=2,
         IF(AND(ACOMPANHAMENTO="PLE",ISNUMBER($F23)),
                SUMIF((OFFSET(CÁLCULO!$AM$15:$AW$15,$F23,0,OFFSET(ORÇAMENTO!$D$15,CRONO!$F23,0))),CRONO!X$12,OFFSET(CÁLCULO!$AB$15:$AL$15,$F23,0,OFFSET(ORÇAMENTO!$D$15,CRONO!$F23,0)))
                +IF(AND($F25&lt;&gt;"",$F25&lt;&gt;0),
                        SUMIF(CÁLCULO!$AM$15:$AW$89,CRONO!X$12,CÁLCULO!$AB$15:$AL$89)/(ORÇAMENTO!$X$15-CÁLCULO.TotalAdmLocal)*CRONO!$F25,
                        0),
                 X24*$S23),
          SUMIF(OFFSET($S25,1,0,$R23-2),($M23+1)&amp;"$",OFFSET(X25,1,0,$R23-2)))</f>
        <v>0</v>
      </c>
      <c r="Y25" s="212">
        <f ca="1">IF($R23=2,
         IF(AND(ACOMPANHAMENTO="PLE",ISNUMBER($F23)),
                SUMIF((OFFSET(CÁLCULO!$AM$15:$AW$15,$F23,0,OFFSET(ORÇAMENTO!$D$15,CRONO!$F23,0))),CRONO!Y$12,OFFSET(CÁLCULO!$AB$15:$AL$15,$F23,0,OFFSET(ORÇAMENTO!$D$15,CRONO!$F23,0)))
                +IF(AND($F25&lt;&gt;"",$F25&lt;&gt;0),
                        SUMIF(CÁLCULO!$AM$15:$AW$89,CRONO!Y$12,CÁLCULO!$AB$15:$AL$89)/(ORÇAMENTO!$X$15-CÁLCULO.TotalAdmLocal)*CRONO!$F25,
                        0),
                 Y24*$S23),
          SUMIF(OFFSET($S25,1,0,$R23-2),($M23+1)&amp;"$",OFFSET(Y25,1,0,$R23-2)))</f>
        <v>0</v>
      </c>
      <c r="Z25" s="212">
        <f ca="1">IF($R23=2,
         IF(AND(ACOMPANHAMENTO="PLE",ISNUMBER($F23)),
                SUMIF((OFFSET(CÁLCULO!$AM$15:$AW$15,$F23,0,OFFSET(ORÇAMENTO!$D$15,CRONO!$F23,0))),CRONO!Z$12,OFFSET(CÁLCULO!$AB$15:$AL$15,$F23,0,OFFSET(ORÇAMENTO!$D$15,CRONO!$F23,0)))
                +IF(AND($F25&lt;&gt;"",$F25&lt;&gt;0),
                        SUMIF(CÁLCULO!$AM$15:$AW$89,CRONO!Z$12,CÁLCULO!$AB$15:$AL$89)/(ORÇAMENTO!$X$15-CÁLCULO.TotalAdmLocal)*CRONO!$F25,
                        0),
                 Z24*$S23),
          SUMIF(OFFSET($S25,1,0,$R23-2),($M23+1)&amp;"$",OFFSET(Z25,1,0,$R23-2)))</f>
        <v>0</v>
      </c>
      <c r="AA25" s="212">
        <f ca="1">IF($R23=2,
         IF(AND(ACOMPANHAMENTO="PLE",ISNUMBER($F23)),
                SUMIF((OFFSET(CÁLCULO!$AM$15:$AW$15,$F23,0,OFFSET(ORÇAMENTO!$D$15,CRONO!$F23,0))),CRONO!AA$12,OFFSET(CÁLCULO!$AB$15:$AL$15,$F23,0,OFFSET(ORÇAMENTO!$D$15,CRONO!$F23,0)))
                +IF(AND($F25&lt;&gt;"",$F25&lt;&gt;0),
                        SUMIF(CÁLCULO!$AM$15:$AW$89,CRONO!AA$12,CÁLCULO!$AB$15:$AL$89)/(ORÇAMENTO!$X$15-CÁLCULO.TotalAdmLocal)*CRONO!$F25,
                        0),
                 AA24*$S23),
          SUMIF(OFFSET($S25,1,0,$R23-2),($M23+1)&amp;"$",OFFSET(AA25,1,0,$R23-2)))</f>
        <v>0</v>
      </c>
      <c r="AB25" s="212">
        <f ca="1">IF($R23=2,
         IF(AND(ACOMPANHAMENTO="PLE",ISNUMBER($F23)),
                SUMIF((OFFSET(CÁLCULO!$AM$15:$AW$15,$F23,0,OFFSET(ORÇAMENTO!$D$15,CRONO!$F23,0))),CRONO!AB$12,OFFSET(CÁLCULO!$AB$15:$AL$15,$F23,0,OFFSET(ORÇAMENTO!$D$15,CRONO!$F23,0)))
                +IF(AND($F25&lt;&gt;"",$F25&lt;&gt;0),
                        SUMIF(CÁLCULO!$AM$15:$AW$89,CRONO!AB$12,CÁLCULO!$AB$15:$AL$89)/(ORÇAMENTO!$X$15-CÁLCULO.TotalAdmLocal)*CRONO!$F25,
                        0),
                 AB24*$S23),
          SUMIF(OFFSET($S25,1,0,$R23-2),($M23+1)&amp;"$",OFFSET(AB25,1,0,$R23-2)))</f>
        <v>0</v>
      </c>
      <c r="AC25" s="212">
        <f ca="1">IF($R23=2,
         IF(AND(ACOMPANHAMENTO="PLE",ISNUMBER($F23)),
                SUMIF((OFFSET(CÁLCULO!$AM$15:$AW$15,$F23,0,OFFSET(ORÇAMENTO!$D$15,CRONO!$F23,0))),CRONO!AC$12,OFFSET(CÁLCULO!$AB$15:$AL$15,$F23,0,OFFSET(ORÇAMENTO!$D$15,CRONO!$F23,0)))
                +IF(AND($F25&lt;&gt;"",$F25&lt;&gt;0),
                        SUMIF(CÁLCULO!$AM$15:$AW$89,CRONO!AC$12,CÁLCULO!$AB$15:$AL$89)/(ORÇAMENTO!$X$15-CÁLCULO.TotalAdmLocal)*CRONO!$F25,
                        0),
                 AC24*$S23),
          SUMIF(OFFSET($S25,1,0,$R23-2),($M23+1)&amp;"$",OFFSET(AC25,1,0,$R23-2)))</f>
        <v>0</v>
      </c>
      <c r="AD25" s="212">
        <f ca="1">IF($R23=2,
         IF(AND(ACOMPANHAMENTO="PLE",ISNUMBER($F23)),
                SUMIF((OFFSET(CÁLCULO!$AM$15:$AW$15,$F23,0,OFFSET(ORÇAMENTO!$D$15,CRONO!$F23,0))),CRONO!AD$12,OFFSET(CÁLCULO!$AB$15:$AL$15,$F23,0,OFFSET(ORÇAMENTO!$D$15,CRONO!$F23,0)))
                +IF(AND($F25&lt;&gt;"",$F25&lt;&gt;0),
                        SUMIF(CÁLCULO!$AM$15:$AW$89,CRONO!AD$12,CÁLCULO!$AB$15:$AL$89)/(ORÇAMENTO!$X$15-CÁLCULO.TotalAdmLocal)*CRONO!$F25,
                        0),
                 AD24*$S23),
          SUMIF(OFFSET($S25,1,0,$R23-2),($M23+1)&amp;"$",OFFSET(AD25,1,0,$R23-2)))</f>
        <v>0</v>
      </c>
      <c r="AE25" s="212">
        <f ca="1">IF($R23=2,
         IF(AND(ACOMPANHAMENTO="PLE",ISNUMBER($F23)),
                SUMIF((OFFSET(CÁLCULO!$AM$15:$AW$15,$F23,0,OFFSET(ORÇAMENTO!$D$15,CRONO!$F23,0))),CRONO!AE$12,OFFSET(CÁLCULO!$AB$15:$AL$15,$F23,0,OFFSET(ORÇAMENTO!$D$15,CRONO!$F23,0)))
                +IF(AND($F25&lt;&gt;"",$F25&lt;&gt;0),
                        SUMIF(CÁLCULO!$AM$15:$AW$89,CRONO!AE$12,CÁLCULO!$AB$15:$AL$89)/(ORÇAMENTO!$X$15-CÁLCULO.TotalAdmLocal)*CRONO!$F25,
                        0),
                 AE24*$S23),
          SUMIF(OFFSET($S25,1,0,$R23-2),($M23+1)&amp;"$",OFFSET(AE25,1,0,$R23-2)))</f>
        <v>0</v>
      </c>
      <c r="AF25" s="212">
        <f ca="1">IF($R23=2,
         IF(AND(ACOMPANHAMENTO="PLE",ISNUMBER($F23)),
                SUMIF((OFFSET(CÁLCULO!$AM$15:$AW$15,$F23,0,OFFSET(ORÇAMENTO!$D$15,CRONO!$F23,0))),CRONO!AF$12,OFFSET(CÁLCULO!$AB$15:$AL$15,$F23,0,OFFSET(ORÇAMENTO!$D$15,CRONO!$F23,0)))
                +IF(AND($F25&lt;&gt;"",$F25&lt;&gt;0),
                        SUMIF(CÁLCULO!$AM$15:$AW$89,CRONO!AF$12,CÁLCULO!$AB$15:$AL$89)/(ORÇAMENTO!$X$15-CÁLCULO.TotalAdmLocal)*CRONO!$F25,
                        0),
                 AF24*$S23),
          SUMIF(OFFSET($S25,1,0,$R23-2),($M23+1)&amp;"$",OFFSET(AF25,1,0,$R23-2)))</f>
        <v>0</v>
      </c>
      <c r="AG25" s="577"/>
    </row>
    <row r="26" spans="1:33" x14ac:dyDescent="0.2">
      <c r="A26" s="196" t="str">
        <f t="shared" ref="A26" ca="1" si="26">IF($M26&gt;1,CONCATENATE($I26," ",$J26),"")</f>
        <v>2.1. FUNDAÇÕES</v>
      </c>
      <c r="B26" s="195">
        <f t="shared" ref="B26" ca="1" si="27">OFFSET(B26,-3,0)+1</f>
        <v>5</v>
      </c>
      <c r="C26" s="195">
        <f ca="1">IF($R26&lt;&gt;2,0,IF($S26=0,1,IF(F27&gt;0,OFFSET(QCI!$M$13,SUBSTITUTE(F27,".",""),0),OFFSET(ORÇAMENTO!$AA$15,CRONO!$F26,0))/$S26))</f>
        <v>1</v>
      </c>
      <c r="D26" s="195">
        <f ca="1">IF($R26&lt;&gt;2,0,IF($S26=0,1,IF(F27&gt;0,OFFSET(QCI!$N$13,SUBSTITUTE(F27,".",""),0),OFFSET(ORÇAMENTO!$AB$15,CRONO!$F26,0))/$S26))</f>
        <v>1</v>
      </c>
      <c r="E26" s="198" t="e">
        <f ca="1">IF(AND($R26=2,ACOMPANHAMENTO="BM"),ROUND(E27,4),E28/$S26)</f>
        <v>#DIV/0!</v>
      </c>
      <c r="F26" s="195">
        <f ca="1">IF(B26&lt;=ORÇAMENTO.MáximoListaCrono,MATCH(B26,ORÇAMENTO.ListaCrono,0),NA())</f>
        <v>15</v>
      </c>
      <c r="G26" s="195" t="str">
        <f t="shared" ref="G26" ca="1" si="28">IF(AND($F27&lt;&gt;-1,$S26&gt;0),"F","")</f>
        <v/>
      </c>
      <c r="H26" s="199" t="str">
        <f ca="1">IF(OR(S26=0,S26=""),"Linha",IF(AND(OR(ACOMPANHAMENTO="PLE",$R26&lt;&gt;2),$F27=0),"Linha",ROUND(1-SUM(U26:AG26),4)))</f>
        <v>Linha</v>
      </c>
      <c r="I26" s="200" t="str">
        <f ca="1">IF($F27=0,OFFSET(ORÇAMENTO!O$15,$F26,0),IF($F27&lt;&gt;-1,OFFSET(QCI!$D$13,$F27,0),""))</f>
        <v>2.1.</v>
      </c>
      <c r="J26" s="201" t="str">
        <f ca="1">IF($F27=0,OFFSET(ORÇAMENTO!R$15,$F26,0),IF($F27&lt;&gt;-1,OFFSET(QCI!$G$13,$F27,0),""))</f>
        <v>FUNDAÇÕES</v>
      </c>
      <c r="K26" s="201"/>
      <c r="L26" s="201"/>
      <c r="M26" s="202">
        <f ca="1">IF($F27=0,OFFSET(ORÇAMENTO!C$15,$F26,0),1)</f>
        <v>2</v>
      </c>
      <c r="N26" s="203">
        <f ca="1">IF($F27=-1,0,IF(N$13&lt;=$M26,IF(ISERROR(MATCH(N$13,OFFSET($M26,1,0,ROW($M$92)-ROW($M26)-1),0)),ROW($M$92)-ROW($M26)-1,MATCH(N$13,OFFSET($M26,1,0,ROW($M$92)-ROW($M26)-1),0)-1),0))</f>
        <v>23</v>
      </c>
      <c r="O26" s="203">
        <f ca="1">IF($F27=-1,0,IF(O$13&lt;=$M26,IF(ISERROR(MATCH(O$13,OFFSET($M26,1,0,ROW($M$92)-ROW($M26)-1),0)),ROW($M$92)-ROW($M26)-1,MATCH(O$13,OFFSET($M26,1,0,ROW($M$92)-ROW($M26)-1),0)-1),0))</f>
        <v>2</v>
      </c>
      <c r="P26" s="203">
        <f ca="1">IF($F27=-1,0,IF(P$13&lt;=$M26,IF(ISERROR(MATCH(P$13,OFFSET($M26,1,0,ROW($M$92)-ROW($M26)-1),0)),ROW($M$92)-ROW($M26)-1,MATCH(P$13,OFFSET($M26,1,0,ROW($M$92)-ROW($M26)-1),0)-1),0))</f>
        <v>0</v>
      </c>
      <c r="Q26" s="203">
        <f ca="1">IF($F27=-1,0,IF(Q$13&lt;=$M26,IF(ISERROR(MATCH(Q$13,OFFSET($M26,1,0,ROW($M$92)-ROW($M26)-1),0)),ROW($M$92)-ROW($M26)-1,MATCH(Q$13,OFFSET($M26,1,0,ROW($M$92)-ROW($M26)-1),0)-1),0))</f>
        <v>0</v>
      </c>
      <c r="R26" s="203">
        <f t="shared" ref="R26" ca="1" si="29">MIN(OFFSET(M26,0,1,,M26))</f>
        <v>2</v>
      </c>
      <c r="S26" s="204">
        <f ca="1">IF($F27=0,OFFSET(ORÇAMENTO!X$15,$F26,0),IF($F27&lt;&gt;-1,OFFSET(QCI!$O$13,$F27,0),""))</f>
        <v>0</v>
      </c>
      <c r="T26" s="205" t="s">
        <v>266</v>
      </c>
      <c r="U26" s="198" t="e">
        <f ca="1">IF(AND($R26=2,ACOMPANHAMENTO="BM"),ROUND(U27,4),U28/$S26)</f>
        <v>#DIV/0!</v>
      </c>
      <c r="V26" s="198" t="e">
        <f ca="1">IF(AND($R26=2,ACOMPANHAMENTO="BM"),ROUND(V27,4),V28/$S26)</f>
        <v>#DIV/0!</v>
      </c>
      <c r="W26" s="198" t="e">
        <f ca="1">IF(AND($R26=2,ACOMPANHAMENTO="BM"),ROUND(W27,4),W28/$S26)</f>
        <v>#DIV/0!</v>
      </c>
      <c r="X26" s="198" t="e">
        <f ca="1">IF(AND($R26=2,ACOMPANHAMENTO="BM"),ROUND(X27,4),X28/$S26)</f>
        <v>#DIV/0!</v>
      </c>
      <c r="Y26" s="198" t="e">
        <f ca="1">IF(AND($R26=2,ACOMPANHAMENTO="BM"),ROUND(Y27,4),Y28/$S26)</f>
        <v>#DIV/0!</v>
      </c>
      <c r="Z26" s="198" t="e">
        <f ca="1">IF(AND($R26=2,ACOMPANHAMENTO="BM"),ROUND(Z27,4),Z28/$S26)</f>
        <v>#DIV/0!</v>
      </c>
      <c r="AA26" s="198" t="e">
        <f ca="1">IF(AND($R26=2,ACOMPANHAMENTO="BM"),ROUND(AA27,4),AA28/$S26)</f>
        <v>#DIV/0!</v>
      </c>
      <c r="AB26" s="198" t="e">
        <f ca="1">IF(AND($R26=2,ACOMPANHAMENTO="BM"),ROUND(AB27,4),AB28/$S26)</f>
        <v>#DIV/0!</v>
      </c>
      <c r="AC26" s="198" t="e">
        <f ca="1">IF(AND($R26=2,ACOMPANHAMENTO="BM"),ROUND(AC27,4),AC28/$S26)</f>
        <v>#DIV/0!</v>
      </c>
      <c r="AD26" s="198" t="e">
        <f ca="1">IF(AND($R26=2,ACOMPANHAMENTO="BM"),ROUND(AD27,4),AD28/$S26)</f>
        <v>#DIV/0!</v>
      </c>
      <c r="AE26" s="198" t="e">
        <f ca="1">IF(AND($R26=2,ACOMPANHAMENTO="BM"),ROUND(AE27,4),AE28/$S26)</f>
        <v>#DIV/0!</v>
      </c>
      <c r="AF26" s="198" t="e">
        <f ca="1">IF(AND($R26=2,ACOMPANHAMENTO="BM"),ROUND(AF27,4),AF28/$S26)</f>
        <v>#DIV/0!</v>
      </c>
      <c r="AG26" s="577"/>
    </row>
    <row r="27" spans="1:33" ht="12.75" hidden="1" customHeight="1" x14ac:dyDescent="0.2">
      <c r="E27" s="646"/>
      <c r="F27" s="195">
        <f ca="1">IF(ISERROR(F26),IF(1+COUNTIF($M$13:OFFSET(M26,-1,0),1)&lt;=MAX(QCI!$D$13:$D$24),1+COUNTIF($M$13:OFFSET(M26,-1,0),1),-1),0)</f>
        <v>0</v>
      </c>
      <c r="G27" s="195" t="str">
        <f ca="1">IF(ACOMPANHAMENTO="BM",OFFSET(G27,-1,0),"")</f>
        <v/>
      </c>
      <c r="H27" s="206" t="str">
        <f ca="1">IF(OR(S26=0,S26=""),"vazia",IF(AND(OR(ACOMPANHAMENTO="PLE",$R26&lt;&gt;2),$F27=0),"calculada","--&gt;"))</f>
        <v>vazia</v>
      </c>
      <c r="I27" s="207"/>
      <c r="J27" s="208" t="str">
        <f t="shared" ref="J27" ca="1" si="30">IF(AND(H26&lt;&gt;0,ISNUMBER(H26)),"PREENCHA ESTA LINHA --&gt;","")</f>
        <v/>
      </c>
      <c r="K27" s="208"/>
      <c r="L27" s="208"/>
      <c r="M27" s="209"/>
      <c r="N27" s="209"/>
      <c r="O27" s="209"/>
      <c r="P27" s="209"/>
      <c r="Q27" s="209"/>
      <c r="R27" s="209"/>
      <c r="S27" s="210"/>
      <c r="T27" s="211"/>
      <c r="U27" s="646"/>
      <c r="V27" s="646"/>
      <c r="W27" s="646"/>
      <c r="X27" s="646"/>
      <c r="Y27" s="646"/>
      <c r="Z27" s="646"/>
      <c r="AA27" s="646"/>
      <c r="AB27" s="646"/>
      <c r="AC27" s="646"/>
      <c r="AD27" s="646"/>
      <c r="AE27" s="646"/>
      <c r="AF27" s="646"/>
      <c r="AG27" s="577"/>
    </row>
    <row r="28" spans="1:33" ht="12.75" hidden="1" customHeight="1" x14ac:dyDescent="0.2">
      <c r="D28" s="576"/>
      <c r="E28" s="212">
        <f ca="1">IF($R26=2,
         IF(AND(ACOMPANHAMENTO="PLE",ISNUMBER($F26)),
                SUMIF((OFFSET(CÁLCULO!$AM$15:$AW$15,$F26,0,OFFSET(ORÇAMENTO!$D$15,CRONO!$F26,0))),CRONO!E$12,OFFSET(CÁLCULO!$AB$15:$AL$15,$F26,0,OFFSET(ORÇAMENTO!$D$15,CRONO!$F26,0)))
                +IF(AND($F28&lt;&gt;"",$F28&lt;&gt;0),
                        SUMIF(CÁLCULO!$AM$15:$AW$89,CRONO!E$12,CÁLCULO!$AB$15:$AL$89)/(ORÇAMENTO!$X$15-CÁLCULO.TotalAdmLocal)*CRONO!$F28,
                        0),
                 E27*$S26),
          SUMIF(OFFSET($S28,1,0,$R26-2),($M26+1)&amp;"$",OFFSET(E28,1,0,$R26-2)))</f>
        <v>0</v>
      </c>
      <c r="F28" s="195" t="str">
        <f ca="1">IF(OR($R26&lt;&gt;2,AUTOEVENTO&lt;&gt;"manual",$F27&gt;0),"",
        IF(Import.TipoArredondamento="Tradicional",
              SUMIF(OFFSET(CÁLCULO!$M$15,CRONO!$F26,0,OFFSET(ORÇAMENTO!$D$15,CRONO!$F26,0)),1,OFFSET(ORÇAMENTO!$X$15,CRONO!$F26,0,OFFSET(ORÇAMENTO!$D$15,CRONO!$F26,0))),
              0))</f>
        <v/>
      </c>
      <c r="H28" s="213"/>
      <c r="S28" s="214" t="str">
        <f t="shared" ref="S28" ca="1" si="31">M26&amp;"$"</f>
        <v>2$</v>
      </c>
      <c r="T28" s="215"/>
      <c r="U28" s="212">
        <f ca="1">IF($R26=2,
         IF(AND(ACOMPANHAMENTO="PLE",ISNUMBER($F26)),
                SUMIF((OFFSET(CÁLCULO!$AM$15:$AW$15,$F26,0,OFFSET(ORÇAMENTO!$D$15,CRONO!$F26,0))),CRONO!U$12,OFFSET(CÁLCULO!$AB$15:$AL$15,$F26,0,OFFSET(ORÇAMENTO!$D$15,CRONO!$F26,0)))
                +IF(AND($F28&lt;&gt;"",$F28&lt;&gt;0),
                        SUMIF(CÁLCULO!$AM$15:$AW$89,CRONO!U$12,CÁLCULO!$AB$15:$AL$89)/(ORÇAMENTO!$X$15-CÁLCULO.TotalAdmLocal)*CRONO!$F28,
                        0),
                 U27*$S26),
          SUMIF(OFFSET($S28,1,0,$R26-2),($M26+1)&amp;"$",OFFSET(U28,1,0,$R26-2)))</f>
        <v>0</v>
      </c>
      <c r="V28" s="212">
        <f ca="1">IF($R26=2,
         IF(AND(ACOMPANHAMENTO="PLE",ISNUMBER($F26)),
                SUMIF((OFFSET(CÁLCULO!$AM$15:$AW$15,$F26,0,OFFSET(ORÇAMENTO!$D$15,CRONO!$F26,0))),CRONO!V$12,OFFSET(CÁLCULO!$AB$15:$AL$15,$F26,0,OFFSET(ORÇAMENTO!$D$15,CRONO!$F26,0)))
                +IF(AND($F28&lt;&gt;"",$F28&lt;&gt;0),
                        SUMIF(CÁLCULO!$AM$15:$AW$89,CRONO!V$12,CÁLCULO!$AB$15:$AL$89)/(ORÇAMENTO!$X$15-CÁLCULO.TotalAdmLocal)*CRONO!$F28,
                        0),
                 V27*$S26),
          SUMIF(OFFSET($S28,1,0,$R26-2),($M26+1)&amp;"$",OFFSET(V28,1,0,$R26-2)))</f>
        <v>0</v>
      </c>
      <c r="W28" s="212">
        <f ca="1">IF($R26=2,
         IF(AND(ACOMPANHAMENTO="PLE",ISNUMBER($F26)),
                SUMIF((OFFSET(CÁLCULO!$AM$15:$AW$15,$F26,0,OFFSET(ORÇAMENTO!$D$15,CRONO!$F26,0))),CRONO!W$12,OFFSET(CÁLCULO!$AB$15:$AL$15,$F26,0,OFFSET(ORÇAMENTO!$D$15,CRONO!$F26,0)))
                +IF(AND($F28&lt;&gt;"",$F28&lt;&gt;0),
                        SUMIF(CÁLCULO!$AM$15:$AW$89,CRONO!W$12,CÁLCULO!$AB$15:$AL$89)/(ORÇAMENTO!$X$15-CÁLCULO.TotalAdmLocal)*CRONO!$F28,
                        0),
                 W27*$S26),
          SUMIF(OFFSET($S28,1,0,$R26-2),($M26+1)&amp;"$",OFFSET(W28,1,0,$R26-2)))</f>
        <v>0</v>
      </c>
      <c r="X28" s="212">
        <f ca="1">IF($R26=2,
         IF(AND(ACOMPANHAMENTO="PLE",ISNUMBER($F26)),
                SUMIF((OFFSET(CÁLCULO!$AM$15:$AW$15,$F26,0,OFFSET(ORÇAMENTO!$D$15,CRONO!$F26,0))),CRONO!X$12,OFFSET(CÁLCULO!$AB$15:$AL$15,$F26,0,OFFSET(ORÇAMENTO!$D$15,CRONO!$F26,0)))
                +IF(AND($F28&lt;&gt;"",$F28&lt;&gt;0),
                        SUMIF(CÁLCULO!$AM$15:$AW$89,CRONO!X$12,CÁLCULO!$AB$15:$AL$89)/(ORÇAMENTO!$X$15-CÁLCULO.TotalAdmLocal)*CRONO!$F28,
                        0),
                 X27*$S26),
          SUMIF(OFFSET($S28,1,0,$R26-2),($M26+1)&amp;"$",OFFSET(X28,1,0,$R26-2)))</f>
        <v>0</v>
      </c>
      <c r="Y28" s="212">
        <f ca="1">IF($R26=2,
         IF(AND(ACOMPANHAMENTO="PLE",ISNUMBER($F26)),
                SUMIF((OFFSET(CÁLCULO!$AM$15:$AW$15,$F26,0,OFFSET(ORÇAMENTO!$D$15,CRONO!$F26,0))),CRONO!Y$12,OFFSET(CÁLCULO!$AB$15:$AL$15,$F26,0,OFFSET(ORÇAMENTO!$D$15,CRONO!$F26,0)))
                +IF(AND($F28&lt;&gt;"",$F28&lt;&gt;0),
                        SUMIF(CÁLCULO!$AM$15:$AW$89,CRONO!Y$12,CÁLCULO!$AB$15:$AL$89)/(ORÇAMENTO!$X$15-CÁLCULO.TotalAdmLocal)*CRONO!$F28,
                        0),
                 Y27*$S26),
          SUMIF(OFFSET($S28,1,0,$R26-2),($M26+1)&amp;"$",OFFSET(Y28,1,0,$R26-2)))</f>
        <v>0</v>
      </c>
      <c r="Z28" s="212">
        <f ca="1">IF($R26=2,
         IF(AND(ACOMPANHAMENTO="PLE",ISNUMBER($F26)),
                SUMIF((OFFSET(CÁLCULO!$AM$15:$AW$15,$F26,0,OFFSET(ORÇAMENTO!$D$15,CRONO!$F26,0))),CRONO!Z$12,OFFSET(CÁLCULO!$AB$15:$AL$15,$F26,0,OFFSET(ORÇAMENTO!$D$15,CRONO!$F26,0)))
                +IF(AND($F28&lt;&gt;"",$F28&lt;&gt;0),
                        SUMIF(CÁLCULO!$AM$15:$AW$89,CRONO!Z$12,CÁLCULO!$AB$15:$AL$89)/(ORÇAMENTO!$X$15-CÁLCULO.TotalAdmLocal)*CRONO!$F28,
                        0),
                 Z27*$S26),
          SUMIF(OFFSET($S28,1,0,$R26-2),($M26+1)&amp;"$",OFFSET(Z28,1,0,$R26-2)))</f>
        <v>0</v>
      </c>
      <c r="AA28" s="212">
        <f ca="1">IF($R26=2,
         IF(AND(ACOMPANHAMENTO="PLE",ISNUMBER($F26)),
                SUMIF((OFFSET(CÁLCULO!$AM$15:$AW$15,$F26,0,OFFSET(ORÇAMENTO!$D$15,CRONO!$F26,0))),CRONO!AA$12,OFFSET(CÁLCULO!$AB$15:$AL$15,$F26,0,OFFSET(ORÇAMENTO!$D$15,CRONO!$F26,0)))
                +IF(AND($F28&lt;&gt;"",$F28&lt;&gt;0),
                        SUMIF(CÁLCULO!$AM$15:$AW$89,CRONO!AA$12,CÁLCULO!$AB$15:$AL$89)/(ORÇAMENTO!$X$15-CÁLCULO.TotalAdmLocal)*CRONO!$F28,
                        0),
                 AA27*$S26),
          SUMIF(OFFSET($S28,1,0,$R26-2),($M26+1)&amp;"$",OFFSET(AA28,1,0,$R26-2)))</f>
        <v>0</v>
      </c>
      <c r="AB28" s="212">
        <f ca="1">IF($R26=2,
         IF(AND(ACOMPANHAMENTO="PLE",ISNUMBER($F26)),
                SUMIF((OFFSET(CÁLCULO!$AM$15:$AW$15,$F26,0,OFFSET(ORÇAMENTO!$D$15,CRONO!$F26,0))),CRONO!AB$12,OFFSET(CÁLCULO!$AB$15:$AL$15,$F26,0,OFFSET(ORÇAMENTO!$D$15,CRONO!$F26,0)))
                +IF(AND($F28&lt;&gt;"",$F28&lt;&gt;0),
                        SUMIF(CÁLCULO!$AM$15:$AW$89,CRONO!AB$12,CÁLCULO!$AB$15:$AL$89)/(ORÇAMENTO!$X$15-CÁLCULO.TotalAdmLocal)*CRONO!$F28,
                        0),
                 AB27*$S26),
          SUMIF(OFFSET($S28,1,0,$R26-2),($M26+1)&amp;"$",OFFSET(AB28,1,0,$R26-2)))</f>
        <v>0</v>
      </c>
      <c r="AC28" s="212">
        <f ca="1">IF($R26=2,
         IF(AND(ACOMPANHAMENTO="PLE",ISNUMBER($F26)),
                SUMIF((OFFSET(CÁLCULO!$AM$15:$AW$15,$F26,0,OFFSET(ORÇAMENTO!$D$15,CRONO!$F26,0))),CRONO!AC$12,OFFSET(CÁLCULO!$AB$15:$AL$15,$F26,0,OFFSET(ORÇAMENTO!$D$15,CRONO!$F26,0)))
                +IF(AND($F28&lt;&gt;"",$F28&lt;&gt;0),
                        SUMIF(CÁLCULO!$AM$15:$AW$89,CRONO!AC$12,CÁLCULO!$AB$15:$AL$89)/(ORÇAMENTO!$X$15-CÁLCULO.TotalAdmLocal)*CRONO!$F28,
                        0),
                 AC27*$S26),
          SUMIF(OFFSET($S28,1,0,$R26-2),($M26+1)&amp;"$",OFFSET(AC28,1,0,$R26-2)))</f>
        <v>0</v>
      </c>
      <c r="AD28" s="212">
        <f ca="1">IF($R26=2,
         IF(AND(ACOMPANHAMENTO="PLE",ISNUMBER($F26)),
                SUMIF((OFFSET(CÁLCULO!$AM$15:$AW$15,$F26,0,OFFSET(ORÇAMENTO!$D$15,CRONO!$F26,0))),CRONO!AD$12,OFFSET(CÁLCULO!$AB$15:$AL$15,$F26,0,OFFSET(ORÇAMENTO!$D$15,CRONO!$F26,0)))
                +IF(AND($F28&lt;&gt;"",$F28&lt;&gt;0),
                        SUMIF(CÁLCULO!$AM$15:$AW$89,CRONO!AD$12,CÁLCULO!$AB$15:$AL$89)/(ORÇAMENTO!$X$15-CÁLCULO.TotalAdmLocal)*CRONO!$F28,
                        0),
                 AD27*$S26),
          SUMIF(OFFSET($S28,1,0,$R26-2),($M26+1)&amp;"$",OFFSET(AD28,1,0,$R26-2)))</f>
        <v>0</v>
      </c>
      <c r="AE28" s="212">
        <f ca="1">IF($R26=2,
         IF(AND(ACOMPANHAMENTO="PLE",ISNUMBER($F26)),
                SUMIF((OFFSET(CÁLCULO!$AM$15:$AW$15,$F26,0,OFFSET(ORÇAMENTO!$D$15,CRONO!$F26,0))),CRONO!AE$12,OFFSET(CÁLCULO!$AB$15:$AL$15,$F26,0,OFFSET(ORÇAMENTO!$D$15,CRONO!$F26,0)))
                +IF(AND($F28&lt;&gt;"",$F28&lt;&gt;0),
                        SUMIF(CÁLCULO!$AM$15:$AW$89,CRONO!AE$12,CÁLCULO!$AB$15:$AL$89)/(ORÇAMENTO!$X$15-CÁLCULO.TotalAdmLocal)*CRONO!$F28,
                        0),
                 AE27*$S26),
          SUMIF(OFFSET($S28,1,0,$R26-2),($M26+1)&amp;"$",OFFSET(AE28,1,0,$R26-2)))</f>
        <v>0</v>
      </c>
      <c r="AF28" s="212">
        <f ca="1">IF($R26=2,
         IF(AND(ACOMPANHAMENTO="PLE",ISNUMBER($F26)),
                SUMIF((OFFSET(CÁLCULO!$AM$15:$AW$15,$F26,0,OFFSET(ORÇAMENTO!$D$15,CRONO!$F26,0))),CRONO!AF$12,OFFSET(CÁLCULO!$AB$15:$AL$15,$F26,0,OFFSET(ORÇAMENTO!$D$15,CRONO!$F26,0)))
                +IF(AND($F28&lt;&gt;"",$F28&lt;&gt;0),
                        SUMIF(CÁLCULO!$AM$15:$AW$89,CRONO!AF$12,CÁLCULO!$AB$15:$AL$89)/(ORÇAMENTO!$X$15-CÁLCULO.TotalAdmLocal)*CRONO!$F28,
                        0),
                 AF27*$S26),
          SUMIF(OFFSET($S28,1,0,$R26-2),($M26+1)&amp;"$",OFFSET(AF28,1,0,$R26-2)))</f>
        <v>0</v>
      </c>
      <c r="AG28" s="577"/>
    </row>
    <row r="29" spans="1:33" x14ac:dyDescent="0.2">
      <c r="A29" s="196" t="str">
        <f t="shared" ref="A29" ca="1" si="32">IF($M29&gt;1,CONCATENATE($I29," ",$J29),"")</f>
        <v>2.2. CONCRETO ARMADO - PILARES</v>
      </c>
      <c r="B29" s="195">
        <f t="shared" ref="B29" ca="1" si="33">OFFSET(B29,-3,0)+1</f>
        <v>6</v>
      </c>
      <c r="C29" s="195">
        <f ca="1">IF($R29&lt;&gt;2,0,IF($S29=0,1,IF(F30&gt;0,OFFSET(QCI!$M$13,SUBSTITUTE(F30,".",""),0),OFFSET(ORÇAMENTO!$AA$15,CRONO!$F29,0))/$S29))</f>
        <v>1</v>
      </c>
      <c r="D29" s="195">
        <f ca="1">IF($R29&lt;&gt;2,0,IF($S29=0,1,IF(F30&gt;0,OFFSET(QCI!$N$13,SUBSTITUTE(F30,".",""),0),OFFSET(ORÇAMENTO!$AB$15,CRONO!$F29,0))/$S29))</f>
        <v>1</v>
      </c>
      <c r="E29" s="198" t="e">
        <f ca="1">IF(AND($R29=2,ACOMPANHAMENTO="BM"),ROUND(E30,4),E31/$S29)</f>
        <v>#DIV/0!</v>
      </c>
      <c r="F29" s="195">
        <f ca="1">IF(B29&lt;=ORÇAMENTO.MáximoListaCrono,MATCH(B29,ORÇAMENTO.ListaCrono,0),NA())</f>
        <v>22</v>
      </c>
      <c r="G29" s="195" t="str">
        <f t="shared" ref="G29" ca="1" si="34">IF(AND($F30&lt;&gt;-1,$S29&gt;0),"F","")</f>
        <v/>
      </c>
      <c r="H29" s="199" t="str">
        <f ca="1">IF(OR(S29=0,S29=""),"Linha",IF(AND(OR(ACOMPANHAMENTO="PLE",$R29&lt;&gt;2),$F30=0),"Linha",ROUND(1-SUM(U29:AG29),4)))</f>
        <v>Linha</v>
      </c>
      <c r="I29" s="200" t="str">
        <f ca="1">IF($F30=0,OFFSET(ORÇAMENTO!O$15,$F29,0),IF($F30&lt;&gt;-1,OFFSET(QCI!$D$13,$F30,0),""))</f>
        <v>2.2.</v>
      </c>
      <c r="J29" s="201" t="str">
        <f ca="1">IF($F30=0,OFFSET(ORÇAMENTO!R$15,$F29,0),IF($F30&lt;&gt;-1,OFFSET(QCI!$G$13,$F30,0),""))</f>
        <v>CONCRETO ARMADO - PILARES</v>
      </c>
      <c r="K29" s="201"/>
      <c r="L29" s="201"/>
      <c r="M29" s="202">
        <f ca="1">IF($F30=0,OFFSET(ORÇAMENTO!C$15,$F29,0),1)</f>
        <v>2</v>
      </c>
      <c r="N29" s="203">
        <f ca="1">IF($F30=-1,0,IF(N$13&lt;=$M29,IF(ISERROR(MATCH(N$13,OFFSET($M29,1,0,ROW($M$92)-ROW($M29)-1),0)),ROW($M$92)-ROW($M29)-1,MATCH(N$13,OFFSET($M29,1,0,ROW($M$92)-ROW($M29)-1),0)-1),0))</f>
        <v>20</v>
      </c>
      <c r="O29" s="203">
        <f ca="1">IF($F30=-1,0,IF(O$13&lt;=$M29,IF(ISERROR(MATCH(O$13,OFFSET($M29,1,0,ROW($M$92)-ROW($M29)-1),0)),ROW($M$92)-ROW($M29)-1,MATCH(O$13,OFFSET($M29,1,0,ROW($M$92)-ROW($M29)-1),0)-1),0))</f>
        <v>2</v>
      </c>
      <c r="P29" s="203">
        <f ca="1">IF($F30=-1,0,IF(P$13&lt;=$M29,IF(ISERROR(MATCH(P$13,OFFSET($M29,1,0,ROW($M$92)-ROW($M29)-1),0)),ROW($M$92)-ROW($M29)-1,MATCH(P$13,OFFSET($M29,1,0,ROW($M$92)-ROW($M29)-1),0)-1),0))</f>
        <v>0</v>
      </c>
      <c r="Q29" s="203">
        <f ca="1">IF($F30=-1,0,IF(Q$13&lt;=$M29,IF(ISERROR(MATCH(Q$13,OFFSET($M29,1,0,ROW($M$92)-ROW($M29)-1),0)),ROW($M$92)-ROW($M29)-1,MATCH(Q$13,OFFSET($M29,1,0,ROW($M$92)-ROW($M29)-1),0)-1),0))</f>
        <v>0</v>
      </c>
      <c r="R29" s="203">
        <f t="shared" ref="R29" ca="1" si="35">MIN(OFFSET(M29,0,1,,M29))</f>
        <v>2</v>
      </c>
      <c r="S29" s="204">
        <f ca="1">IF($F30=0,OFFSET(ORÇAMENTO!X$15,$F29,0),IF($F30&lt;&gt;-1,OFFSET(QCI!$O$13,$F30,0),""))</f>
        <v>0</v>
      </c>
      <c r="T29" s="205" t="s">
        <v>266</v>
      </c>
      <c r="U29" s="198" t="e">
        <f ca="1">IF(AND($R29=2,ACOMPANHAMENTO="BM"),ROUND(U30,4),U31/$S29)</f>
        <v>#DIV/0!</v>
      </c>
      <c r="V29" s="198" t="e">
        <f ca="1">IF(AND($R29=2,ACOMPANHAMENTO="BM"),ROUND(V30,4),V31/$S29)</f>
        <v>#DIV/0!</v>
      </c>
      <c r="W29" s="198" t="e">
        <f ca="1">IF(AND($R29=2,ACOMPANHAMENTO="BM"),ROUND(W30,4),W31/$S29)</f>
        <v>#DIV/0!</v>
      </c>
      <c r="X29" s="198" t="e">
        <f ca="1">IF(AND($R29=2,ACOMPANHAMENTO="BM"),ROUND(X30,4),X31/$S29)</f>
        <v>#DIV/0!</v>
      </c>
      <c r="Y29" s="198" t="e">
        <f ca="1">IF(AND($R29=2,ACOMPANHAMENTO="BM"),ROUND(Y30,4),Y31/$S29)</f>
        <v>#DIV/0!</v>
      </c>
      <c r="Z29" s="198" t="e">
        <f ca="1">IF(AND($R29=2,ACOMPANHAMENTO="BM"),ROUND(Z30,4),Z31/$S29)</f>
        <v>#DIV/0!</v>
      </c>
      <c r="AA29" s="198" t="e">
        <f ca="1">IF(AND($R29=2,ACOMPANHAMENTO="BM"),ROUND(AA30,4),AA31/$S29)</f>
        <v>#DIV/0!</v>
      </c>
      <c r="AB29" s="198" t="e">
        <f ca="1">IF(AND($R29=2,ACOMPANHAMENTO="BM"),ROUND(AB30,4),AB31/$S29)</f>
        <v>#DIV/0!</v>
      </c>
      <c r="AC29" s="198" t="e">
        <f ca="1">IF(AND($R29=2,ACOMPANHAMENTO="BM"),ROUND(AC30,4),AC31/$S29)</f>
        <v>#DIV/0!</v>
      </c>
      <c r="AD29" s="198" t="e">
        <f ca="1">IF(AND($R29=2,ACOMPANHAMENTO="BM"),ROUND(AD30,4),AD31/$S29)</f>
        <v>#DIV/0!</v>
      </c>
      <c r="AE29" s="198" t="e">
        <f ca="1">IF(AND($R29=2,ACOMPANHAMENTO="BM"),ROUND(AE30,4),AE31/$S29)</f>
        <v>#DIV/0!</v>
      </c>
      <c r="AF29" s="198" t="e">
        <f ca="1">IF(AND($R29=2,ACOMPANHAMENTO="BM"),ROUND(AF30,4),AF31/$S29)</f>
        <v>#DIV/0!</v>
      </c>
      <c r="AG29" s="577"/>
    </row>
    <row r="30" spans="1:33" ht="12.75" hidden="1" customHeight="1" x14ac:dyDescent="0.2">
      <c r="E30" s="646"/>
      <c r="F30" s="195">
        <f ca="1">IF(ISERROR(F29),IF(1+COUNTIF($M$13:OFFSET(M29,-1,0),1)&lt;=MAX(QCI!$D$13:$D$24),1+COUNTIF($M$13:OFFSET(M29,-1,0),1),-1),0)</f>
        <v>0</v>
      </c>
      <c r="G30" s="195" t="str">
        <f ca="1">IF(ACOMPANHAMENTO="BM",OFFSET(G30,-1,0),"")</f>
        <v/>
      </c>
      <c r="H30" s="206" t="str">
        <f ca="1">IF(OR(S29=0,S29=""),"vazia",IF(AND(OR(ACOMPANHAMENTO="PLE",$R29&lt;&gt;2),$F30=0),"calculada","--&gt;"))</f>
        <v>vazia</v>
      </c>
      <c r="I30" s="207"/>
      <c r="J30" s="208" t="str">
        <f t="shared" ref="J30" ca="1" si="36">IF(AND(H29&lt;&gt;0,ISNUMBER(H29)),"PREENCHA ESTA LINHA --&gt;","")</f>
        <v/>
      </c>
      <c r="K30" s="208"/>
      <c r="L30" s="208"/>
      <c r="M30" s="209"/>
      <c r="N30" s="209"/>
      <c r="O30" s="209"/>
      <c r="P30" s="209"/>
      <c r="Q30" s="209"/>
      <c r="R30" s="209"/>
      <c r="S30" s="210"/>
      <c r="T30" s="211"/>
      <c r="U30" s="646"/>
      <c r="V30" s="646"/>
      <c r="W30" s="646"/>
      <c r="X30" s="646"/>
      <c r="Y30" s="646"/>
      <c r="Z30" s="646"/>
      <c r="AA30" s="646"/>
      <c r="AB30" s="646"/>
      <c r="AC30" s="646"/>
      <c r="AD30" s="646"/>
      <c r="AE30" s="646"/>
      <c r="AF30" s="646"/>
      <c r="AG30" s="577"/>
    </row>
    <row r="31" spans="1:33" ht="12.75" hidden="1" customHeight="1" x14ac:dyDescent="0.2">
      <c r="D31" s="576"/>
      <c r="E31" s="212">
        <f ca="1">IF($R29=2,
         IF(AND(ACOMPANHAMENTO="PLE",ISNUMBER($F29)),
                SUMIF((OFFSET(CÁLCULO!$AM$15:$AW$15,$F29,0,OFFSET(ORÇAMENTO!$D$15,CRONO!$F29,0))),CRONO!E$12,OFFSET(CÁLCULO!$AB$15:$AL$15,$F29,0,OFFSET(ORÇAMENTO!$D$15,CRONO!$F29,0)))
                +IF(AND($F31&lt;&gt;"",$F31&lt;&gt;0),
                        SUMIF(CÁLCULO!$AM$15:$AW$89,CRONO!E$12,CÁLCULO!$AB$15:$AL$89)/(ORÇAMENTO!$X$15-CÁLCULO.TotalAdmLocal)*CRONO!$F31,
                        0),
                 E30*$S29),
          SUMIF(OFFSET($S31,1,0,$R29-2),($M29+1)&amp;"$",OFFSET(E31,1,0,$R29-2)))</f>
        <v>0</v>
      </c>
      <c r="F31" s="195" t="str">
        <f ca="1">IF(OR($R29&lt;&gt;2,AUTOEVENTO&lt;&gt;"manual",$F30&gt;0),"",
        IF(Import.TipoArredondamento="Tradicional",
              SUMIF(OFFSET(CÁLCULO!$M$15,CRONO!$F29,0,OFFSET(ORÇAMENTO!$D$15,CRONO!$F29,0)),1,OFFSET(ORÇAMENTO!$X$15,CRONO!$F29,0,OFFSET(ORÇAMENTO!$D$15,CRONO!$F29,0))),
              0))</f>
        <v/>
      </c>
      <c r="H31" s="213"/>
      <c r="S31" s="214" t="str">
        <f t="shared" ref="S31" ca="1" si="37">M29&amp;"$"</f>
        <v>2$</v>
      </c>
      <c r="T31" s="215"/>
      <c r="U31" s="212">
        <f ca="1">IF($R29=2,
         IF(AND(ACOMPANHAMENTO="PLE",ISNUMBER($F29)),
                SUMIF((OFFSET(CÁLCULO!$AM$15:$AW$15,$F29,0,OFFSET(ORÇAMENTO!$D$15,CRONO!$F29,0))),CRONO!U$12,OFFSET(CÁLCULO!$AB$15:$AL$15,$F29,0,OFFSET(ORÇAMENTO!$D$15,CRONO!$F29,0)))
                +IF(AND($F31&lt;&gt;"",$F31&lt;&gt;0),
                        SUMIF(CÁLCULO!$AM$15:$AW$89,CRONO!U$12,CÁLCULO!$AB$15:$AL$89)/(ORÇAMENTO!$X$15-CÁLCULO.TotalAdmLocal)*CRONO!$F31,
                        0),
                 U30*$S29),
          SUMIF(OFFSET($S31,1,0,$R29-2),($M29+1)&amp;"$",OFFSET(U31,1,0,$R29-2)))</f>
        <v>0</v>
      </c>
      <c r="V31" s="212">
        <f ca="1">IF($R29=2,
         IF(AND(ACOMPANHAMENTO="PLE",ISNUMBER($F29)),
                SUMIF((OFFSET(CÁLCULO!$AM$15:$AW$15,$F29,0,OFFSET(ORÇAMENTO!$D$15,CRONO!$F29,0))),CRONO!V$12,OFFSET(CÁLCULO!$AB$15:$AL$15,$F29,0,OFFSET(ORÇAMENTO!$D$15,CRONO!$F29,0)))
                +IF(AND($F31&lt;&gt;"",$F31&lt;&gt;0),
                        SUMIF(CÁLCULO!$AM$15:$AW$89,CRONO!V$12,CÁLCULO!$AB$15:$AL$89)/(ORÇAMENTO!$X$15-CÁLCULO.TotalAdmLocal)*CRONO!$F31,
                        0),
                 V30*$S29),
          SUMIF(OFFSET($S31,1,0,$R29-2),($M29+1)&amp;"$",OFFSET(V31,1,0,$R29-2)))</f>
        <v>0</v>
      </c>
      <c r="W31" s="212">
        <f ca="1">IF($R29=2,
         IF(AND(ACOMPANHAMENTO="PLE",ISNUMBER($F29)),
                SUMIF((OFFSET(CÁLCULO!$AM$15:$AW$15,$F29,0,OFFSET(ORÇAMENTO!$D$15,CRONO!$F29,0))),CRONO!W$12,OFFSET(CÁLCULO!$AB$15:$AL$15,$F29,0,OFFSET(ORÇAMENTO!$D$15,CRONO!$F29,0)))
                +IF(AND($F31&lt;&gt;"",$F31&lt;&gt;0),
                        SUMIF(CÁLCULO!$AM$15:$AW$89,CRONO!W$12,CÁLCULO!$AB$15:$AL$89)/(ORÇAMENTO!$X$15-CÁLCULO.TotalAdmLocal)*CRONO!$F31,
                        0),
                 W30*$S29),
          SUMIF(OFFSET($S31,1,0,$R29-2),($M29+1)&amp;"$",OFFSET(W31,1,0,$R29-2)))</f>
        <v>0</v>
      </c>
      <c r="X31" s="212">
        <f ca="1">IF($R29=2,
         IF(AND(ACOMPANHAMENTO="PLE",ISNUMBER($F29)),
                SUMIF((OFFSET(CÁLCULO!$AM$15:$AW$15,$F29,0,OFFSET(ORÇAMENTO!$D$15,CRONO!$F29,0))),CRONO!X$12,OFFSET(CÁLCULO!$AB$15:$AL$15,$F29,0,OFFSET(ORÇAMENTO!$D$15,CRONO!$F29,0)))
                +IF(AND($F31&lt;&gt;"",$F31&lt;&gt;0),
                        SUMIF(CÁLCULO!$AM$15:$AW$89,CRONO!X$12,CÁLCULO!$AB$15:$AL$89)/(ORÇAMENTO!$X$15-CÁLCULO.TotalAdmLocal)*CRONO!$F31,
                        0),
                 X30*$S29),
          SUMIF(OFFSET($S31,1,0,$R29-2),($M29+1)&amp;"$",OFFSET(X31,1,0,$R29-2)))</f>
        <v>0</v>
      </c>
      <c r="Y31" s="212">
        <f ca="1">IF($R29=2,
         IF(AND(ACOMPANHAMENTO="PLE",ISNUMBER($F29)),
                SUMIF((OFFSET(CÁLCULO!$AM$15:$AW$15,$F29,0,OFFSET(ORÇAMENTO!$D$15,CRONO!$F29,0))),CRONO!Y$12,OFFSET(CÁLCULO!$AB$15:$AL$15,$F29,0,OFFSET(ORÇAMENTO!$D$15,CRONO!$F29,0)))
                +IF(AND($F31&lt;&gt;"",$F31&lt;&gt;0),
                        SUMIF(CÁLCULO!$AM$15:$AW$89,CRONO!Y$12,CÁLCULO!$AB$15:$AL$89)/(ORÇAMENTO!$X$15-CÁLCULO.TotalAdmLocal)*CRONO!$F31,
                        0),
                 Y30*$S29),
          SUMIF(OFFSET($S31,1,0,$R29-2),($M29+1)&amp;"$",OFFSET(Y31,1,0,$R29-2)))</f>
        <v>0</v>
      </c>
      <c r="Z31" s="212">
        <f ca="1">IF($R29=2,
         IF(AND(ACOMPANHAMENTO="PLE",ISNUMBER($F29)),
                SUMIF((OFFSET(CÁLCULO!$AM$15:$AW$15,$F29,0,OFFSET(ORÇAMENTO!$D$15,CRONO!$F29,0))),CRONO!Z$12,OFFSET(CÁLCULO!$AB$15:$AL$15,$F29,0,OFFSET(ORÇAMENTO!$D$15,CRONO!$F29,0)))
                +IF(AND($F31&lt;&gt;"",$F31&lt;&gt;0),
                        SUMIF(CÁLCULO!$AM$15:$AW$89,CRONO!Z$12,CÁLCULO!$AB$15:$AL$89)/(ORÇAMENTO!$X$15-CÁLCULO.TotalAdmLocal)*CRONO!$F31,
                        0),
                 Z30*$S29),
          SUMIF(OFFSET($S31,1,0,$R29-2),($M29+1)&amp;"$",OFFSET(Z31,1,0,$R29-2)))</f>
        <v>0</v>
      </c>
      <c r="AA31" s="212">
        <f ca="1">IF($R29=2,
         IF(AND(ACOMPANHAMENTO="PLE",ISNUMBER($F29)),
                SUMIF((OFFSET(CÁLCULO!$AM$15:$AW$15,$F29,0,OFFSET(ORÇAMENTO!$D$15,CRONO!$F29,0))),CRONO!AA$12,OFFSET(CÁLCULO!$AB$15:$AL$15,$F29,0,OFFSET(ORÇAMENTO!$D$15,CRONO!$F29,0)))
                +IF(AND($F31&lt;&gt;"",$F31&lt;&gt;0),
                        SUMIF(CÁLCULO!$AM$15:$AW$89,CRONO!AA$12,CÁLCULO!$AB$15:$AL$89)/(ORÇAMENTO!$X$15-CÁLCULO.TotalAdmLocal)*CRONO!$F31,
                        0),
                 AA30*$S29),
          SUMIF(OFFSET($S31,1,0,$R29-2),($M29+1)&amp;"$",OFFSET(AA31,1,0,$R29-2)))</f>
        <v>0</v>
      </c>
      <c r="AB31" s="212">
        <f ca="1">IF($R29=2,
         IF(AND(ACOMPANHAMENTO="PLE",ISNUMBER($F29)),
                SUMIF((OFFSET(CÁLCULO!$AM$15:$AW$15,$F29,0,OFFSET(ORÇAMENTO!$D$15,CRONO!$F29,0))),CRONO!AB$12,OFFSET(CÁLCULO!$AB$15:$AL$15,$F29,0,OFFSET(ORÇAMENTO!$D$15,CRONO!$F29,0)))
                +IF(AND($F31&lt;&gt;"",$F31&lt;&gt;0),
                        SUMIF(CÁLCULO!$AM$15:$AW$89,CRONO!AB$12,CÁLCULO!$AB$15:$AL$89)/(ORÇAMENTO!$X$15-CÁLCULO.TotalAdmLocal)*CRONO!$F31,
                        0),
                 AB30*$S29),
          SUMIF(OFFSET($S31,1,0,$R29-2),($M29+1)&amp;"$",OFFSET(AB31,1,0,$R29-2)))</f>
        <v>0</v>
      </c>
      <c r="AC31" s="212">
        <f ca="1">IF($R29=2,
         IF(AND(ACOMPANHAMENTO="PLE",ISNUMBER($F29)),
                SUMIF((OFFSET(CÁLCULO!$AM$15:$AW$15,$F29,0,OFFSET(ORÇAMENTO!$D$15,CRONO!$F29,0))),CRONO!AC$12,OFFSET(CÁLCULO!$AB$15:$AL$15,$F29,0,OFFSET(ORÇAMENTO!$D$15,CRONO!$F29,0)))
                +IF(AND($F31&lt;&gt;"",$F31&lt;&gt;0),
                        SUMIF(CÁLCULO!$AM$15:$AW$89,CRONO!AC$12,CÁLCULO!$AB$15:$AL$89)/(ORÇAMENTO!$X$15-CÁLCULO.TotalAdmLocal)*CRONO!$F31,
                        0),
                 AC30*$S29),
          SUMIF(OFFSET($S31,1,0,$R29-2),($M29+1)&amp;"$",OFFSET(AC31,1,0,$R29-2)))</f>
        <v>0</v>
      </c>
      <c r="AD31" s="212">
        <f ca="1">IF($R29=2,
         IF(AND(ACOMPANHAMENTO="PLE",ISNUMBER($F29)),
                SUMIF((OFFSET(CÁLCULO!$AM$15:$AW$15,$F29,0,OFFSET(ORÇAMENTO!$D$15,CRONO!$F29,0))),CRONO!AD$12,OFFSET(CÁLCULO!$AB$15:$AL$15,$F29,0,OFFSET(ORÇAMENTO!$D$15,CRONO!$F29,0)))
                +IF(AND($F31&lt;&gt;"",$F31&lt;&gt;0),
                        SUMIF(CÁLCULO!$AM$15:$AW$89,CRONO!AD$12,CÁLCULO!$AB$15:$AL$89)/(ORÇAMENTO!$X$15-CÁLCULO.TotalAdmLocal)*CRONO!$F31,
                        0),
                 AD30*$S29),
          SUMIF(OFFSET($S31,1,0,$R29-2),($M29+1)&amp;"$",OFFSET(AD31,1,0,$R29-2)))</f>
        <v>0</v>
      </c>
      <c r="AE31" s="212">
        <f ca="1">IF($R29=2,
         IF(AND(ACOMPANHAMENTO="PLE",ISNUMBER($F29)),
                SUMIF((OFFSET(CÁLCULO!$AM$15:$AW$15,$F29,0,OFFSET(ORÇAMENTO!$D$15,CRONO!$F29,0))),CRONO!AE$12,OFFSET(CÁLCULO!$AB$15:$AL$15,$F29,0,OFFSET(ORÇAMENTO!$D$15,CRONO!$F29,0)))
                +IF(AND($F31&lt;&gt;"",$F31&lt;&gt;0),
                        SUMIF(CÁLCULO!$AM$15:$AW$89,CRONO!AE$12,CÁLCULO!$AB$15:$AL$89)/(ORÇAMENTO!$X$15-CÁLCULO.TotalAdmLocal)*CRONO!$F31,
                        0),
                 AE30*$S29),
          SUMIF(OFFSET($S31,1,0,$R29-2),($M29+1)&amp;"$",OFFSET(AE31,1,0,$R29-2)))</f>
        <v>0</v>
      </c>
      <c r="AF31" s="212">
        <f ca="1">IF($R29=2,
         IF(AND(ACOMPANHAMENTO="PLE",ISNUMBER($F29)),
                SUMIF((OFFSET(CÁLCULO!$AM$15:$AW$15,$F29,0,OFFSET(ORÇAMENTO!$D$15,CRONO!$F29,0))),CRONO!AF$12,OFFSET(CÁLCULO!$AB$15:$AL$15,$F29,0,OFFSET(ORÇAMENTO!$D$15,CRONO!$F29,0)))
                +IF(AND($F31&lt;&gt;"",$F31&lt;&gt;0),
                        SUMIF(CÁLCULO!$AM$15:$AW$89,CRONO!AF$12,CÁLCULO!$AB$15:$AL$89)/(ORÇAMENTO!$X$15-CÁLCULO.TotalAdmLocal)*CRONO!$F31,
                        0),
                 AF30*$S29),
          SUMIF(OFFSET($S31,1,0,$R29-2),($M29+1)&amp;"$",OFFSET(AF31,1,0,$R29-2)))</f>
        <v>0</v>
      </c>
      <c r="AG31" s="577"/>
    </row>
    <row r="32" spans="1:33" x14ac:dyDescent="0.2">
      <c r="A32" s="196" t="str">
        <f t="shared" ref="A32" ca="1" si="38">IF($M32&gt;1,CONCATENATE($I32," ",$J32),"")</f>
        <v>2.3. CONCRETO ARMADO - VIGAS SUPERIORES</v>
      </c>
      <c r="B32" s="195">
        <f t="shared" ref="B32" ca="1" si="39">OFFSET(B32,-3,0)+1</f>
        <v>7</v>
      </c>
      <c r="C32" s="195">
        <f ca="1">IF($R32&lt;&gt;2,0,IF($S32=0,1,IF(F33&gt;0,OFFSET(QCI!$M$13,SUBSTITUTE(F33,".",""),0),OFFSET(ORÇAMENTO!$AA$15,CRONO!$F32,0))/$S32))</f>
        <v>1</v>
      </c>
      <c r="D32" s="195">
        <f ca="1">IF($R32&lt;&gt;2,0,IF($S32=0,1,IF(F33&gt;0,OFFSET(QCI!$N$13,SUBSTITUTE(F33,".",""),0),OFFSET(ORÇAMENTO!$AB$15,CRONO!$F32,0))/$S32))</f>
        <v>1</v>
      </c>
      <c r="E32" s="198" t="e">
        <f ca="1">IF(AND($R32=2,ACOMPANHAMENTO="BM"),ROUND(E33,4),E34/$S32)</f>
        <v>#DIV/0!</v>
      </c>
      <c r="F32" s="195">
        <f ca="1">IF(B32&lt;=ORÇAMENTO.MáximoListaCrono,MATCH(B32,ORÇAMENTO.ListaCrono,0),NA())</f>
        <v>27</v>
      </c>
      <c r="G32" s="195" t="str">
        <f t="shared" ref="G32" ca="1" si="40">IF(AND($F33&lt;&gt;-1,$S32&gt;0),"F","")</f>
        <v/>
      </c>
      <c r="H32" s="199" t="str">
        <f ca="1">IF(OR(S32=0,S32=""),"Linha",IF(AND(OR(ACOMPANHAMENTO="PLE",$R32&lt;&gt;2),$F33=0),"Linha",ROUND(1-SUM(U32:AG32),4)))</f>
        <v>Linha</v>
      </c>
      <c r="I32" s="200" t="str">
        <f ca="1">IF($F33=0,OFFSET(ORÇAMENTO!O$15,$F32,0),IF($F33&lt;&gt;-1,OFFSET(QCI!$D$13,$F33,0),""))</f>
        <v>2.3.</v>
      </c>
      <c r="J32" s="201" t="str">
        <f ca="1">IF($F33=0,OFFSET(ORÇAMENTO!R$15,$F32,0),IF($F33&lt;&gt;-1,OFFSET(QCI!$G$13,$F33,0),""))</f>
        <v>CONCRETO ARMADO - VIGAS SUPERIORES</v>
      </c>
      <c r="K32" s="201"/>
      <c r="L32" s="201"/>
      <c r="M32" s="202">
        <f ca="1">IF($F33=0,OFFSET(ORÇAMENTO!C$15,$F32,0),1)</f>
        <v>2</v>
      </c>
      <c r="N32" s="203">
        <f ca="1">IF($F33=-1,0,IF(N$13&lt;=$M32,IF(ISERROR(MATCH(N$13,OFFSET($M32,1,0,ROW($M$92)-ROW($M32)-1),0)),ROW($M$92)-ROW($M32)-1,MATCH(N$13,OFFSET($M32,1,0,ROW($M$92)-ROW($M32)-1),0)-1),0))</f>
        <v>17</v>
      </c>
      <c r="O32" s="203">
        <f ca="1">IF($F33=-1,0,IF(O$13&lt;=$M32,IF(ISERROR(MATCH(O$13,OFFSET($M32,1,0,ROW($M$92)-ROW($M32)-1),0)),ROW($M$92)-ROW($M32)-1,MATCH(O$13,OFFSET($M32,1,0,ROW($M$92)-ROW($M32)-1),0)-1),0))</f>
        <v>2</v>
      </c>
      <c r="P32" s="203">
        <f ca="1">IF($F33=-1,0,IF(P$13&lt;=$M32,IF(ISERROR(MATCH(P$13,OFFSET($M32,1,0,ROW($M$92)-ROW($M32)-1),0)),ROW($M$92)-ROW($M32)-1,MATCH(P$13,OFFSET($M32,1,0,ROW($M$92)-ROW($M32)-1),0)-1),0))</f>
        <v>0</v>
      </c>
      <c r="Q32" s="203">
        <f ca="1">IF($F33=-1,0,IF(Q$13&lt;=$M32,IF(ISERROR(MATCH(Q$13,OFFSET($M32,1,0,ROW($M$92)-ROW($M32)-1),0)),ROW($M$92)-ROW($M32)-1,MATCH(Q$13,OFFSET($M32,1,0,ROW($M$92)-ROW($M32)-1),0)-1),0))</f>
        <v>0</v>
      </c>
      <c r="R32" s="203">
        <f t="shared" ref="R32" ca="1" si="41">MIN(OFFSET(M32,0,1,,M32))</f>
        <v>2</v>
      </c>
      <c r="S32" s="204">
        <f ca="1">IF($F33=0,OFFSET(ORÇAMENTO!X$15,$F32,0),IF($F33&lt;&gt;-1,OFFSET(QCI!$O$13,$F33,0),""))</f>
        <v>0</v>
      </c>
      <c r="T32" s="205" t="s">
        <v>266</v>
      </c>
      <c r="U32" s="198" t="e">
        <f ca="1">IF(AND($R32=2,ACOMPANHAMENTO="BM"),ROUND(U33,4),U34/$S32)</f>
        <v>#DIV/0!</v>
      </c>
      <c r="V32" s="198" t="e">
        <f ca="1">IF(AND($R32=2,ACOMPANHAMENTO="BM"),ROUND(V33,4),V34/$S32)</f>
        <v>#DIV/0!</v>
      </c>
      <c r="W32" s="198" t="e">
        <f ca="1">IF(AND($R32=2,ACOMPANHAMENTO="BM"),ROUND(W33,4),W34/$S32)</f>
        <v>#DIV/0!</v>
      </c>
      <c r="X32" s="198" t="e">
        <f ca="1">IF(AND($R32=2,ACOMPANHAMENTO="BM"),ROUND(X33,4),X34/$S32)</f>
        <v>#DIV/0!</v>
      </c>
      <c r="Y32" s="198" t="e">
        <f ca="1">IF(AND($R32=2,ACOMPANHAMENTO="BM"),ROUND(Y33,4),Y34/$S32)</f>
        <v>#DIV/0!</v>
      </c>
      <c r="Z32" s="198" t="e">
        <f ca="1">IF(AND($R32=2,ACOMPANHAMENTO="BM"),ROUND(Z33,4),Z34/$S32)</f>
        <v>#DIV/0!</v>
      </c>
      <c r="AA32" s="198" t="e">
        <f ca="1">IF(AND($R32=2,ACOMPANHAMENTO="BM"),ROUND(AA33,4),AA34/$S32)</f>
        <v>#DIV/0!</v>
      </c>
      <c r="AB32" s="198" t="e">
        <f ca="1">IF(AND($R32=2,ACOMPANHAMENTO="BM"),ROUND(AB33,4),AB34/$S32)</f>
        <v>#DIV/0!</v>
      </c>
      <c r="AC32" s="198" t="e">
        <f ca="1">IF(AND($R32=2,ACOMPANHAMENTO="BM"),ROUND(AC33,4),AC34/$S32)</f>
        <v>#DIV/0!</v>
      </c>
      <c r="AD32" s="198" t="e">
        <f ca="1">IF(AND($R32=2,ACOMPANHAMENTO="BM"),ROUND(AD33,4),AD34/$S32)</f>
        <v>#DIV/0!</v>
      </c>
      <c r="AE32" s="198" t="e">
        <f ca="1">IF(AND($R32=2,ACOMPANHAMENTO="BM"),ROUND(AE33,4),AE34/$S32)</f>
        <v>#DIV/0!</v>
      </c>
      <c r="AF32" s="198" t="e">
        <f ca="1">IF(AND($R32=2,ACOMPANHAMENTO="BM"),ROUND(AF33,4),AF34/$S32)</f>
        <v>#DIV/0!</v>
      </c>
      <c r="AG32" s="577"/>
    </row>
    <row r="33" spans="1:33" ht="12.75" hidden="1" customHeight="1" x14ac:dyDescent="0.2">
      <c r="E33" s="646"/>
      <c r="F33" s="195">
        <f ca="1">IF(ISERROR(F32),IF(1+COUNTIF($M$13:OFFSET(M32,-1,0),1)&lt;=MAX(QCI!$D$13:$D$24),1+COUNTIF($M$13:OFFSET(M32,-1,0),1),-1),0)</f>
        <v>0</v>
      </c>
      <c r="G33" s="195" t="str">
        <f ca="1">IF(ACOMPANHAMENTO="BM",OFFSET(G33,-1,0),"")</f>
        <v/>
      </c>
      <c r="H33" s="206" t="str">
        <f ca="1">IF(OR(S32=0,S32=""),"vazia",IF(AND(OR(ACOMPANHAMENTO="PLE",$R32&lt;&gt;2),$F33=0),"calculada","--&gt;"))</f>
        <v>vazia</v>
      </c>
      <c r="I33" s="207"/>
      <c r="J33" s="208" t="str">
        <f t="shared" ref="J33" ca="1" si="42">IF(AND(H32&lt;&gt;0,ISNUMBER(H32)),"PREENCHA ESTA LINHA --&gt;","")</f>
        <v/>
      </c>
      <c r="K33" s="208"/>
      <c r="L33" s="208"/>
      <c r="M33" s="209"/>
      <c r="N33" s="209"/>
      <c r="O33" s="209"/>
      <c r="P33" s="209"/>
      <c r="Q33" s="209"/>
      <c r="R33" s="209"/>
      <c r="S33" s="210"/>
      <c r="T33" s="211"/>
      <c r="U33" s="646"/>
      <c r="V33" s="646"/>
      <c r="W33" s="646"/>
      <c r="X33" s="646"/>
      <c r="Y33" s="646"/>
      <c r="Z33" s="646"/>
      <c r="AA33" s="646"/>
      <c r="AB33" s="646"/>
      <c r="AC33" s="646"/>
      <c r="AD33" s="646"/>
      <c r="AE33" s="646"/>
      <c r="AF33" s="646"/>
      <c r="AG33" s="577"/>
    </row>
    <row r="34" spans="1:33" ht="12.75" hidden="1" customHeight="1" x14ac:dyDescent="0.2">
      <c r="D34" s="576"/>
      <c r="E34" s="212">
        <f ca="1">IF($R32=2,
         IF(AND(ACOMPANHAMENTO="PLE",ISNUMBER($F32)),
                SUMIF((OFFSET(CÁLCULO!$AM$15:$AW$15,$F32,0,OFFSET(ORÇAMENTO!$D$15,CRONO!$F32,0))),CRONO!E$12,OFFSET(CÁLCULO!$AB$15:$AL$15,$F32,0,OFFSET(ORÇAMENTO!$D$15,CRONO!$F32,0)))
                +IF(AND($F34&lt;&gt;"",$F34&lt;&gt;0),
                        SUMIF(CÁLCULO!$AM$15:$AW$89,CRONO!E$12,CÁLCULO!$AB$15:$AL$89)/(ORÇAMENTO!$X$15-CÁLCULO.TotalAdmLocal)*CRONO!$F34,
                        0),
                 E33*$S32),
          SUMIF(OFFSET($S34,1,0,$R32-2),($M32+1)&amp;"$",OFFSET(E34,1,0,$R32-2)))</f>
        <v>0</v>
      </c>
      <c r="F34" s="195" t="str">
        <f ca="1">IF(OR($R32&lt;&gt;2,AUTOEVENTO&lt;&gt;"manual",$F33&gt;0),"",
        IF(Import.TipoArredondamento="Tradicional",
              SUMIF(OFFSET(CÁLCULO!$M$15,CRONO!$F32,0,OFFSET(ORÇAMENTO!$D$15,CRONO!$F32,0)),1,OFFSET(ORÇAMENTO!$X$15,CRONO!$F32,0,OFFSET(ORÇAMENTO!$D$15,CRONO!$F32,0))),
              0))</f>
        <v/>
      </c>
      <c r="H34" s="213"/>
      <c r="S34" s="214" t="str">
        <f t="shared" ref="S34" ca="1" si="43">M32&amp;"$"</f>
        <v>2$</v>
      </c>
      <c r="T34" s="215"/>
      <c r="U34" s="212">
        <f ca="1">IF($R32=2,
         IF(AND(ACOMPANHAMENTO="PLE",ISNUMBER($F32)),
                SUMIF((OFFSET(CÁLCULO!$AM$15:$AW$15,$F32,0,OFFSET(ORÇAMENTO!$D$15,CRONO!$F32,0))),CRONO!U$12,OFFSET(CÁLCULO!$AB$15:$AL$15,$F32,0,OFFSET(ORÇAMENTO!$D$15,CRONO!$F32,0)))
                +IF(AND($F34&lt;&gt;"",$F34&lt;&gt;0),
                        SUMIF(CÁLCULO!$AM$15:$AW$89,CRONO!U$12,CÁLCULO!$AB$15:$AL$89)/(ORÇAMENTO!$X$15-CÁLCULO.TotalAdmLocal)*CRONO!$F34,
                        0),
                 U33*$S32),
          SUMIF(OFFSET($S34,1,0,$R32-2),($M32+1)&amp;"$",OFFSET(U34,1,0,$R32-2)))</f>
        <v>0</v>
      </c>
      <c r="V34" s="212">
        <f ca="1">IF($R32=2,
         IF(AND(ACOMPANHAMENTO="PLE",ISNUMBER($F32)),
                SUMIF((OFFSET(CÁLCULO!$AM$15:$AW$15,$F32,0,OFFSET(ORÇAMENTO!$D$15,CRONO!$F32,0))),CRONO!V$12,OFFSET(CÁLCULO!$AB$15:$AL$15,$F32,0,OFFSET(ORÇAMENTO!$D$15,CRONO!$F32,0)))
                +IF(AND($F34&lt;&gt;"",$F34&lt;&gt;0),
                        SUMIF(CÁLCULO!$AM$15:$AW$89,CRONO!V$12,CÁLCULO!$AB$15:$AL$89)/(ORÇAMENTO!$X$15-CÁLCULO.TotalAdmLocal)*CRONO!$F34,
                        0),
                 V33*$S32),
          SUMIF(OFFSET($S34,1,0,$R32-2),($M32+1)&amp;"$",OFFSET(V34,1,0,$R32-2)))</f>
        <v>0</v>
      </c>
      <c r="W34" s="212">
        <f ca="1">IF($R32=2,
         IF(AND(ACOMPANHAMENTO="PLE",ISNUMBER($F32)),
                SUMIF((OFFSET(CÁLCULO!$AM$15:$AW$15,$F32,0,OFFSET(ORÇAMENTO!$D$15,CRONO!$F32,0))),CRONO!W$12,OFFSET(CÁLCULO!$AB$15:$AL$15,$F32,0,OFFSET(ORÇAMENTO!$D$15,CRONO!$F32,0)))
                +IF(AND($F34&lt;&gt;"",$F34&lt;&gt;0),
                        SUMIF(CÁLCULO!$AM$15:$AW$89,CRONO!W$12,CÁLCULO!$AB$15:$AL$89)/(ORÇAMENTO!$X$15-CÁLCULO.TotalAdmLocal)*CRONO!$F34,
                        0),
                 W33*$S32),
          SUMIF(OFFSET($S34,1,0,$R32-2),($M32+1)&amp;"$",OFFSET(W34,1,0,$R32-2)))</f>
        <v>0</v>
      </c>
      <c r="X34" s="212">
        <f ca="1">IF($R32=2,
         IF(AND(ACOMPANHAMENTO="PLE",ISNUMBER($F32)),
                SUMIF((OFFSET(CÁLCULO!$AM$15:$AW$15,$F32,0,OFFSET(ORÇAMENTO!$D$15,CRONO!$F32,0))),CRONO!X$12,OFFSET(CÁLCULO!$AB$15:$AL$15,$F32,0,OFFSET(ORÇAMENTO!$D$15,CRONO!$F32,0)))
                +IF(AND($F34&lt;&gt;"",$F34&lt;&gt;0),
                        SUMIF(CÁLCULO!$AM$15:$AW$89,CRONO!X$12,CÁLCULO!$AB$15:$AL$89)/(ORÇAMENTO!$X$15-CÁLCULO.TotalAdmLocal)*CRONO!$F34,
                        0),
                 X33*$S32),
          SUMIF(OFFSET($S34,1,0,$R32-2),($M32+1)&amp;"$",OFFSET(X34,1,0,$R32-2)))</f>
        <v>0</v>
      </c>
      <c r="Y34" s="212">
        <f ca="1">IF($R32=2,
         IF(AND(ACOMPANHAMENTO="PLE",ISNUMBER($F32)),
                SUMIF((OFFSET(CÁLCULO!$AM$15:$AW$15,$F32,0,OFFSET(ORÇAMENTO!$D$15,CRONO!$F32,0))),CRONO!Y$12,OFFSET(CÁLCULO!$AB$15:$AL$15,$F32,0,OFFSET(ORÇAMENTO!$D$15,CRONO!$F32,0)))
                +IF(AND($F34&lt;&gt;"",$F34&lt;&gt;0),
                        SUMIF(CÁLCULO!$AM$15:$AW$89,CRONO!Y$12,CÁLCULO!$AB$15:$AL$89)/(ORÇAMENTO!$X$15-CÁLCULO.TotalAdmLocal)*CRONO!$F34,
                        0),
                 Y33*$S32),
          SUMIF(OFFSET($S34,1,0,$R32-2),($M32+1)&amp;"$",OFFSET(Y34,1,0,$R32-2)))</f>
        <v>0</v>
      </c>
      <c r="Z34" s="212">
        <f ca="1">IF($R32=2,
         IF(AND(ACOMPANHAMENTO="PLE",ISNUMBER($F32)),
                SUMIF((OFFSET(CÁLCULO!$AM$15:$AW$15,$F32,0,OFFSET(ORÇAMENTO!$D$15,CRONO!$F32,0))),CRONO!Z$12,OFFSET(CÁLCULO!$AB$15:$AL$15,$F32,0,OFFSET(ORÇAMENTO!$D$15,CRONO!$F32,0)))
                +IF(AND($F34&lt;&gt;"",$F34&lt;&gt;0),
                        SUMIF(CÁLCULO!$AM$15:$AW$89,CRONO!Z$12,CÁLCULO!$AB$15:$AL$89)/(ORÇAMENTO!$X$15-CÁLCULO.TotalAdmLocal)*CRONO!$F34,
                        0),
                 Z33*$S32),
          SUMIF(OFFSET($S34,1,0,$R32-2),($M32+1)&amp;"$",OFFSET(Z34,1,0,$R32-2)))</f>
        <v>0</v>
      </c>
      <c r="AA34" s="212">
        <f ca="1">IF($R32=2,
         IF(AND(ACOMPANHAMENTO="PLE",ISNUMBER($F32)),
                SUMIF((OFFSET(CÁLCULO!$AM$15:$AW$15,$F32,0,OFFSET(ORÇAMENTO!$D$15,CRONO!$F32,0))),CRONO!AA$12,OFFSET(CÁLCULO!$AB$15:$AL$15,$F32,0,OFFSET(ORÇAMENTO!$D$15,CRONO!$F32,0)))
                +IF(AND($F34&lt;&gt;"",$F34&lt;&gt;0),
                        SUMIF(CÁLCULO!$AM$15:$AW$89,CRONO!AA$12,CÁLCULO!$AB$15:$AL$89)/(ORÇAMENTO!$X$15-CÁLCULO.TotalAdmLocal)*CRONO!$F34,
                        0),
                 AA33*$S32),
          SUMIF(OFFSET($S34,1,0,$R32-2),($M32+1)&amp;"$",OFFSET(AA34,1,0,$R32-2)))</f>
        <v>0</v>
      </c>
      <c r="AB34" s="212">
        <f ca="1">IF($R32=2,
         IF(AND(ACOMPANHAMENTO="PLE",ISNUMBER($F32)),
                SUMIF((OFFSET(CÁLCULO!$AM$15:$AW$15,$F32,0,OFFSET(ORÇAMENTO!$D$15,CRONO!$F32,0))),CRONO!AB$12,OFFSET(CÁLCULO!$AB$15:$AL$15,$F32,0,OFFSET(ORÇAMENTO!$D$15,CRONO!$F32,0)))
                +IF(AND($F34&lt;&gt;"",$F34&lt;&gt;0),
                        SUMIF(CÁLCULO!$AM$15:$AW$89,CRONO!AB$12,CÁLCULO!$AB$15:$AL$89)/(ORÇAMENTO!$X$15-CÁLCULO.TotalAdmLocal)*CRONO!$F34,
                        0),
                 AB33*$S32),
          SUMIF(OFFSET($S34,1,0,$R32-2),($M32+1)&amp;"$",OFFSET(AB34,1,0,$R32-2)))</f>
        <v>0</v>
      </c>
      <c r="AC34" s="212">
        <f ca="1">IF($R32=2,
         IF(AND(ACOMPANHAMENTO="PLE",ISNUMBER($F32)),
                SUMIF((OFFSET(CÁLCULO!$AM$15:$AW$15,$F32,0,OFFSET(ORÇAMENTO!$D$15,CRONO!$F32,0))),CRONO!AC$12,OFFSET(CÁLCULO!$AB$15:$AL$15,$F32,0,OFFSET(ORÇAMENTO!$D$15,CRONO!$F32,0)))
                +IF(AND($F34&lt;&gt;"",$F34&lt;&gt;0),
                        SUMIF(CÁLCULO!$AM$15:$AW$89,CRONO!AC$12,CÁLCULO!$AB$15:$AL$89)/(ORÇAMENTO!$X$15-CÁLCULO.TotalAdmLocal)*CRONO!$F34,
                        0),
                 AC33*$S32),
          SUMIF(OFFSET($S34,1,0,$R32-2),($M32+1)&amp;"$",OFFSET(AC34,1,0,$R32-2)))</f>
        <v>0</v>
      </c>
      <c r="AD34" s="212">
        <f ca="1">IF($R32=2,
         IF(AND(ACOMPANHAMENTO="PLE",ISNUMBER($F32)),
                SUMIF((OFFSET(CÁLCULO!$AM$15:$AW$15,$F32,0,OFFSET(ORÇAMENTO!$D$15,CRONO!$F32,0))),CRONO!AD$12,OFFSET(CÁLCULO!$AB$15:$AL$15,$F32,0,OFFSET(ORÇAMENTO!$D$15,CRONO!$F32,0)))
                +IF(AND($F34&lt;&gt;"",$F34&lt;&gt;0),
                        SUMIF(CÁLCULO!$AM$15:$AW$89,CRONO!AD$12,CÁLCULO!$AB$15:$AL$89)/(ORÇAMENTO!$X$15-CÁLCULO.TotalAdmLocal)*CRONO!$F34,
                        0),
                 AD33*$S32),
          SUMIF(OFFSET($S34,1,0,$R32-2),($M32+1)&amp;"$",OFFSET(AD34,1,0,$R32-2)))</f>
        <v>0</v>
      </c>
      <c r="AE34" s="212">
        <f ca="1">IF($R32=2,
         IF(AND(ACOMPANHAMENTO="PLE",ISNUMBER($F32)),
                SUMIF((OFFSET(CÁLCULO!$AM$15:$AW$15,$F32,0,OFFSET(ORÇAMENTO!$D$15,CRONO!$F32,0))),CRONO!AE$12,OFFSET(CÁLCULO!$AB$15:$AL$15,$F32,0,OFFSET(ORÇAMENTO!$D$15,CRONO!$F32,0)))
                +IF(AND($F34&lt;&gt;"",$F34&lt;&gt;0),
                        SUMIF(CÁLCULO!$AM$15:$AW$89,CRONO!AE$12,CÁLCULO!$AB$15:$AL$89)/(ORÇAMENTO!$X$15-CÁLCULO.TotalAdmLocal)*CRONO!$F34,
                        0),
                 AE33*$S32),
          SUMIF(OFFSET($S34,1,0,$R32-2),($M32+1)&amp;"$",OFFSET(AE34,1,0,$R32-2)))</f>
        <v>0</v>
      </c>
      <c r="AF34" s="212">
        <f ca="1">IF($R32=2,
         IF(AND(ACOMPANHAMENTO="PLE",ISNUMBER($F32)),
                SUMIF((OFFSET(CÁLCULO!$AM$15:$AW$15,$F32,0,OFFSET(ORÇAMENTO!$D$15,CRONO!$F32,0))),CRONO!AF$12,OFFSET(CÁLCULO!$AB$15:$AL$15,$F32,0,OFFSET(ORÇAMENTO!$D$15,CRONO!$F32,0)))
                +IF(AND($F34&lt;&gt;"",$F34&lt;&gt;0),
                        SUMIF(CÁLCULO!$AM$15:$AW$89,CRONO!AF$12,CÁLCULO!$AB$15:$AL$89)/(ORÇAMENTO!$X$15-CÁLCULO.TotalAdmLocal)*CRONO!$F34,
                        0),
                 AF33*$S32),
          SUMIF(OFFSET($S34,1,0,$R32-2),($M32+1)&amp;"$",OFFSET(AF34,1,0,$R32-2)))</f>
        <v>0</v>
      </c>
      <c r="AG34" s="577"/>
    </row>
    <row r="35" spans="1:33" x14ac:dyDescent="0.2">
      <c r="A35" s="196" t="str">
        <f t="shared" ref="A35" ca="1" si="44">IF($M35&gt;1,CONCATENATE($I35," ",$J35),"")</f>
        <v xml:space="preserve">2.4. PAREDES </v>
      </c>
      <c r="B35" s="195">
        <f t="shared" ref="B35" ca="1" si="45">OFFSET(B35,-3,0)+1</f>
        <v>8</v>
      </c>
      <c r="C35" s="195">
        <f ca="1">IF($R35&lt;&gt;2,0,IF($S35=0,1,IF(F36&gt;0,OFFSET(QCI!$M$13,SUBSTITUTE(F36,".",""),0),OFFSET(ORÇAMENTO!$AA$15,CRONO!$F35,0))/$S35))</f>
        <v>1</v>
      </c>
      <c r="D35" s="195">
        <f ca="1">IF($R35&lt;&gt;2,0,IF($S35=0,1,IF(F36&gt;0,OFFSET(QCI!$N$13,SUBSTITUTE(F36,".",""),0),OFFSET(ORÇAMENTO!$AB$15,CRONO!$F35,0))/$S35))</f>
        <v>1</v>
      </c>
      <c r="E35" s="198" t="e">
        <f ca="1">IF(AND($R35=2,ACOMPANHAMENTO="BM"),ROUND(E36,4),E37/$S35)</f>
        <v>#DIV/0!</v>
      </c>
      <c r="F35" s="195">
        <f ca="1">IF(B35&lt;=ORÇAMENTO.MáximoListaCrono,MATCH(B35,ORÇAMENTO.ListaCrono,0),NA())</f>
        <v>32</v>
      </c>
      <c r="G35" s="195" t="str">
        <f t="shared" ref="G35" ca="1" si="46">IF(AND($F36&lt;&gt;-1,$S35&gt;0),"F","")</f>
        <v/>
      </c>
      <c r="H35" s="199" t="str">
        <f ca="1">IF(OR(S35=0,S35=""),"Linha",IF(AND(OR(ACOMPANHAMENTO="PLE",$R35&lt;&gt;2),$F36=0),"Linha",ROUND(1-SUM(U35:AG35),4)))</f>
        <v>Linha</v>
      </c>
      <c r="I35" s="200" t="str">
        <f ca="1">IF($F36=0,OFFSET(ORÇAMENTO!O$15,$F35,0),IF($F36&lt;&gt;-1,OFFSET(QCI!$D$13,$F36,0),""))</f>
        <v>2.4.</v>
      </c>
      <c r="J35" s="201" t="str">
        <f ca="1">IF($F36=0,OFFSET(ORÇAMENTO!R$15,$F35,0),IF($F36&lt;&gt;-1,OFFSET(QCI!$G$13,$F36,0),""))</f>
        <v xml:space="preserve">PAREDES </v>
      </c>
      <c r="K35" s="201"/>
      <c r="L35" s="201"/>
      <c r="M35" s="202">
        <f ca="1">IF($F36=0,OFFSET(ORÇAMENTO!C$15,$F35,0),1)</f>
        <v>2</v>
      </c>
      <c r="N35" s="203">
        <f ca="1">IF($F36=-1,0,IF(N$13&lt;=$M35,IF(ISERROR(MATCH(N$13,OFFSET($M35,1,0,ROW($M$92)-ROW($M35)-1),0)),ROW($M$92)-ROW($M35)-1,MATCH(N$13,OFFSET($M35,1,0,ROW($M$92)-ROW($M35)-1),0)-1),0))</f>
        <v>14</v>
      </c>
      <c r="O35" s="203">
        <f ca="1">IF($F36=-1,0,IF(O$13&lt;=$M35,IF(ISERROR(MATCH(O$13,OFFSET($M35,1,0,ROW($M$92)-ROW($M35)-1),0)),ROW($M$92)-ROW($M35)-1,MATCH(O$13,OFFSET($M35,1,0,ROW($M$92)-ROW($M35)-1),0)-1),0))</f>
        <v>2</v>
      </c>
      <c r="P35" s="203">
        <f ca="1">IF($F36=-1,0,IF(P$13&lt;=$M35,IF(ISERROR(MATCH(P$13,OFFSET($M35,1,0,ROW($M$92)-ROW($M35)-1),0)),ROW($M$92)-ROW($M35)-1,MATCH(P$13,OFFSET($M35,1,0,ROW($M$92)-ROW($M35)-1),0)-1),0))</f>
        <v>0</v>
      </c>
      <c r="Q35" s="203">
        <f ca="1">IF($F36=-1,0,IF(Q$13&lt;=$M35,IF(ISERROR(MATCH(Q$13,OFFSET($M35,1,0,ROW($M$92)-ROW($M35)-1),0)),ROW($M$92)-ROW($M35)-1,MATCH(Q$13,OFFSET($M35,1,0,ROW($M$92)-ROW($M35)-1),0)-1),0))</f>
        <v>0</v>
      </c>
      <c r="R35" s="203">
        <f t="shared" ref="R35" ca="1" si="47">MIN(OFFSET(M35,0,1,,M35))</f>
        <v>2</v>
      </c>
      <c r="S35" s="204">
        <f ca="1">IF($F36=0,OFFSET(ORÇAMENTO!X$15,$F35,0),IF($F36&lt;&gt;-1,OFFSET(QCI!$O$13,$F36,0),""))</f>
        <v>0</v>
      </c>
      <c r="T35" s="205" t="s">
        <v>266</v>
      </c>
      <c r="U35" s="198" t="e">
        <f ca="1">IF(AND($R35=2,ACOMPANHAMENTO="BM"),ROUND(U36,4),U37/$S35)</f>
        <v>#DIV/0!</v>
      </c>
      <c r="V35" s="198" t="e">
        <f ca="1">IF(AND($R35=2,ACOMPANHAMENTO="BM"),ROUND(V36,4),V37/$S35)</f>
        <v>#DIV/0!</v>
      </c>
      <c r="W35" s="198" t="e">
        <f ca="1">IF(AND($R35=2,ACOMPANHAMENTO="BM"),ROUND(W36,4),W37/$S35)</f>
        <v>#DIV/0!</v>
      </c>
      <c r="X35" s="198" t="e">
        <f ca="1">IF(AND($R35=2,ACOMPANHAMENTO="BM"),ROUND(X36,4),X37/$S35)</f>
        <v>#DIV/0!</v>
      </c>
      <c r="Y35" s="198" t="e">
        <f ca="1">IF(AND($R35=2,ACOMPANHAMENTO="BM"),ROUND(Y36,4),Y37/$S35)</f>
        <v>#DIV/0!</v>
      </c>
      <c r="Z35" s="198" t="e">
        <f ca="1">IF(AND($R35=2,ACOMPANHAMENTO="BM"),ROUND(Z36,4),Z37/$S35)</f>
        <v>#DIV/0!</v>
      </c>
      <c r="AA35" s="198" t="e">
        <f ca="1">IF(AND($R35=2,ACOMPANHAMENTO="BM"),ROUND(AA36,4),AA37/$S35)</f>
        <v>#DIV/0!</v>
      </c>
      <c r="AB35" s="198" t="e">
        <f ca="1">IF(AND($R35=2,ACOMPANHAMENTO="BM"),ROUND(AB36,4),AB37/$S35)</f>
        <v>#DIV/0!</v>
      </c>
      <c r="AC35" s="198" t="e">
        <f ca="1">IF(AND($R35=2,ACOMPANHAMENTO="BM"),ROUND(AC36,4),AC37/$S35)</f>
        <v>#DIV/0!</v>
      </c>
      <c r="AD35" s="198" t="e">
        <f ca="1">IF(AND($R35=2,ACOMPANHAMENTO="BM"),ROUND(AD36,4),AD37/$S35)</f>
        <v>#DIV/0!</v>
      </c>
      <c r="AE35" s="198" t="e">
        <f ca="1">IF(AND($R35=2,ACOMPANHAMENTO="BM"),ROUND(AE36,4),AE37/$S35)</f>
        <v>#DIV/0!</v>
      </c>
      <c r="AF35" s="198" t="e">
        <f ca="1">IF(AND($R35=2,ACOMPANHAMENTO="BM"),ROUND(AF36,4),AF37/$S35)</f>
        <v>#DIV/0!</v>
      </c>
      <c r="AG35" s="577"/>
    </row>
    <row r="36" spans="1:33" ht="12.75" hidden="1" customHeight="1" x14ac:dyDescent="0.2">
      <c r="E36" s="646"/>
      <c r="F36" s="195">
        <f ca="1">IF(ISERROR(F35),IF(1+COUNTIF($M$13:OFFSET(M35,-1,0),1)&lt;=MAX(QCI!$D$13:$D$24),1+COUNTIF($M$13:OFFSET(M35,-1,0),1),-1),0)</f>
        <v>0</v>
      </c>
      <c r="G36" s="195" t="str">
        <f ca="1">IF(ACOMPANHAMENTO="BM",OFFSET(G36,-1,0),"")</f>
        <v/>
      </c>
      <c r="H36" s="206" t="str">
        <f ca="1">IF(OR(S35=0,S35=""),"vazia",IF(AND(OR(ACOMPANHAMENTO="PLE",$R35&lt;&gt;2),$F36=0),"calculada","--&gt;"))</f>
        <v>vazia</v>
      </c>
      <c r="I36" s="207"/>
      <c r="J36" s="208" t="str">
        <f t="shared" ref="J36" ca="1" si="48">IF(AND(H35&lt;&gt;0,ISNUMBER(H35)),"PREENCHA ESTA LINHA --&gt;","")</f>
        <v/>
      </c>
      <c r="K36" s="208"/>
      <c r="L36" s="208"/>
      <c r="M36" s="209"/>
      <c r="N36" s="209"/>
      <c r="O36" s="209"/>
      <c r="P36" s="209"/>
      <c r="Q36" s="209"/>
      <c r="R36" s="209"/>
      <c r="S36" s="210"/>
      <c r="T36" s="211"/>
      <c r="U36" s="646"/>
      <c r="V36" s="646"/>
      <c r="W36" s="646"/>
      <c r="X36" s="646"/>
      <c r="Y36" s="646"/>
      <c r="Z36" s="646"/>
      <c r="AA36" s="646"/>
      <c r="AB36" s="646"/>
      <c r="AC36" s="646"/>
      <c r="AD36" s="646"/>
      <c r="AE36" s="646"/>
      <c r="AF36" s="646"/>
      <c r="AG36" s="577"/>
    </row>
    <row r="37" spans="1:33" ht="12.75" hidden="1" customHeight="1" x14ac:dyDescent="0.2">
      <c r="D37" s="576"/>
      <c r="E37" s="212">
        <f ca="1">IF($R35=2,
         IF(AND(ACOMPANHAMENTO="PLE",ISNUMBER($F35)),
                SUMIF((OFFSET(CÁLCULO!$AM$15:$AW$15,$F35,0,OFFSET(ORÇAMENTO!$D$15,CRONO!$F35,0))),CRONO!E$12,OFFSET(CÁLCULO!$AB$15:$AL$15,$F35,0,OFFSET(ORÇAMENTO!$D$15,CRONO!$F35,0)))
                +IF(AND($F37&lt;&gt;"",$F37&lt;&gt;0),
                        SUMIF(CÁLCULO!$AM$15:$AW$89,CRONO!E$12,CÁLCULO!$AB$15:$AL$89)/(ORÇAMENTO!$X$15-CÁLCULO.TotalAdmLocal)*CRONO!$F37,
                        0),
                 E36*$S35),
          SUMIF(OFFSET($S37,1,0,$R35-2),($M35+1)&amp;"$",OFFSET(E37,1,0,$R35-2)))</f>
        <v>0</v>
      </c>
      <c r="F37" s="195" t="str">
        <f ca="1">IF(OR($R35&lt;&gt;2,AUTOEVENTO&lt;&gt;"manual",$F36&gt;0),"",
        IF(Import.TipoArredondamento="Tradicional",
              SUMIF(OFFSET(CÁLCULO!$M$15,CRONO!$F35,0,OFFSET(ORÇAMENTO!$D$15,CRONO!$F35,0)),1,OFFSET(ORÇAMENTO!$X$15,CRONO!$F35,0,OFFSET(ORÇAMENTO!$D$15,CRONO!$F35,0))),
              0))</f>
        <v/>
      </c>
      <c r="H37" s="213"/>
      <c r="S37" s="214" t="str">
        <f t="shared" ref="S37" ca="1" si="49">M35&amp;"$"</f>
        <v>2$</v>
      </c>
      <c r="T37" s="215"/>
      <c r="U37" s="212">
        <f ca="1">IF($R35=2,
         IF(AND(ACOMPANHAMENTO="PLE",ISNUMBER($F35)),
                SUMIF((OFFSET(CÁLCULO!$AM$15:$AW$15,$F35,0,OFFSET(ORÇAMENTO!$D$15,CRONO!$F35,0))),CRONO!U$12,OFFSET(CÁLCULO!$AB$15:$AL$15,$F35,0,OFFSET(ORÇAMENTO!$D$15,CRONO!$F35,0)))
                +IF(AND($F37&lt;&gt;"",$F37&lt;&gt;0),
                        SUMIF(CÁLCULO!$AM$15:$AW$89,CRONO!U$12,CÁLCULO!$AB$15:$AL$89)/(ORÇAMENTO!$X$15-CÁLCULO.TotalAdmLocal)*CRONO!$F37,
                        0),
                 U36*$S35),
          SUMIF(OFFSET($S37,1,0,$R35-2),($M35+1)&amp;"$",OFFSET(U37,1,0,$R35-2)))</f>
        <v>0</v>
      </c>
      <c r="V37" s="212">
        <f ca="1">IF($R35=2,
         IF(AND(ACOMPANHAMENTO="PLE",ISNUMBER($F35)),
                SUMIF((OFFSET(CÁLCULO!$AM$15:$AW$15,$F35,0,OFFSET(ORÇAMENTO!$D$15,CRONO!$F35,0))),CRONO!V$12,OFFSET(CÁLCULO!$AB$15:$AL$15,$F35,0,OFFSET(ORÇAMENTO!$D$15,CRONO!$F35,0)))
                +IF(AND($F37&lt;&gt;"",$F37&lt;&gt;0),
                        SUMIF(CÁLCULO!$AM$15:$AW$89,CRONO!V$12,CÁLCULO!$AB$15:$AL$89)/(ORÇAMENTO!$X$15-CÁLCULO.TotalAdmLocal)*CRONO!$F37,
                        0),
                 V36*$S35),
          SUMIF(OFFSET($S37,1,0,$R35-2),($M35+1)&amp;"$",OFFSET(V37,1,0,$R35-2)))</f>
        <v>0</v>
      </c>
      <c r="W37" s="212">
        <f ca="1">IF($R35=2,
         IF(AND(ACOMPANHAMENTO="PLE",ISNUMBER($F35)),
                SUMIF((OFFSET(CÁLCULO!$AM$15:$AW$15,$F35,0,OFFSET(ORÇAMENTO!$D$15,CRONO!$F35,0))),CRONO!W$12,OFFSET(CÁLCULO!$AB$15:$AL$15,$F35,0,OFFSET(ORÇAMENTO!$D$15,CRONO!$F35,0)))
                +IF(AND($F37&lt;&gt;"",$F37&lt;&gt;0),
                        SUMIF(CÁLCULO!$AM$15:$AW$89,CRONO!W$12,CÁLCULO!$AB$15:$AL$89)/(ORÇAMENTO!$X$15-CÁLCULO.TotalAdmLocal)*CRONO!$F37,
                        0),
                 W36*$S35),
          SUMIF(OFFSET($S37,1,0,$R35-2),($M35+1)&amp;"$",OFFSET(W37,1,0,$R35-2)))</f>
        <v>0</v>
      </c>
      <c r="X37" s="212">
        <f ca="1">IF($R35=2,
         IF(AND(ACOMPANHAMENTO="PLE",ISNUMBER($F35)),
                SUMIF((OFFSET(CÁLCULO!$AM$15:$AW$15,$F35,0,OFFSET(ORÇAMENTO!$D$15,CRONO!$F35,0))),CRONO!X$12,OFFSET(CÁLCULO!$AB$15:$AL$15,$F35,0,OFFSET(ORÇAMENTO!$D$15,CRONO!$F35,0)))
                +IF(AND($F37&lt;&gt;"",$F37&lt;&gt;0),
                        SUMIF(CÁLCULO!$AM$15:$AW$89,CRONO!X$12,CÁLCULO!$AB$15:$AL$89)/(ORÇAMENTO!$X$15-CÁLCULO.TotalAdmLocal)*CRONO!$F37,
                        0),
                 X36*$S35),
          SUMIF(OFFSET($S37,1,0,$R35-2),($M35+1)&amp;"$",OFFSET(X37,1,0,$R35-2)))</f>
        <v>0</v>
      </c>
      <c r="Y37" s="212">
        <f ca="1">IF($R35=2,
         IF(AND(ACOMPANHAMENTO="PLE",ISNUMBER($F35)),
                SUMIF((OFFSET(CÁLCULO!$AM$15:$AW$15,$F35,0,OFFSET(ORÇAMENTO!$D$15,CRONO!$F35,0))),CRONO!Y$12,OFFSET(CÁLCULO!$AB$15:$AL$15,$F35,0,OFFSET(ORÇAMENTO!$D$15,CRONO!$F35,0)))
                +IF(AND($F37&lt;&gt;"",$F37&lt;&gt;0),
                        SUMIF(CÁLCULO!$AM$15:$AW$89,CRONO!Y$12,CÁLCULO!$AB$15:$AL$89)/(ORÇAMENTO!$X$15-CÁLCULO.TotalAdmLocal)*CRONO!$F37,
                        0),
                 Y36*$S35),
          SUMIF(OFFSET($S37,1,0,$R35-2),($M35+1)&amp;"$",OFFSET(Y37,1,0,$R35-2)))</f>
        <v>0</v>
      </c>
      <c r="Z37" s="212">
        <f ca="1">IF($R35=2,
         IF(AND(ACOMPANHAMENTO="PLE",ISNUMBER($F35)),
                SUMIF((OFFSET(CÁLCULO!$AM$15:$AW$15,$F35,0,OFFSET(ORÇAMENTO!$D$15,CRONO!$F35,0))),CRONO!Z$12,OFFSET(CÁLCULO!$AB$15:$AL$15,$F35,0,OFFSET(ORÇAMENTO!$D$15,CRONO!$F35,0)))
                +IF(AND($F37&lt;&gt;"",$F37&lt;&gt;0),
                        SUMIF(CÁLCULO!$AM$15:$AW$89,CRONO!Z$12,CÁLCULO!$AB$15:$AL$89)/(ORÇAMENTO!$X$15-CÁLCULO.TotalAdmLocal)*CRONO!$F37,
                        0),
                 Z36*$S35),
          SUMIF(OFFSET($S37,1,0,$R35-2),($M35+1)&amp;"$",OFFSET(Z37,1,0,$R35-2)))</f>
        <v>0</v>
      </c>
      <c r="AA37" s="212">
        <f ca="1">IF($R35=2,
         IF(AND(ACOMPANHAMENTO="PLE",ISNUMBER($F35)),
                SUMIF((OFFSET(CÁLCULO!$AM$15:$AW$15,$F35,0,OFFSET(ORÇAMENTO!$D$15,CRONO!$F35,0))),CRONO!AA$12,OFFSET(CÁLCULO!$AB$15:$AL$15,$F35,0,OFFSET(ORÇAMENTO!$D$15,CRONO!$F35,0)))
                +IF(AND($F37&lt;&gt;"",$F37&lt;&gt;0),
                        SUMIF(CÁLCULO!$AM$15:$AW$89,CRONO!AA$12,CÁLCULO!$AB$15:$AL$89)/(ORÇAMENTO!$X$15-CÁLCULO.TotalAdmLocal)*CRONO!$F37,
                        0),
                 AA36*$S35),
          SUMIF(OFFSET($S37,1,0,$R35-2),($M35+1)&amp;"$",OFFSET(AA37,1,0,$R35-2)))</f>
        <v>0</v>
      </c>
      <c r="AB37" s="212">
        <f ca="1">IF($R35=2,
         IF(AND(ACOMPANHAMENTO="PLE",ISNUMBER($F35)),
                SUMIF((OFFSET(CÁLCULO!$AM$15:$AW$15,$F35,0,OFFSET(ORÇAMENTO!$D$15,CRONO!$F35,0))),CRONO!AB$12,OFFSET(CÁLCULO!$AB$15:$AL$15,$F35,0,OFFSET(ORÇAMENTO!$D$15,CRONO!$F35,0)))
                +IF(AND($F37&lt;&gt;"",$F37&lt;&gt;0),
                        SUMIF(CÁLCULO!$AM$15:$AW$89,CRONO!AB$12,CÁLCULO!$AB$15:$AL$89)/(ORÇAMENTO!$X$15-CÁLCULO.TotalAdmLocal)*CRONO!$F37,
                        0),
                 AB36*$S35),
          SUMIF(OFFSET($S37,1,0,$R35-2),($M35+1)&amp;"$",OFFSET(AB37,1,0,$R35-2)))</f>
        <v>0</v>
      </c>
      <c r="AC37" s="212">
        <f ca="1">IF($R35=2,
         IF(AND(ACOMPANHAMENTO="PLE",ISNUMBER($F35)),
                SUMIF((OFFSET(CÁLCULO!$AM$15:$AW$15,$F35,0,OFFSET(ORÇAMENTO!$D$15,CRONO!$F35,0))),CRONO!AC$12,OFFSET(CÁLCULO!$AB$15:$AL$15,$F35,0,OFFSET(ORÇAMENTO!$D$15,CRONO!$F35,0)))
                +IF(AND($F37&lt;&gt;"",$F37&lt;&gt;0),
                        SUMIF(CÁLCULO!$AM$15:$AW$89,CRONO!AC$12,CÁLCULO!$AB$15:$AL$89)/(ORÇAMENTO!$X$15-CÁLCULO.TotalAdmLocal)*CRONO!$F37,
                        0),
                 AC36*$S35),
          SUMIF(OFFSET($S37,1,0,$R35-2),($M35+1)&amp;"$",OFFSET(AC37,1,0,$R35-2)))</f>
        <v>0</v>
      </c>
      <c r="AD37" s="212">
        <f ca="1">IF($R35=2,
         IF(AND(ACOMPANHAMENTO="PLE",ISNUMBER($F35)),
                SUMIF((OFFSET(CÁLCULO!$AM$15:$AW$15,$F35,0,OFFSET(ORÇAMENTO!$D$15,CRONO!$F35,0))),CRONO!AD$12,OFFSET(CÁLCULO!$AB$15:$AL$15,$F35,0,OFFSET(ORÇAMENTO!$D$15,CRONO!$F35,0)))
                +IF(AND($F37&lt;&gt;"",$F37&lt;&gt;0),
                        SUMIF(CÁLCULO!$AM$15:$AW$89,CRONO!AD$12,CÁLCULO!$AB$15:$AL$89)/(ORÇAMENTO!$X$15-CÁLCULO.TotalAdmLocal)*CRONO!$F37,
                        0),
                 AD36*$S35),
          SUMIF(OFFSET($S37,1,0,$R35-2),($M35+1)&amp;"$",OFFSET(AD37,1,0,$R35-2)))</f>
        <v>0</v>
      </c>
      <c r="AE37" s="212">
        <f ca="1">IF($R35=2,
         IF(AND(ACOMPANHAMENTO="PLE",ISNUMBER($F35)),
                SUMIF((OFFSET(CÁLCULO!$AM$15:$AW$15,$F35,0,OFFSET(ORÇAMENTO!$D$15,CRONO!$F35,0))),CRONO!AE$12,OFFSET(CÁLCULO!$AB$15:$AL$15,$F35,0,OFFSET(ORÇAMENTO!$D$15,CRONO!$F35,0)))
                +IF(AND($F37&lt;&gt;"",$F37&lt;&gt;0),
                        SUMIF(CÁLCULO!$AM$15:$AW$89,CRONO!AE$12,CÁLCULO!$AB$15:$AL$89)/(ORÇAMENTO!$X$15-CÁLCULO.TotalAdmLocal)*CRONO!$F37,
                        0),
                 AE36*$S35),
          SUMIF(OFFSET($S37,1,0,$R35-2),($M35+1)&amp;"$",OFFSET(AE37,1,0,$R35-2)))</f>
        <v>0</v>
      </c>
      <c r="AF37" s="212">
        <f ca="1">IF($R35=2,
         IF(AND(ACOMPANHAMENTO="PLE",ISNUMBER($F35)),
                SUMIF((OFFSET(CÁLCULO!$AM$15:$AW$15,$F35,0,OFFSET(ORÇAMENTO!$D$15,CRONO!$F35,0))),CRONO!AF$12,OFFSET(CÁLCULO!$AB$15:$AL$15,$F35,0,OFFSET(ORÇAMENTO!$D$15,CRONO!$F35,0)))
                +IF(AND($F37&lt;&gt;"",$F37&lt;&gt;0),
                        SUMIF(CÁLCULO!$AM$15:$AW$89,CRONO!AF$12,CÁLCULO!$AB$15:$AL$89)/(ORÇAMENTO!$X$15-CÁLCULO.TotalAdmLocal)*CRONO!$F37,
                        0),
                 AF36*$S35),
          SUMIF(OFFSET($S37,1,0,$R35-2),($M35+1)&amp;"$",OFFSET(AF37,1,0,$R35-2)))</f>
        <v>0</v>
      </c>
      <c r="AG37" s="577"/>
    </row>
    <row r="38" spans="1:33" x14ac:dyDescent="0.2">
      <c r="A38" s="196" t="str">
        <f t="shared" ref="A38" ca="1" si="50">IF($M38&gt;1,CONCATENATE($I38," ",$J38),"")</f>
        <v>2.5. PISO DE CONCRETO CHURRASQUEIRA</v>
      </c>
      <c r="B38" s="195">
        <f t="shared" ref="B38" ca="1" si="51">OFFSET(B38,-3,0)+1</f>
        <v>9</v>
      </c>
      <c r="C38" s="195">
        <f ca="1">IF($R38&lt;&gt;2,0,IF($S38=0,1,IF(F39&gt;0,OFFSET(QCI!$M$13,SUBSTITUTE(F39,".",""),0),OFFSET(ORÇAMENTO!$AA$15,CRONO!$F38,0))/$S38))</f>
        <v>1</v>
      </c>
      <c r="D38" s="195">
        <f ca="1">IF($R38&lt;&gt;2,0,IF($S38=0,1,IF(F39&gt;0,OFFSET(QCI!$N$13,SUBSTITUTE(F39,".",""),0),OFFSET(ORÇAMENTO!$AB$15,CRONO!$F38,0))/$S38))</f>
        <v>1</v>
      </c>
      <c r="E38" s="198" t="e">
        <f ca="1">IF(AND($R38=2,ACOMPANHAMENTO="BM"),ROUND(E39,4),E40/$S38)</f>
        <v>#DIV/0!</v>
      </c>
      <c r="F38" s="195">
        <f ca="1">IF(B38&lt;=ORÇAMENTO.MáximoListaCrono,MATCH(B38,ORÇAMENTO.ListaCrono,0),NA())</f>
        <v>37</v>
      </c>
      <c r="G38" s="195" t="str">
        <f t="shared" ref="G38" ca="1" si="52">IF(AND($F39&lt;&gt;-1,$S38&gt;0),"F","")</f>
        <v/>
      </c>
      <c r="H38" s="199" t="str">
        <f ca="1">IF(OR(S38=0,S38=""),"Linha",IF(AND(OR(ACOMPANHAMENTO="PLE",$R38&lt;&gt;2),$F39=0),"Linha",ROUND(1-SUM(U38:AG38),4)))</f>
        <v>Linha</v>
      </c>
      <c r="I38" s="200" t="str">
        <f ca="1">IF($F39=0,OFFSET(ORÇAMENTO!O$15,$F38,0),IF($F39&lt;&gt;-1,OFFSET(QCI!$D$13,$F39,0),""))</f>
        <v>2.5.</v>
      </c>
      <c r="J38" s="201" t="str">
        <f ca="1">IF($F39=0,OFFSET(ORÇAMENTO!R$15,$F38,0),IF($F39&lt;&gt;-1,OFFSET(QCI!$G$13,$F39,0),""))</f>
        <v>PISO DE CONCRETO CHURRASQUEIRA</v>
      </c>
      <c r="K38" s="201"/>
      <c r="L38" s="201"/>
      <c r="M38" s="202">
        <f ca="1">IF($F39=0,OFFSET(ORÇAMENTO!C$15,$F38,0),1)</f>
        <v>2</v>
      </c>
      <c r="N38" s="203">
        <f ca="1">IF($F39=-1,0,IF(N$13&lt;=$M38,IF(ISERROR(MATCH(N$13,OFFSET($M38,1,0,ROW($M$92)-ROW($M38)-1),0)),ROW($M$92)-ROW($M38)-1,MATCH(N$13,OFFSET($M38,1,0,ROW($M$92)-ROW($M38)-1),0)-1),0))</f>
        <v>11</v>
      </c>
      <c r="O38" s="203">
        <f ca="1">IF($F39=-1,0,IF(O$13&lt;=$M38,IF(ISERROR(MATCH(O$13,OFFSET($M38,1,0,ROW($M$92)-ROW($M38)-1),0)),ROW($M$92)-ROW($M38)-1,MATCH(O$13,OFFSET($M38,1,0,ROW($M$92)-ROW($M38)-1),0)-1),0))</f>
        <v>2</v>
      </c>
      <c r="P38" s="203">
        <f ca="1">IF($F39=-1,0,IF(P$13&lt;=$M38,IF(ISERROR(MATCH(P$13,OFFSET($M38,1,0,ROW($M$92)-ROW($M38)-1),0)),ROW($M$92)-ROW($M38)-1,MATCH(P$13,OFFSET($M38,1,0,ROW($M$92)-ROW($M38)-1),0)-1),0))</f>
        <v>0</v>
      </c>
      <c r="Q38" s="203">
        <f ca="1">IF($F39=-1,0,IF(Q$13&lt;=$M38,IF(ISERROR(MATCH(Q$13,OFFSET($M38,1,0,ROW($M$92)-ROW($M38)-1),0)),ROW($M$92)-ROW($M38)-1,MATCH(Q$13,OFFSET($M38,1,0,ROW($M$92)-ROW($M38)-1),0)-1),0))</f>
        <v>0</v>
      </c>
      <c r="R38" s="203">
        <f t="shared" ref="R38" ca="1" si="53">MIN(OFFSET(M38,0,1,,M38))</f>
        <v>2</v>
      </c>
      <c r="S38" s="204">
        <f ca="1">IF($F39=0,OFFSET(ORÇAMENTO!X$15,$F38,0),IF($F39&lt;&gt;-1,OFFSET(QCI!$O$13,$F39,0),""))</f>
        <v>0</v>
      </c>
      <c r="T38" s="205" t="s">
        <v>266</v>
      </c>
      <c r="U38" s="198" t="e">
        <f ca="1">IF(AND($R38=2,ACOMPANHAMENTO="BM"),ROUND(U39,4),U40/$S38)</f>
        <v>#DIV/0!</v>
      </c>
      <c r="V38" s="198" t="e">
        <f ca="1">IF(AND($R38=2,ACOMPANHAMENTO="BM"),ROUND(V39,4),V40/$S38)</f>
        <v>#DIV/0!</v>
      </c>
      <c r="W38" s="198" t="e">
        <f ca="1">IF(AND($R38=2,ACOMPANHAMENTO="BM"),ROUND(W39,4),W40/$S38)</f>
        <v>#DIV/0!</v>
      </c>
      <c r="X38" s="198" t="e">
        <f ca="1">IF(AND($R38=2,ACOMPANHAMENTO="BM"),ROUND(X39,4),X40/$S38)</f>
        <v>#DIV/0!</v>
      </c>
      <c r="Y38" s="198" t="e">
        <f ca="1">IF(AND($R38=2,ACOMPANHAMENTO="BM"),ROUND(Y39,4),Y40/$S38)</f>
        <v>#DIV/0!</v>
      </c>
      <c r="Z38" s="198" t="e">
        <f ca="1">IF(AND($R38=2,ACOMPANHAMENTO="BM"),ROUND(Z39,4),Z40/$S38)</f>
        <v>#DIV/0!</v>
      </c>
      <c r="AA38" s="198" t="e">
        <f ca="1">IF(AND($R38=2,ACOMPANHAMENTO="BM"),ROUND(AA39,4),AA40/$S38)</f>
        <v>#DIV/0!</v>
      </c>
      <c r="AB38" s="198" t="e">
        <f ca="1">IF(AND($R38=2,ACOMPANHAMENTO="BM"),ROUND(AB39,4),AB40/$S38)</f>
        <v>#DIV/0!</v>
      </c>
      <c r="AC38" s="198" t="e">
        <f ca="1">IF(AND($R38=2,ACOMPANHAMENTO="BM"),ROUND(AC39,4),AC40/$S38)</f>
        <v>#DIV/0!</v>
      </c>
      <c r="AD38" s="198" t="e">
        <f ca="1">IF(AND($R38=2,ACOMPANHAMENTO="BM"),ROUND(AD39,4),AD40/$S38)</f>
        <v>#DIV/0!</v>
      </c>
      <c r="AE38" s="198" t="e">
        <f ca="1">IF(AND($R38=2,ACOMPANHAMENTO="BM"),ROUND(AE39,4),AE40/$S38)</f>
        <v>#DIV/0!</v>
      </c>
      <c r="AF38" s="198" t="e">
        <f ca="1">IF(AND($R38=2,ACOMPANHAMENTO="BM"),ROUND(AF39,4),AF40/$S38)</f>
        <v>#DIV/0!</v>
      </c>
      <c r="AG38" s="577"/>
    </row>
    <row r="39" spans="1:33" ht="12.75" hidden="1" customHeight="1" x14ac:dyDescent="0.2">
      <c r="E39" s="646"/>
      <c r="F39" s="195">
        <f ca="1">IF(ISERROR(F38),IF(1+COUNTIF($M$13:OFFSET(M38,-1,0),1)&lt;=MAX(QCI!$D$13:$D$24),1+COUNTIF($M$13:OFFSET(M38,-1,0),1),-1),0)</f>
        <v>0</v>
      </c>
      <c r="G39" s="195" t="str">
        <f ca="1">IF(ACOMPANHAMENTO="BM",OFFSET(G39,-1,0),"")</f>
        <v/>
      </c>
      <c r="H39" s="206" t="str">
        <f ca="1">IF(OR(S38=0,S38=""),"vazia",IF(AND(OR(ACOMPANHAMENTO="PLE",$R38&lt;&gt;2),$F39=0),"calculada","--&gt;"))</f>
        <v>vazia</v>
      </c>
      <c r="I39" s="207"/>
      <c r="J39" s="208" t="str">
        <f t="shared" ref="J39" ca="1" si="54">IF(AND(H38&lt;&gt;0,ISNUMBER(H38)),"PREENCHA ESTA LINHA --&gt;","")</f>
        <v/>
      </c>
      <c r="K39" s="208"/>
      <c r="L39" s="208"/>
      <c r="M39" s="209"/>
      <c r="N39" s="209"/>
      <c r="O39" s="209"/>
      <c r="P39" s="209"/>
      <c r="Q39" s="209"/>
      <c r="R39" s="209"/>
      <c r="S39" s="210"/>
      <c r="T39" s="211"/>
      <c r="U39" s="646"/>
      <c r="V39" s="646"/>
      <c r="W39" s="646"/>
      <c r="X39" s="646"/>
      <c r="Y39" s="646"/>
      <c r="Z39" s="646"/>
      <c r="AA39" s="646"/>
      <c r="AB39" s="646"/>
      <c r="AC39" s="646"/>
      <c r="AD39" s="646"/>
      <c r="AE39" s="646"/>
      <c r="AF39" s="646"/>
      <c r="AG39" s="577"/>
    </row>
    <row r="40" spans="1:33" ht="12.75" hidden="1" customHeight="1" x14ac:dyDescent="0.2">
      <c r="D40" s="576"/>
      <c r="E40" s="212">
        <f ca="1">IF($R38=2,
         IF(AND(ACOMPANHAMENTO="PLE",ISNUMBER($F38)),
                SUMIF((OFFSET(CÁLCULO!$AM$15:$AW$15,$F38,0,OFFSET(ORÇAMENTO!$D$15,CRONO!$F38,0))),CRONO!E$12,OFFSET(CÁLCULO!$AB$15:$AL$15,$F38,0,OFFSET(ORÇAMENTO!$D$15,CRONO!$F38,0)))
                +IF(AND($F40&lt;&gt;"",$F40&lt;&gt;0),
                        SUMIF(CÁLCULO!$AM$15:$AW$89,CRONO!E$12,CÁLCULO!$AB$15:$AL$89)/(ORÇAMENTO!$X$15-CÁLCULO.TotalAdmLocal)*CRONO!$F40,
                        0),
                 E39*$S38),
          SUMIF(OFFSET($S40,1,0,$R38-2),($M38+1)&amp;"$",OFFSET(E40,1,0,$R38-2)))</f>
        <v>0</v>
      </c>
      <c r="F40" s="195" t="str">
        <f ca="1">IF(OR($R38&lt;&gt;2,AUTOEVENTO&lt;&gt;"manual",$F39&gt;0),"",
        IF(Import.TipoArredondamento="Tradicional",
              SUMIF(OFFSET(CÁLCULO!$M$15,CRONO!$F38,0,OFFSET(ORÇAMENTO!$D$15,CRONO!$F38,0)),1,OFFSET(ORÇAMENTO!$X$15,CRONO!$F38,0,OFFSET(ORÇAMENTO!$D$15,CRONO!$F38,0))),
              0))</f>
        <v/>
      </c>
      <c r="H40" s="213"/>
      <c r="S40" s="214" t="str">
        <f t="shared" ref="S40" ca="1" si="55">M38&amp;"$"</f>
        <v>2$</v>
      </c>
      <c r="T40" s="215"/>
      <c r="U40" s="212">
        <f ca="1">IF($R38=2,
         IF(AND(ACOMPANHAMENTO="PLE",ISNUMBER($F38)),
                SUMIF((OFFSET(CÁLCULO!$AM$15:$AW$15,$F38,0,OFFSET(ORÇAMENTO!$D$15,CRONO!$F38,0))),CRONO!U$12,OFFSET(CÁLCULO!$AB$15:$AL$15,$F38,0,OFFSET(ORÇAMENTO!$D$15,CRONO!$F38,0)))
                +IF(AND($F40&lt;&gt;"",$F40&lt;&gt;0),
                        SUMIF(CÁLCULO!$AM$15:$AW$89,CRONO!U$12,CÁLCULO!$AB$15:$AL$89)/(ORÇAMENTO!$X$15-CÁLCULO.TotalAdmLocal)*CRONO!$F40,
                        0),
                 U39*$S38),
          SUMIF(OFFSET($S40,1,0,$R38-2),($M38+1)&amp;"$",OFFSET(U40,1,0,$R38-2)))</f>
        <v>0</v>
      </c>
      <c r="V40" s="212">
        <f ca="1">IF($R38=2,
         IF(AND(ACOMPANHAMENTO="PLE",ISNUMBER($F38)),
                SUMIF((OFFSET(CÁLCULO!$AM$15:$AW$15,$F38,0,OFFSET(ORÇAMENTO!$D$15,CRONO!$F38,0))),CRONO!V$12,OFFSET(CÁLCULO!$AB$15:$AL$15,$F38,0,OFFSET(ORÇAMENTO!$D$15,CRONO!$F38,0)))
                +IF(AND($F40&lt;&gt;"",$F40&lt;&gt;0),
                        SUMIF(CÁLCULO!$AM$15:$AW$89,CRONO!V$12,CÁLCULO!$AB$15:$AL$89)/(ORÇAMENTO!$X$15-CÁLCULO.TotalAdmLocal)*CRONO!$F40,
                        0),
                 V39*$S38),
          SUMIF(OFFSET($S40,1,0,$R38-2),($M38+1)&amp;"$",OFFSET(V40,1,0,$R38-2)))</f>
        <v>0</v>
      </c>
      <c r="W40" s="212">
        <f ca="1">IF($R38=2,
         IF(AND(ACOMPANHAMENTO="PLE",ISNUMBER($F38)),
                SUMIF((OFFSET(CÁLCULO!$AM$15:$AW$15,$F38,0,OFFSET(ORÇAMENTO!$D$15,CRONO!$F38,0))),CRONO!W$12,OFFSET(CÁLCULO!$AB$15:$AL$15,$F38,0,OFFSET(ORÇAMENTO!$D$15,CRONO!$F38,0)))
                +IF(AND($F40&lt;&gt;"",$F40&lt;&gt;0),
                        SUMIF(CÁLCULO!$AM$15:$AW$89,CRONO!W$12,CÁLCULO!$AB$15:$AL$89)/(ORÇAMENTO!$X$15-CÁLCULO.TotalAdmLocal)*CRONO!$F40,
                        0),
                 W39*$S38),
          SUMIF(OFFSET($S40,1,0,$R38-2),($M38+1)&amp;"$",OFFSET(W40,1,0,$R38-2)))</f>
        <v>0</v>
      </c>
      <c r="X40" s="212">
        <f ca="1">IF($R38=2,
         IF(AND(ACOMPANHAMENTO="PLE",ISNUMBER($F38)),
                SUMIF((OFFSET(CÁLCULO!$AM$15:$AW$15,$F38,0,OFFSET(ORÇAMENTO!$D$15,CRONO!$F38,0))),CRONO!X$12,OFFSET(CÁLCULO!$AB$15:$AL$15,$F38,0,OFFSET(ORÇAMENTO!$D$15,CRONO!$F38,0)))
                +IF(AND($F40&lt;&gt;"",$F40&lt;&gt;0),
                        SUMIF(CÁLCULO!$AM$15:$AW$89,CRONO!X$12,CÁLCULO!$AB$15:$AL$89)/(ORÇAMENTO!$X$15-CÁLCULO.TotalAdmLocal)*CRONO!$F40,
                        0),
                 X39*$S38),
          SUMIF(OFFSET($S40,1,0,$R38-2),($M38+1)&amp;"$",OFFSET(X40,1,0,$R38-2)))</f>
        <v>0</v>
      </c>
      <c r="Y40" s="212">
        <f ca="1">IF($R38=2,
         IF(AND(ACOMPANHAMENTO="PLE",ISNUMBER($F38)),
                SUMIF((OFFSET(CÁLCULO!$AM$15:$AW$15,$F38,0,OFFSET(ORÇAMENTO!$D$15,CRONO!$F38,0))),CRONO!Y$12,OFFSET(CÁLCULO!$AB$15:$AL$15,$F38,0,OFFSET(ORÇAMENTO!$D$15,CRONO!$F38,0)))
                +IF(AND($F40&lt;&gt;"",$F40&lt;&gt;0),
                        SUMIF(CÁLCULO!$AM$15:$AW$89,CRONO!Y$12,CÁLCULO!$AB$15:$AL$89)/(ORÇAMENTO!$X$15-CÁLCULO.TotalAdmLocal)*CRONO!$F40,
                        0),
                 Y39*$S38),
          SUMIF(OFFSET($S40,1,0,$R38-2),($M38+1)&amp;"$",OFFSET(Y40,1,0,$R38-2)))</f>
        <v>0</v>
      </c>
      <c r="Z40" s="212">
        <f ca="1">IF($R38=2,
         IF(AND(ACOMPANHAMENTO="PLE",ISNUMBER($F38)),
                SUMIF((OFFSET(CÁLCULO!$AM$15:$AW$15,$F38,0,OFFSET(ORÇAMENTO!$D$15,CRONO!$F38,0))),CRONO!Z$12,OFFSET(CÁLCULO!$AB$15:$AL$15,$F38,0,OFFSET(ORÇAMENTO!$D$15,CRONO!$F38,0)))
                +IF(AND($F40&lt;&gt;"",$F40&lt;&gt;0),
                        SUMIF(CÁLCULO!$AM$15:$AW$89,CRONO!Z$12,CÁLCULO!$AB$15:$AL$89)/(ORÇAMENTO!$X$15-CÁLCULO.TotalAdmLocal)*CRONO!$F40,
                        0),
                 Z39*$S38),
          SUMIF(OFFSET($S40,1,0,$R38-2),($M38+1)&amp;"$",OFFSET(Z40,1,0,$R38-2)))</f>
        <v>0</v>
      </c>
      <c r="AA40" s="212">
        <f ca="1">IF($R38=2,
         IF(AND(ACOMPANHAMENTO="PLE",ISNUMBER($F38)),
                SUMIF((OFFSET(CÁLCULO!$AM$15:$AW$15,$F38,0,OFFSET(ORÇAMENTO!$D$15,CRONO!$F38,0))),CRONO!AA$12,OFFSET(CÁLCULO!$AB$15:$AL$15,$F38,0,OFFSET(ORÇAMENTO!$D$15,CRONO!$F38,0)))
                +IF(AND($F40&lt;&gt;"",$F40&lt;&gt;0),
                        SUMIF(CÁLCULO!$AM$15:$AW$89,CRONO!AA$12,CÁLCULO!$AB$15:$AL$89)/(ORÇAMENTO!$X$15-CÁLCULO.TotalAdmLocal)*CRONO!$F40,
                        0),
                 AA39*$S38),
          SUMIF(OFFSET($S40,1,0,$R38-2),($M38+1)&amp;"$",OFFSET(AA40,1,0,$R38-2)))</f>
        <v>0</v>
      </c>
      <c r="AB40" s="212">
        <f ca="1">IF($R38=2,
         IF(AND(ACOMPANHAMENTO="PLE",ISNUMBER($F38)),
                SUMIF((OFFSET(CÁLCULO!$AM$15:$AW$15,$F38,0,OFFSET(ORÇAMENTO!$D$15,CRONO!$F38,0))),CRONO!AB$12,OFFSET(CÁLCULO!$AB$15:$AL$15,$F38,0,OFFSET(ORÇAMENTO!$D$15,CRONO!$F38,0)))
                +IF(AND($F40&lt;&gt;"",$F40&lt;&gt;0),
                        SUMIF(CÁLCULO!$AM$15:$AW$89,CRONO!AB$12,CÁLCULO!$AB$15:$AL$89)/(ORÇAMENTO!$X$15-CÁLCULO.TotalAdmLocal)*CRONO!$F40,
                        0),
                 AB39*$S38),
          SUMIF(OFFSET($S40,1,0,$R38-2),($M38+1)&amp;"$",OFFSET(AB40,1,0,$R38-2)))</f>
        <v>0</v>
      </c>
      <c r="AC40" s="212">
        <f ca="1">IF($R38=2,
         IF(AND(ACOMPANHAMENTO="PLE",ISNUMBER($F38)),
                SUMIF((OFFSET(CÁLCULO!$AM$15:$AW$15,$F38,0,OFFSET(ORÇAMENTO!$D$15,CRONO!$F38,0))),CRONO!AC$12,OFFSET(CÁLCULO!$AB$15:$AL$15,$F38,0,OFFSET(ORÇAMENTO!$D$15,CRONO!$F38,0)))
                +IF(AND($F40&lt;&gt;"",$F40&lt;&gt;0),
                        SUMIF(CÁLCULO!$AM$15:$AW$89,CRONO!AC$12,CÁLCULO!$AB$15:$AL$89)/(ORÇAMENTO!$X$15-CÁLCULO.TotalAdmLocal)*CRONO!$F40,
                        0),
                 AC39*$S38),
          SUMIF(OFFSET($S40,1,0,$R38-2),($M38+1)&amp;"$",OFFSET(AC40,1,0,$R38-2)))</f>
        <v>0</v>
      </c>
      <c r="AD40" s="212">
        <f ca="1">IF($R38=2,
         IF(AND(ACOMPANHAMENTO="PLE",ISNUMBER($F38)),
                SUMIF((OFFSET(CÁLCULO!$AM$15:$AW$15,$F38,0,OFFSET(ORÇAMENTO!$D$15,CRONO!$F38,0))),CRONO!AD$12,OFFSET(CÁLCULO!$AB$15:$AL$15,$F38,0,OFFSET(ORÇAMENTO!$D$15,CRONO!$F38,0)))
                +IF(AND($F40&lt;&gt;"",$F40&lt;&gt;0),
                        SUMIF(CÁLCULO!$AM$15:$AW$89,CRONO!AD$12,CÁLCULO!$AB$15:$AL$89)/(ORÇAMENTO!$X$15-CÁLCULO.TotalAdmLocal)*CRONO!$F40,
                        0),
                 AD39*$S38),
          SUMIF(OFFSET($S40,1,0,$R38-2),($M38+1)&amp;"$",OFFSET(AD40,1,0,$R38-2)))</f>
        <v>0</v>
      </c>
      <c r="AE40" s="212">
        <f ca="1">IF($R38=2,
         IF(AND(ACOMPANHAMENTO="PLE",ISNUMBER($F38)),
                SUMIF((OFFSET(CÁLCULO!$AM$15:$AW$15,$F38,0,OFFSET(ORÇAMENTO!$D$15,CRONO!$F38,0))),CRONO!AE$12,OFFSET(CÁLCULO!$AB$15:$AL$15,$F38,0,OFFSET(ORÇAMENTO!$D$15,CRONO!$F38,0)))
                +IF(AND($F40&lt;&gt;"",$F40&lt;&gt;0),
                        SUMIF(CÁLCULO!$AM$15:$AW$89,CRONO!AE$12,CÁLCULO!$AB$15:$AL$89)/(ORÇAMENTO!$X$15-CÁLCULO.TotalAdmLocal)*CRONO!$F40,
                        0),
                 AE39*$S38),
          SUMIF(OFFSET($S40,1,0,$R38-2),($M38+1)&amp;"$",OFFSET(AE40,1,0,$R38-2)))</f>
        <v>0</v>
      </c>
      <c r="AF40" s="212">
        <f ca="1">IF($R38=2,
         IF(AND(ACOMPANHAMENTO="PLE",ISNUMBER($F38)),
                SUMIF((OFFSET(CÁLCULO!$AM$15:$AW$15,$F38,0,OFFSET(ORÇAMENTO!$D$15,CRONO!$F38,0))),CRONO!AF$12,OFFSET(CÁLCULO!$AB$15:$AL$15,$F38,0,OFFSET(ORÇAMENTO!$D$15,CRONO!$F38,0)))
                +IF(AND($F40&lt;&gt;"",$F40&lt;&gt;0),
                        SUMIF(CÁLCULO!$AM$15:$AW$89,CRONO!AF$12,CÁLCULO!$AB$15:$AL$89)/(ORÇAMENTO!$X$15-CÁLCULO.TotalAdmLocal)*CRONO!$F40,
                        0),
                 AF39*$S38),
          SUMIF(OFFSET($S40,1,0,$R38-2),($M38+1)&amp;"$",OFFSET(AF40,1,0,$R38-2)))</f>
        <v>0</v>
      </c>
      <c r="AG40" s="577"/>
    </row>
    <row r="41" spans="1:33" x14ac:dyDescent="0.2">
      <c r="A41" s="196" t="str">
        <f t="shared" ref="A41" ca="1" si="56">IF($M41&gt;1,CONCATENATE($I41," ",$J41),"")</f>
        <v>2.6. INSTALAÇÃO DO TELHADO</v>
      </c>
      <c r="B41" s="195">
        <f t="shared" ref="B41" ca="1" si="57">OFFSET(B41,-3,0)+1</f>
        <v>10</v>
      </c>
      <c r="C41" s="195">
        <f ca="1">IF($R41&lt;&gt;2,0,IF($S41=0,1,IF(F42&gt;0,OFFSET(QCI!$M$13,SUBSTITUTE(F42,".",""),0),OFFSET(ORÇAMENTO!$AA$15,CRONO!$F41,0))/$S41))</f>
        <v>1</v>
      </c>
      <c r="D41" s="195">
        <f ca="1">IF($R41&lt;&gt;2,0,IF($S41=0,1,IF(F42&gt;0,OFFSET(QCI!$N$13,SUBSTITUTE(F42,".",""),0),OFFSET(ORÇAMENTO!$AB$15,CRONO!$F41,0))/$S41))</f>
        <v>1</v>
      </c>
      <c r="E41" s="198" t="e">
        <f ca="1">IF(AND($R41=2,ACOMPANHAMENTO="BM"),ROUND(E42,4),E43/$S41)</f>
        <v>#DIV/0!</v>
      </c>
      <c r="F41" s="195">
        <f ca="1">IF(B41&lt;=ORÇAMENTO.MáximoListaCrono,MATCH(B41,ORÇAMENTO.ListaCrono,0),NA())</f>
        <v>44</v>
      </c>
      <c r="G41" s="195" t="str">
        <f t="shared" ref="G41" ca="1" si="58">IF(AND($F42&lt;&gt;-1,$S41&gt;0),"F","")</f>
        <v/>
      </c>
      <c r="H41" s="199" t="str">
        <f ca="1">IF(OR(S41=0,S41=""),"Linha",IF(AND(OR(ACOMPANHAMENTO="PLE",$R41&lt;&gt;2),$F42=0),"Linha",ROUND(1-SUM(U41:AG41),4)))</f>
        <v>Linha</v>
      </c>
      <c r="I41" s="200" t="str">
        <f ca="1">IF($F42=0,OFFSET(ORÇAMENTO!O$15,$F41,0),IF($F42&lt;&gt;-1,OFFSET(QCI!$D$13,$F42,0),""))</f>
        <v>2.6.</v>
      </c>
      <c r="J41" s="201" t="str">
        <f ca="1">IF($F42=0,OFFSET(ORÇAMENTO!R$15,$F41,0),IF($F42&lt;&gt;-1,OFFSET(QCI!$G$13,$F42,0),""))</f>
        <v>INSTALAÇÃO DO TELHADO</v>
      </c>
      <c r="K41" s="201"/>
      <c r="L41" s="201"/>
      <c r="M41" s="202">
        <f ca="1">IF($F42=0,OFFSET(ORÇAMENTO!C$15,$F41,0),1)</f>
        <v>2</v>
      </c>
      <c r="N41" s="203">
        <f ca="1">IF($F42=-1,0,IF(N$13&lt;=$M41,IF(ISERROR(MATCH(N$13,OFFSET($M41,1,0,ROW($M$92)-ROW($M41)-1),0)),ROW($M$92)-ROW($M41)-1,MATCH(N$13,OFFSET($M41,1,0,ROW($M$92)-ROW($M41)-1),0)-1),0))</f>
        <v>8</v>
      </c>
      <c r="O41" s="203">
        <f ca="1">IF($F42=-1,0,IF(O$13&lt;=$M41,IF(ISERROR(MATCH(O$13,OFFSET($M41,1,0,ROW($M$92)-ROW($M41)-1),0)),ROW($M$92)-ROW($M41)-1,MATCH(O$13,OFFSET($M41,1,0,ROW($M$92)-ROW($M41)-1),0)-1),0))</f>
        <v>2</v>
      </c>
      <c r="P41" s="203">
        <f ca="1">IF($F42=-1,0,IF(P$13&lt;=$M41,IF(ISERROR(MATCH(P$13,OFFSET($M41,1,0,ROW($M$92)-ROW($M41)-1),0)),ROW($M$92)-ROW($M41)-1,MATCH(P$13,OFFSET($M41,1,0,ROW($M$92)-ROW($M41)-1),0)-1),0))</f>
        <v>0</v>
      </c>
      <c r="Q41" s="203">
        <f ca="1">IF($F42=-1,0,IF(Q$13&lt;=$M41,IF(ISERROR(MATCH(Q$13,OFFSET($M41,1,0,ROW($M$92)-ROW($M41)-1),0)),ROW($M$92)-ROW($M41)-1,MATCH(Q$13,OFFSET($M41,1,0,ROW($M$92)-ROW($M41)-1),0)-1),0))</f>
        <v>0</v>
      </c>
      <c r="R41" s="203">
        <f t="shared" ref="R41" ca="1" si="59">MIN(OFFSET(M41,0,1,,M41))</f>
        <v>2</v>
      </c>
      <c r="S41" s="204">
        <f ca="1">IF($F42=0,OFFSET(ORÇAMENTO!X$15,$F41,0),IF($F42&lt;&gt;-1,OFFSET(QCI!$O$13,$F42,0),""))</f>
        <v>0</v>
      </c>
      <c r="T41" s="205" t="s">
        <v>266</v>
      </c>
      <c r="U41" s="198" t="e">
        <f ca="1">IF(AND($R41=2,ACOMPANHAMENTO="BM"),ROUND(U42,4),U43/$S41)</f>
        <v>#DIV/0!</v>
      </c>
      <c r="V41" s="198" t="e">
        <f ca="1">IF(AND($R41=2,ACOMPANHAMENTO="BM"),ROUND(V42,4),V43/$S41)</f>
        <v>#DIV/0!</v>
      </c>
      <c r="W41" s="198" t="e">
        <f ca="1">IF(AND($R41=2,ACOMPANHAMENTO="BM"),ROUND(W42,4),W43/$S41)</f>
        <v>#DIV/0!</v>
      </c>
      <c r="X41" s="198" t="e">
        <f ca="1">IF(AND($R41=2,ACOMPANHAMENTO="BM"),ROUND(X42,4),X43/$S41)</f>
        <v>#DIV/0!</v>
      </c>
      <c r="Y41" s="198" t="e">
        <f ca="1">IF(AND($R41=2,ACOMPANHAMENTO="BM"),ROUND(Y42,4),Y43/$S41)</f>
        <v>#DIV/0!</v>
      </c>
      <c r="Z41" s="198" t="e">
        <f ca="1">IF(AND($R41=2,ACOMPANHAMENTO="BM"),ROUND(Z42,4),Z43/$S41)</f>
        <v>#DIV/0!</v>
      </c>
      <c r="AA41" s="198" t="e">
        <f ca="1">IF(AND($R41=2,ACOMPANHAMENTO="BM"),ROUND(AA42,4),AA43/$S41)</f>
        <v>#DIV/0!</v>
      </c>
      <c r="AB41" s="198" t="e">
        <f ca="1">IF(AND($R41=2,ACOMPANHAMENTO="BM"),ROUND(AB42,4),AB43/$S41)</f>
        <v>#DIV/0!</v>
      </c>
      <c r="AC41" s="198" t="e">
        <f ca="1">IF(AND($R41=2,ACOMPANHAMENTO="BM"),ROUND(AC42,4),AC43/$S41)</f>
        <v>#DIV/0!</v>
      </c>
      <c r="AD41" s="198" t="e">
        <f ca="1">IF(AND($R41=2,ACOMPANHAMENTO="BM"),ROUND(AD42,4),AD43/$S41)</f>
        <v>#DIV/0!</v>
      </c>
      <c r="AE41" s="198" t="e">
        <f ca="1">IF(AND($R41=2,ACOMPANHAMENTO="BM"),ROUND(AE42,4),AE43/$S41)</f>
        <v>#DIV/0!</v>
      </c>
      <c r="AF41" s="198" t="e">
        <f ca="1">IF(AND($R41=2,ACOMPANHAMENTO="BM"),ROUND(AF42,4),AF43/$S41)</f>
        <v>#DIV/0!</v>
      </c>
      <c r="AG41" s="577"/>
    </row>
    <row r="42" spans="1:33" ht="12.75" hidden="1" customHeight="1" x14ac:dyDescent="0.2">
      <c r="E42" s="646"/>
      <c r="F42" s="195">
        <f ca="1">IF(ISERROR(F41),IF(1+COUNTIF($M$13:OFFSET(M41,-1,0),1)&lt;=MAX(QCI!$D$13:$D$24),1+COUNTIF($M$13:OFFSET(M41,-1,0),1),-1),0)</f>
        <v>0</v>
      </c>
      <c r="G42" s="195" t="str">
        <f ca="1">IF(ACOMPANHAMENTO="BM",OFFSET(G42,-1,0),"")</f>
        <v/>
      </c>
      <c r="H42" s="206" t="str">
        <f ca="1">IF(OR(S41=0,S41=""),"vazia",IF(AND(OR(ACOMPANHAMENTO="PLE",$R41&lt;&gt;2),$F42=0),"calculada","--&gt;"))</f>
        <v>vazia</v>
      </c>
      <c r="I42" s="207"/>
      <c r="J42" s="208" t="str">
        <f t="shared" ref="J42" ca="1" si="60">IF(AND(H41&lt;&gt;0,ISNUMBER(H41)),"PREENCHA ESTA LINHA --&gt;","")</f>
        <v/>
      </c>
      <c r="K42" s="208"/>
      <c r="L42" s="208"/>
      <c r="M42" s="209"/>
      <c r="N42" s="209"/>
      <c r="O42" s="209"/>
      <c r="P42" s="209"/>
      <c r="Q42" s="209"/>
      <c r="R42" s="209"/>
      <c r="S42" s="210"/>
      <c r="T42" s="211"/>
      <c r="U42" s="646"/>
      <c r="V42" s="646"/>
      <c r="W42" s="646"/>
      <c r="X42" s="646"/>
      <c r="Y42" s="646"/>
      <c r="Z42" s="646"/>
      <c r="AA42" s="646"/>
      <c r="AB42" s="646"/>
      <c r="AC42" s="646"/>
      <c r="AD42" s="646"/>
      <c r="AE42" s="646"/>
      <c r="AF42" s="646"/>
      <c r="AG42" s="577"/>
    </row>
    <row r="43" spans="1:33" ht="12.75" hidden="1" customHeight="1" x14ac:dyDescent="0.2">
      <c r="D43" s="576"/>
      <c r="E43" s="212">
        <f ca="1">IF($R41=2,
         IF(AND(ACOMPANHAMENTO="PLE",ISNUMBER($F41)),
                SUMIF((OFFSET(CÁLCULO!$AM$15:$AW$15,$F41,0,OFFSET(ORÇAMENTO!$D$15,CRONO!$F41,0))),CRONO!E$12,OFFSET(CÁLCULO!$AB$15:$AL$15,$F41,0,OFFSET(ORÇAMENTO!$D$15,CRONO!$F41,0)))
                +IF(AND($F43&lt;&gt;"",$F43&lt;&gt;0),
                        SUMIF(CÁLCULO!$AM$15:$AW$89,CRONO!E$12,CÁLCULO!$AB$15:$AL$89)/(ORÇAMENTO!$X$15-CÁLCULO.TotalAdmLocal)*CRONO!$F43,
                        0),
                 E42*$S41),
          SUMIF(OFFSET($S43,1,0,$R41-2),($M41+1)&amp;"$",OFFSET(E43,1,0,$R41-2)))</f>
        <v>0</v>
      </c>
      <c r="F43" s="195" t="str">
        <f ca="1">IF(OR($R41&lt;&gt;2,AUTOEVENTO&lt;&gt;"manual",$F42&gt;0),"",
        IF(Import.TipoArredondamento="Tradicional",
              SUMIF(OFFSET(CÁLCULO!$M$15,CRONO!$F41,0,OFFSET(ORÇAMENTO!$D$15,CRONO!$F41,0)),1,OFFSET(ORÇAMENTO!$X$15,CRONO!$F41,0,OFFSET(ORÇAMENTO!$D$15,CRONO!$F41,0))),
              0))</f>
        <v/>
      </c>
      <c r="H43" s="213"/>
      <c r="S43" s="214" t="str">
        <f t="shared" ref="S43" ca="1" si="61">M41&amp;"$"</f>
        <v>2$</v>
      </c>
      <c r="T43" s="215"/>
      <c r="U43" s="212">
        <f ca="1">IF($R41=2,
         IF(AND(ACOMPANHAMENTO="PLE",ISNUMBER($F41)),
                SUMIF((OFFSET(CÁLCULO!$AM$15:$AW$15,$F41,0,OFFSET(ORÇAMENTO!$D$15,CRONO!$F41,0))),CRONO!U$12,OFFSET(CÁLCULO!$AB$15:$AL$15,$F41,0,OFFSET(ORÇAMENTO!$D$15,CRONO!$F41,0)))
                +IF(AND($F43&lt;&gt;"",$F43&lt;&gt;0),
                        SUMIF(CÁLCULO!$AM$15:$AW$89,CRONO!U$12,CÁLCULO!$AB$15:$AL$89)/(ORÇAMENTO!$X$15-CÁLCULO.TotalAdmLocal)*CRONO!$F43,
                        0),
                 U42*$S41),
          SUMIF(OFFSET($S43,1,0,$R41-2),($M41+1)&amp;"$",OFFSET(U43,1,0,$R41-2)))</f>
        <v>0</v>
      </c>
      <c r="V43" s="212">
        <f ca="1">IF($R41=2,
         IF(AND(ACOMPANHAMENTO="PLE",ISNUMBER($F41)),
                SUMIF((OFFSET(CÁLCULO!$AM$15:$AW$15,$F41,0,OFFSET(ORÇAMENTO!$D$15,CRONO!$F41,0))),CRONO!V$12,OFFSET(CÁLCULO!$AB$15:$AL$15,$F41,0,OFFSET(ORÇAMENTO!$D$15,CRONO!$F41,0)))
                +IF(AND($F43&lt;&gt;"",$F43&lt;&gt;0),
                        SUMIF(CÁLCULO!$AM$15:$AW$89,CRONO!V$12,CÁLCULO!$AB$15:$AL$89)/(ORÇAMENTO!$X$15-CÁLCULO.TotalAdmLocal)*CRONO!$F43,
                        0),
                 V42*$S41),
          SUMIF(OFFSET($S43,1,0,$R41-2),($M41+1)&amp;"$",OFFSET(V43,1,0,$R41-2)))</f>
        <v>0</v>
      </c>
      <c r="W43" s="212">
        <f ca="1">IF($R41=2,
         IF(AND(ACOMPANHAMENTO="PLE",ISNUMBER($F41)),
                SUMIF((OFFSET(CÁLCULO!$AM$15:$AW$15,$F41,0,OFFSET(ORÇAMENTO!$D$15,CRONO!$F41,0))),CRONO!W$12,OFFSET(CÁLCULO!$AB$15:$AL$15,$F41,0,OFFSET(ORÇAMENTO!$D$15,CRONO!$F41,0)))
                +IF(AND($F43&lt;&gt;"",$F43&lt;&gt;0),
                        SUMIF(CÁLCULO!$AM$15:$AW$89,CRONO!W$12,CÁLCULO!$AB$15:$AL$89)/(ORÇAMENTO!$X$15-CÁLCULO.TotalAdmLocal)*CRONO!$F43,
                        0),
                 W42*$S41),
          SUMIF(OFFSET($S43,1,0,$R41-2),($M41+1)&amp;"$",OFFSET(W43,1,0,$R41-2)))</f>
        <v>0</v>
      </c>
      <c r="X43" s="212">
        <f ca="1">IF($R41=2,
         IF(AND(ACOMPANHAMENTO="PLE",ISNUMBER($F41)),
                SUMIF((OFFSET(CÁLCULO!$AM$15:$AW$15,$F41,0,OFFSET(ORÇAMENTO!$D$15,CRONO!$F41,0))),CRONO!X$12,OFFSET(CÁLCULO!$AB$15:$AL$15,$F41,0,OFFSET(ORÇAMENTO!$D$15,CRONO!$F41,0)))
                +IF(AND($F43&lt;&gt;"",$F43&lt;&gt;0),
                        SUMIF(CÁLCULO!$AM$15:$AW$89,CRONO!X$12,CÁLCULO!$AB$15:$AL$89)/(ORÇAMENTO!$X$15-CÁLCULO.TotalAdmLocal)*CRONO!$F43,
                        0),
                 X42*$S41),
          SUMIF(OFFSET($S43,1,0,$R41-2),($M41+1)&amp;"$",OFFSET(X43,1,0,$R41-2)))</f>
        <v>0</v>
      </c>
      <c r="Y43" s="212">
        <f ca="1">IF($R41=2,
         IF(AND(ACOMPANHAMENTO="PLE",ISNUMBER($F41)),
                SUMIF((OFFSET(CÁLCULO!$AM$15:$AW$15,$F41,0,OFFSET(ORÇAMENTO!$D$15,CRONO!$F41,0))),CRONO!Y$12,OFFSET(CÁLCULO!$AB$15:$AL$15,$F41,0,OFFSET(ORÇAMENTO!$D$15,CRONO!$F41,0)))
                +IF(AND($F43&lt;&gt;"",$F43&lt;&gt;0),
                        SUMIF(CÁLCULO!$AM$15:$AW$89,CRONO!Y$12,CÁLCULO!$AB$15:$AL$89)/(ORÇAMENTO!$X$15-CÁLCULO.TotalAdmLocal)*CRONO!$F43,
                        0),
                 Y42*$S41),
          SUMIF(OFFSET($S43,1,0,$R41-2),($M41+1)&amp;"$",OFFSET(Y43,1,0,$R41-2)))</f>
        <v>0</v>
      </c>
      <c r="Z43" s="212">
        <f ca="1">IF($R41=2,
         IF(AND(ACOMPANHAMENTO="PLE",ISNUMBER($F41)),
                SUMIF((OFFSET(CÁLCULO!$AM$15:$AW$15,$F41,0,OFFSET(ORÇAMENTO!$D$15,CRONO!$F41,0))),CRONO!Z$12,OFFSET(CÁLCULO!$AB$15:$AL$15,$F41,0,OFFSET(ORÇAMENTO!$D$15,CRONO!$F41,0)))
                +IF(AND($F43&lt;&gt;"",$F43&lt;&gt;0),
                        SUMIF(CÁLCULO!$AM$15:$AW$89,CRONO!Z$12,CÁLCULO!$AB$15:$AL$89)/(ORÇAMENTO!$X$15-CÁLCULO.TotalAdmLocal)*CRONO!$F43,
                        0),
                 Z42*$S41),
          SUMIF(OFFSET($S43,1,0,$R41-2),($M41+1)&amp;"$",OFFSET(Z43,1,0,$R41-2)))</f>
        <v>0</v>
      </c>
      <c r="AA43" s="212">
        <f ca="1">IF($R41=2,
         IF(AND(ACOMPANHAMENTO="PLE",ISNUMBER($F41)),
                SUMIF((OFFSET(CÁLCULO!$AM$15:$AW$15,$F41,0,OFFSET(ORÇAMENTO!$D$15,CRONO!$F41,0))),CRONO!AA$12,OFFSET(CÁLCULO!$AB$15:$AL$15,$F41,0,OFFSET(ORÇAMENTO!$D$15,CRONO!$F41,0)))
                +IF(AND($F43&lt;&gt;"",$F43&lt;&gt;0),
                        SUMIF(CÁLCULO!$AM$15:$AW$89,CRONO!AA$12,CÁLCULO!$AB$15:$AL$89)/(ORÇAMENTO!$X$15-CÁLCULO.TotalAdmLocal)*CRONO!$F43,
                        0),
                 AA42*$S41),
          SUMIF(OFFSET($S43,1,0,$R41-2),($M41+1)&amp;"$",OFFSET(AA43,1,0,$R41-2)))</f>
        <v>0</v>
      </c>
      <c r="AB43" s="212">
        <f ca="1">IF($R41=2,
         IF(AND(ACOMPANHAMENTO="PLE",ISNUMBER($F41)),
                SUMIF((OFFSET(CÁLCULO!$AM$15:$AW$15,$F41,0,OFFSET(ORÇAMENTO!$D$15,CRONO!$F41,0))),CRONO!AB$12,OFFSET(CÁLCULO!$AB$15:$AL$15,$F41,0,OFFSET(ORÇAMENTO!$D$15,CRONO!$F41,0)))
                +IF(AND($F43&lt;&gt;"",$F43&lt;&gt;0),
                        SUMIF(CÁLCULO!$AM$15:$AW$89,CRONO!AB$12,CÁLCULO!$AB$15:$AL$89)/(ORÇAMENTO!$X$15-CÁLCULO.TotalAdmLocal)*CRONO!$F43,
                        0),
                 AB42*$S41),
          SUMIF(OFFSET($S43,1,0,$R41-2),($M41+1)&amp;"$",OFFSET(AB43,1,0,$R41-2)))</f>
        <v>0</v>
      </c>
      <c r="AC43" s="212">
        <f ca="1">IF($R41=2,
         IF(AND(ACOMPANHAMENTO="PLE",ISNUMBER($F41)),
                SUMIF((OFFSET(CÁLCULO!$AM$15:$AW$15,$F41,0,OFFSET(ORÇAMENTO!$D$15,CRONO!$F41,0))),CRONO!AC$12,OFFSET(CÁLCULO!$AB$15:$AL$15,$F41,0,OFFSET(ORÇAMENTO!$D$15,CRONO!$F41,0)))
                +IF(AND($F43&lt;&gt;"",$F43&lt;&gt;0),
                        SUMIF(CÁLCULO!$AM$15:$AW$89,CRONO!AC$12,CÁLCULO!$AB$15:$AL$89)/(ORÇAMENTO!$X$15-CÁLCULO.TotalAdmLocal)*CRONO!$F43,
                        0),
                 AC42*$S41),
          SUMIF(OFFSET($S43,1,0,$R41-2),($M41+1)&amp;"$",OFFSET(AC43,1,0,$R41-2)))</f>
        <v>0</v>
      </c>
      <c r="AD43" s="212">
        <f ca="1">IF($R41=2,
         IF(AND(ACOMPANHAMENTO="PLE",ISNUMBER($F41)),
                SUMIF((OFFSET(CÁLCULO!$AM$15:$AW$15,$F41,0,OFFSET(ORÇAMENTO!$D$15,CRONO!$F41,0))),CRONO!AD$12,OFFSET(CÁLCULO!$AB$15:$AL$15,$F41,0,OFFSET(ORÇAMENTO!$D$15,CRONO!$F41,0)))
                +IF(AND($F43&lt;&gt;"",$F43&lt;&gt;0),
                        SUMIF(CÁLCULO!$AM$15:$AW$89,CRONO!AD$12,CÁLCULO!$AB$15:$AL$89)/(ORÇAMENTO!$X$15-CÁLCULO.TotalAdmLocal)*CRONO!$F43,
                        0),
                 AD42*$S41),
          SUMIF(OFFSET($S43,1,0,$R41-2),($M41+1)&amp;"$",OFFSET(AD43,1,0,$R41-2)))</f>
        <v>0</v>
      </c>
      <c r="AE43" s="212">
        <f ca="1">IF($R41=2,
         IF(AND(ACOMPANHAMENTO="PLE",ISNUMBER($F41)),
                SUMIF((OFFSET(CÁLCULO!$AM$15:$AW$15,$F41,0,OFFSET(ORÇAMENTO!$D$15,CRONO!$F41,0))),CRONO!AE$12,OFFSET(CÁLCULO!$AB$15:$AL$15,$F41,0,OFFSET(ORÇAMENTO!$D$15,CRONO!$F41,0)))
                +IF(AND($F43&lt;&gt;"",$F43&lt;&gt;0),
                        SUMIF(CÁLCULO!$AM$15:$AW$89,CRONO!AE$12,CÁLCULO!$AB$15:$AL$89)/(ORÇAMENTO!$X$15-CÁLCULO.TotalAdmLocal)*CRONO!$F43,
                        0),
                 AE42*$S41),
          SUMIF(OFFSET($S43,1,0,$R41-2),($M41+1)&amp;"$",OFFSET(AE43,1,0,$R41-2)))</f>
        <v>0</v>
      </c>
      <c r="AF43" s="212">
        <f ca="1">IF($R41=2,
         IF(AND(ACOMPANHAMENTO="PLE",ISNUMBER($F41)),
                SUMIF((OFFSET(CÁLCULO!$AM$15:$AW$15,$F41,0,OFFSET(ORÇAMENTO!$D$15,CRONO!$F41,0))),CRONO!AF$12,OFFSET(CÁLCULO!$AB$15:$AL$15,$F41,0,OFFSET(ORÇAMENTO!$D$15,CRONO!$F41,0)))
                +IF(AND($F43&lt;&gt;"",$F43&lt;&gt;0),
                        SUMIF(CÁLCULO!$AM$15:$AW$89,CRONO!AF$12,CÁLCULO!$AB$15:$AL$89)/(ORÇAMENTO!$X$15-CÁLCULO.TotalAdmLocal)*CRONO!$F43,
                        0),
                 AF42*$S41),
          SUMIF(OFFSET($S43,1,0,$R41-2),($M41+1)&amp;"$",OFFSET(AF43,1,0,$R41-2)))</f>
        <v>0</v>
      </c>
      <c r="AG43" s="577"/>
    </row>
    <row r="44" spans="1:33" x14ac:dyDescent="0.2">
      <c r="A44" s="196" t="str">
        <f t="shared" ref="A44" ca="1" si="62">IF($M44&gt;1,CONCATENATE($I44," ",$J44),"")</f>
        <v>2.7. ESQUADRIAS</v>
      </c>
      <c r="B44" s="195">
        <f t="shared" ref="B44" ca="1" si="63">OFFSET(B44,-3,0)+1</f>
        <v>11</v>
      </c>
      <c r="C44" s="195">
        <f ca="1">IF($R44&lt;&gt;2,0,IF($S44=0,1,IF(F45&gt;0,OFFSET(QCI!$M$13,SUBSTITUTE(F45,".",""),0),OFFSET(ORÇAMENTO!$AA$15,CRONO!$F44,0))/$S44))</f>
        <v>1</v>
      </c>
      <c r="D44" s="195">
        <f ca="1">IF($R44&lt;&gt;2,0,IF($S44=0,1,IF(F45&gt;0,OFFSET(QCI!$N$13,SUBSTITUTE(F45,".",""),0),OFFSET(ORÇAMENTO!$AB$15,CRONO!$F44,0))/$S44))</f>
        <v>1</v>
      </c>
      <c r="E44" s="198" t="e">
        <f ca="1">IF(AND($R44=2,ACOMPANHAMENTO="BM"),ROUND(E45,4),E46/$S44)</f>
        <v>#DIV/0!</v>
      </c>
      <c r="F44" s="195">
        <f ca="1">IF(B44&lt;=ORÇAMENTO.MáximoListaCrono,MATCH(B44,ORÇAMENTO.ListaCrono,0),NA())</f>
        <v>53</v>
      </c>
      <c r="G44" s="195" t="str">
        <f t="shared" ref="G44" ca="1" si="64">IF(AND($F45&lt;&gt;-1,$S44&gt;0),"F","")</f>
        <v/>
      </c>
      <c r="H44" s="199" t="str">
        <f ca="1">IF(OR(S44=0,S44=""),"Linha",IF(AND(OR(ACOMPANHAMENTO="PLE",$R44&lt;&gt;2),$F45=0),"Linha",ROUND(1-SUM(U44:AG44),4)))</f>
        <v>Linha</v>
      </c>
      <c r="I44" s="200" t="str">
        <f ca="1">IF($F45=0,OFFSET(ORÇAMENTO!O$15,$F44,0),IF($F45&lt;&gt;-1,OFFSET(QCI!$D$13,$F45,0),""))</f>
        <v>2.7.</v>
      </c>
      <c r="J44" s="201" t="str">
        <f ca="1">IF($F45=0,OFFSET(ORÇAMENTO!R$15,$F44,0),IF($F45&lt;&gt;-1,OFFSET(QCI!$G$13,$F45,0),""))</f>
        <v>ESQUADRIAS</v>
      </c>
      <c r="K44" s="201"/>
      <c r="L44" s="201"/>
      <c r="M44" s="202">
        <f ca="1">IF($F45=0,OFFSET(ORÇAMENTO!C$15,$F44,0),1)</f>
        <v>2</v>
      </c>
      <c r="N44" s="203">
        <f ca="1">IF($F45=-1,0,IF(N$13&lt;=$M44,IF(ISERROR(MATCH(N$13,OFFSET($M44,1,0,ROW($M$92)-ROW($M44)-1),0)),ROW($M$92)-ROW($M44)-1,MATCH(N$13,OFFSET($M44,1,0,ROW($M$92)-ROW($M44)-1),0)-1),0))</f>
        <v>5</v>
      </c>
      <c r="O44" s="203">
        <f ca="1">IF($F45=-1,0,IF(O$13&lt;=$M44,IF(ISERROR(MATCH(O$13,OFFSET($M44,1,0,ROW($M$92)-ROW($M44)-1),0)),ROW($M$92)-ROW($M44)-1,MATCH(O$13,OFFSET($M44,1,0,ROW($M$92)-ROW($M44)-1),0)-1),0))</f>
        <v>2</v>
      </c>
      <c r="P44" s="203">
        <f ca="1">IF($F45=-1,0,IF(P$13&lt;=$M44,IF(ISERROR(MATCH(P$13,OFFSET($M44,1,0,ROW($M$92)-ROW($M44)-1),0)),ROW($M$92)-ROW($M44)-1,MATCH(P$13,OFFSET($M44,1,0,ROW($M$92)-ROW($M44)-1),0)-1),0))</f>
        <v>0</v>
      </c>
      <c r="Q44" s="203">
        <f ca="1">IF($F45=-1,0,IF(Q$13&lt;=$M44,IF(ISERROR(MATCH(Q$13,OFFSET($M44,1,0,ROW($M$92)-ROW($M44)-1),0)),ROW($M$92)-ROW($M44)-1,MATCH(Q$13,OFFSET($M44,1,0,ROW($M$92)-ROW($M44)-1),0)-1),0))</f>
        <v>0</v>
      </c>
      <c r="R44" s="203">
        <f t="shared" ref="R44" ca="1" si="65">MIN(OFFSET(M44,0,1,,M44))</f>
        <v>2</v>
      </c>
      <c r="S44" s="204">
        <f ca="1">IF($F45=0,OFFSET(ORÇAMENTO!X$15,$F44,0),IF($F45&lt;&gt;-1,OFFSET(QCI!$O$13,$F45,0),""))</f>
        <v>0</v>
      </c>
      <c r="T44" s="205" t="s">
        <v>266</v>
      </c>
      <c r="U44" s="198" t="e">
        <f ca="1">IF(AND($R44=2,ACOMPANHAMENTO="BM"),ROUND(U45,4),U46/$S44)</f>
        <v>#DIV/0!</v>
      </c>
      <c r="V44" s="198" t="e">
        <f ca="1">IF(AND($R44=2,ACOMPANHAMENTO="BM"),ROUND(V45,4),V46/$S44)</f>
        <v>#DIV/0!</v>
      </c>
      <c r="W44" s="198" t="e">
        <f ca="1">IF(AND($R44=2,ACOMPANHAMENTO="BM"),ROUND(W45,4),W46/$S44)</f>
        <v>#DIV/0!</v>
      </c>
      <c r="X44" s="198" t="e">
        <f ca="1">IF(AND($R44=2,ACOMPANHAMENTO="BM"),ROUND(X45,4),X46/$S44)</f>
        <v>#DIV/0!</v>
      </c>
      <c r="Y44" s="198" t="e">
        <f ca="1">IF(AND($R44=2,ACOMPANHAMENTO="BM"),ROUND(Y45,4),Y46/$S44)</f>
        <v>#DIV/0!</v>
      </c>
      <c r="Z44" s="198" t="e">
        <f ca="1">IF(AND($R44=2,ACOMPANHAMENTO="BM"),ROUND(Z45,4),Z46/$S44)</f>
        <v>#DIV/0!</v>
      </c>
      <c r="AA44" s="198" t="e">
        <f ca="1">IF(AND($R44=2,ACOMPANHAMENTO="BM"),ROUND(AA45,4),AA46/$S44)</f>
        <v>#DIV/0!</v>
      </c>
      <c r="AB44" s="198" t="e">
        <f ca="1">IF(AND($R44=2,ACOMPANHAMENTO="BM"),ROUND(AB45,4),AB46/$S44)</f>
        <v>#DIV/0!</v>
      </c>
      <c r="AC44" s="198" t="e">
        <f ca="1">IF(AND($R44=2,ACOMPANHAMENTO="BM"),ROUND(AC45,4),AC46/$S44)</f>
        <v>#DIV/0!</v>
      </c>
      <c r="AD44" s="198" t="e">
        <f ca="1">IF(AND($R44=2,ACOMPANHAMENTO="BM"),ROUND(AD45,4),AD46/$S44)</f>
        <v>#DIV/0!</v>
      </c>
      <c r="AE44" s="198" t="e">
        <f ca="1">IF(AND($R44=2,ACOMPANHAMENTO="BM"),ROUND(AE45,4),AE46/$S44)</f>
        <v>#DIV/0!</v>
      </c>
      <c r="AF44" s="198" t="e">
        <f ca="1">IF(AND($R44=2,ACOMPANHAMENTO="BM"),ROUND(AF45,4),AF46/$S44)</f>
        <v>#DIV/0!</v>
      </c>
      <c r="AG44" s="577"/>
    </row>
    <row r="45" spans="1:33" ht="12.75" hidden="1" customHeight="1" x14ac:dyDescent="0.2">
      <c r="E45" s="646"/>
      <c r="F45" s="195">
        <f ca="1">IF(ISERROR(F44),IF(1+COUNTIF($M$13:OFFSET(M44,-1,0),1)&lt;=MAX(QCI!$D$13:$D$24),1+COUNTIF($M$13:OFFSET(M44,-1,0),1),-1),0)</f>
        <v>0</v>
      </c>
      <c r="G45" s="195" t="str">
        <f ca="1">IF(ACOMPANHAMENTO="BM",OFFSET(G45,-1,0),"")</f>
        <v/>
      </c>
      <c r="H45" s="206" t="str">
        <f ca="1">IF(OR(S44=0,S44=""),"vazia",IF(AND(OR(ACOMPANHAMENTO="PLE",$R44&lt;&gt;2),$F45=0),"calculada","--&gt;"))</f>
        <v>vazia</v>
      </c>
      <c r="I45" s="207"/>
      <c r="J45" s="208" t="str">
        <f t="shared" ref="J45" ca="1" si="66">IF(AND(H44&lt;&gt;0,ISNUMBER(H44)),"PREENCHA ESTA LINHA --&gt;","")</f>
        <v/>
      </c>
      <c r="K45" s="208"/>
      <c r="L45" s="208"/>
      <c r="M45" s="209"/>
      <c r="N45" s="209"/>
      <c r="O45" s="209"/>
      <c r="P45" s="209"/>
      <c r="Q45" s="209"/>
      <c r="R45" s="209"/>
      <c r="S45" s="210"/>
      <c r="T45" s="211"/>
      <c r="U45" s="646"/>
      <c r="V45" s="646"/>
      <c r="W45" s="646"/>
      <c r="X45" s="646"/>
      <c r="Y45" s="646"/>
      <c r="Z45" s="646"/>
      <c r="AA45" s="646"/>
      <c r="AB45" s="646"/>
      <c r="AC45" s="646"/>
      <c r="AD45" s="646"/>
      <c r="AE45" s="646"/>
      <c r="AF45" s="646"/>
      <c r="AG45" s="577"/>
    </row>
    <row r="46" spans="1:33" ht="12.75" hidden="1" customHeight="1" x14ac:dyDescent="0.2">
      <c r="D46" s="576"/>
      <c r="E46" s="212">
        <f ca="1">IF($R44=2,
         IF(AND(ACOMPANHAMENTO="PLE",ISNUMBER($F44)),
                SUMIF((OFFSET(CÁLCULO!$AM$15:$AW$15,$F44,0,OFFSET(ORÇAMENTO!$D$15,CRONO!$F44,0))),CRONO!E$12,OFFSET(CÁLCULO!$AB$15:$AL$15,$F44,0,OFFSET(ORÇAMENTO!$D$15,CRONO!$F44,0)))
                +IF(AND($F46&lt;&gt;"",$F46&lt;&gt;0),
                        SUMIF(CÁLCULO!$AM$15:$AW$89,CRONO!E$12,CÁLCULO!$AB$15:$AL$89)/(ORÇAMENTO!$X$15-CÁLCULO.TotalAdmLocal)*CRONO!$F46,
                        0),
                 E45*$S44),
          SUMIF(OFFSET($S46,1,0,$R44-2),($M44+1)&amp;"$",OFFSET(E46,1,0,$R44-2)))</f>
        <v>0</v>
      </c>
      <c r="F46" s="195" t="str">
        <f ca="1">IF(OR($R44&lt;&gt;2,AUTOEVENTO&lt;&gt;"manual",$F45&gt;0),"",
        IF(Import.TipoArredondamento="Tradicional",
              SUMIF(OFFSET(CÁLCULO!$M$15,CRONO!$F44,0,OFFSET(ORÇAMENTO!$D$15,CRONO!$F44,0)),1,OFFSET(ORÇAMENTO!$X$15,CRONO!$F44,0,OFFSET(ORÇAMENTO!$D$15,CRONO!$F44,0))),
              0))</f>
        <v/>
      </c>
      <c r="H46" s="213"/>
      <c r="S46" s="214" t="str">
        <f t="shared" ref="S46" ca="1" si="67">M44&amp;"$"</f>
        <v>2$</v>
      </c>
      <c r="T46" s="215"/>
      <c r="U46" s="212">
        <f ca="1">IF($R44=2,
         IF(AND(ACOMPANHAMENTO="PLE",ISNUMBER($F44)),
                SUMIF((OFFSET(CÁLCULO!$AM$15:$AW$15,$F44,0,OFFSET(ORÇAMENTO!$D$15,CRONO!$F44,0))),CRONO!U$12,OFFSET(CÁLCULO!$AB$15:$AL$15,$F44,0,OFFSET(ORÇAMENTO!$D$15,CRONO!$F44,0)))
                +IF(AND($F46&lt;&gt;"",$F46&lt;&gt;0),
                        SUMIF(CÁLCULO!$AM$15:$AW$89,CRONO!U$12,CÁLCULO!$AB$15:$AL$89)/(ORÇAMENTO!$X$15-CÁLCULO.TotalAdmLocal)*CRONO!$F46,
                        0),
                 U45*$S44),
          SUMIF(OFFSET($S46,1,0,$R44-2),($M44+1)&amp;"$",OFFSET(U46,1,0,$R44-2)))</f>
        <v>0</v>
      </c>
      <c r="V46" s="212">
        <f ca="1">IF($R44=2,
         IF(AND(ACOMPANHAMENTO="PLE",ISNUMBER($F44)),
                SUMIF((OFFSET(CÁLCULO!$AM$15:$AW$15,$F44,0,OFFSET(ORÇAMENTO!$D$15,CRONO!$F44,0))),CRONO!V$12,OFFSET(CÁLCULO!$AB$15:$AL$15,$F44,0,OFFSET(ORÇAMENTO!$D$15,CRONO!$F44,0)))
                +IF(AND($F46&lt;&gt;"",$F46&lt;&gt;0),
                        SUMIF(CÁLCULO!$AM$15:$AW$89,CRONO!V$12,CÁLCULO!$AB$15:$AL$89)/(ORÇAMENTO!$X$15-CÁLCULO.TotalAdmLocal)*CRONO!$F46,
                        0),
                 V45*$S44),
          SUMIF(OFFSET($S46,1,0,$R44-2),($M44+1)&amp;"$",OFFSET(V46,1,0,$R44-2)))</f>
        <v>0</v>
      </c>
      <c r="W46" s="212">
        <f ca="1">IF($R44=2,
         IF(AND(ACOMPANHAMENTO="PLE",ISNUMBER($F44)),
                SUMIF((OFFSET(CÁLCULO!$AM$15:$AW$15,$F44,0,OFFSET(ORÇAMENTO!$D$15,CRONO!$F44,0))),CRONO!W$12,OFFSET(CÁLCULO!$AB$15:$AL$15,$F44,0,OFFSET(ORÇAMENTO!$D$15,CRONO!$F44,0)))
                +IF(AND($F46&lt;&gt;"",$F46&lt;&gt;0),
                        SUMIF(CÁLCULO!$AM$15:$AW$89,CRONO!W$12,CÁLCULO!$AB$15:$AL$89)/(ORÇAMENTO!$X$15-CÁLCULO.TotalAdmLocal)*CRONO!$F46,
                        0),
                 W45*$S44),
          SUMIF(OFFSET($S46,1,0,$R44-2),($M44+1)&amp;"$",OFFSET(W46,1,0,$R44-2)))</f>
        <v>0</v>
      </c>
      <c r="X46" s="212">
        <f ca="1">IF($R44=2,
         IF(AND(ACOMPANHAMENTO="PLE",ISNUMBER($F44)),
                SUMIF((OFFSET(CÁLCULO!$AM$15:$AW$15,$F44,0,OFFSET(ORÇAMENTO!$D$15,CRONO!$F44,0))),CRONO!X$12,OFFSET(CÁLCULO!$AB$15:$AL$15,$F44,0,OFFSET(ORÇAMENTO!$D$15,CRONO!$F44,0)))
                +IF(AND($F46&lt;&gt;"",$F46&lt;&gt;0),
                        SUMIF(CÁLCULO!$AM$15:$AW$89,CRONO!X$12,CÁLCULO!$AB$15:$AL$89)/(ORÇAMENTO!$X$15-CÁLCULO.TotalAdmLocal)*CRONO!$F46,
                        0),
                 X45*$S44),
          SUMIF(OFFSET($S46,1,0,$R44-2),($M44+1)&amp;"$",OFFSET(X46,1,0,$R44-2)))</f>
        <v>0</v>
      </c>
      <c r="Y46" s="212">
        <f ca="1">IF($R44=2,
         IF(AND(ACOMPANHAMENTO="PLE",ISNUMBER($F44)),
                SUMIF((OFFSET(CÁLCULO!$AM$15:$AW$15,$F44,0,OFFSET(ORÇAMENTO!$D$15,CRONO!$F44,0))),CRONO!Y$12,OFFSET(CÁLCULO!$AB$15:$AL$15,$F44,0,OFFSET(ORÇAMENTO!$D$15,CRONO!$F44,0)))
                +IF(AND($F46&lt;&gt;"",$F46&lt;&gt;0),
                        SUMIF(CÁLCULO!$AM$15:$AW$89,CRONO!Y$12,CÁLCULO!$AB$15:$AL$89)/(ORÇAMENTO!$X$15-CÁLCULO.TotalAdmLocal)*CRONO!$F46,
                        0),
                 Y45*$S44),
          SUMIF(OFFSET($S46,1,0,$R44-2),($M44+1)&amp;"$",OFFSET(Y46,1,0,$R44-2)))</f>
        <v>0</v>
      </c>
      <c r="Z46" s="212">
        <f ca="1">IF($R44=2,
         IF(AND(ACOMPANHAMENTO="PLE",ISNUMBER($F44)),
                SUMIF((OFFSET(CÁLCULO!$AM$15:$AW$15,$F44,0,OFFSET(ORÇAMENTO!$D$15,CRONO!$F44,0))),CRONO!Z$12,OFFSET(CÁLCULO!$AB$15:$AL$15,$F44,0,OFFSET(ORÇAMENTO!$D$15,CRONO!$F44,0)))
                +IF(AND($F46&lt;&gt;"",$F46&lt;&gt;0),
                        SUMIF(CÁLCULO!$AM$15:$AW$89,CRONO!Z$12,CÁLCULO!$AB$15:$AL$89)/(ORÇAMENTO!$X$15-CÁLCULO.TotalAdmLocal)*CRONO!$F46,
                        0),
                 Z45*$S44),
          SUMIF(OFFSET($S46,1,0,$R44-2),($M44+1)&amp;"$",OFFSET(Z46,1,0,$R44-2)))</f>
        <v>0</v>
      </c>
      <c r="AA46" s="212">
        <f ca="1">IF($R44=2,
         IF(AND(ACOMPANHAMENTO="PLE",ISNUMBER($F44)),
                SUMIF((OFFSET(CÁLCULO!$AM$15:$AW$15,$F44,0,OFFSET(ORÇAMENTO!$D$15,CRONO!$F44,0))),CRONO!AA$12,OFFSET(CÁLCULO!$AB$15:$AL$15,$F44,0,OFFSET(ORÇAMENTO!$D$15,CRONO!$F44,0)))
                +IF(AND($F46&lt;&gt;"",$F46&lt;&gt;0),
                        SUMIF(CÁLCULO!$AM$15:$AW$89,CRONO!AA$12,CÁLCULO!$AB$15:$AL$89)/(ORÇAMENTO!$X$15-CÁLCULO.TotalAdmLocal)*CRONO!$F46,
                        0),
                 AA45*$S44),
          SUMIF(OFFSET($S46,1,0,$R44-2),($M44+1)&amp;"$",OFFSET(AA46,1,0,$R44-2)))</f>
        <v>0</v>
      </c>
      <c r="AB46" s="212">
        <f ca="1">IF($R44=2,
         IF(AND(ACOMPANHAMENTO="PLE",ISNUMBER($F44)),
                SUMIF((OFFSET(CÁLCULO!$AM$15:$AW$15,$F44,0,OFFSET(ORÇAMENTO!$D$15,CRONO!$F44,0))),CRONO!AB$12,OFFSET(CÁLCULO!$AB$15:$AL$15,$F44,0,OFFSET(ORÇAMENTO!$D$15,CRONO!$F44,0)))
                +IF(AND($F46&lt;&gt;"",$F46&lt;&gt;0),
                        SUMIF(CÁLCULO!$AM$15:$AW$89,CRONO!AB$12,CÁLCULO!$AB$15:$AL$89)/(ORÇAMENTO!$X$15-CÁLCULO.TotalAdmLocal)*CRONO!$F46,
                        0),
                 AB45*$S44),
          SUMIF(OFFSET($S46,1,0,$R44-2),($M44+1)&amp;"$",OFFSET(AB46,1,0,$R44-2)))</f>
        <v>0</v>
      </c>
      <c r="AC46" s="212">
        <f ca="1">IF($R44=2,
         IF(AND(ACOMPANHAMENTO="PLE",ISNUMBER($F44)),
                SUMIF((OFFSET(CÁLCULO!$AM$15:$AW$15,$F44,0,OFFSET(ORÇAMENTO!$D$15,CRONO!$F44,0))),CRONO!AC$12,OFFSET(CÁLCULO!$AB$15:$AL$15,$F44,0,OFFSET(ORÇAMENTO!$D$15,CRONO!$F44,0)))
                +IF(AND($F46&lt;&gt;"",$F46&lt;&gt;0),
                        SUMIF(CÁLCULO!$AM$15:$AW$89,CRONO!AC$12,CÁLCULO!$AB$15:$AL$89)/(ORÇAMENTO!$X$15-CÁLCULO.TotalAdmLocal)*CRONO!$F46,
                        0),
                 AC45*$S44),
          SUMIF(OFFSET($S46,1,0,$R44-2),($M44+1)&amp;"$",OFFSET(AC46,1,0,$R44-2)))</f>
        <v>0</v>
      </c>
      <c r="AD46" s="212">
        <f ca="1">IF($R44=2,
         IF(AND(ACOMPANHAMENTO="PLE",ISNUMBER($F44)),
                SUMIF((OFFSET(CÁLCULO!$AM$15:$AW$15,$F44,0,OFFSET(ORÇAMENTO!$D$15,CRONO!$F44,0))),CRONO!AD$12,OFFSET(CÁLCULO!$AB$15:$AL$15,$F44,0,OFFSET(ORÇAMENTO!$D$15,CRONO!$F44,0)))
                +IF(AND($F46&lt;&gt;"",$F46&lt;&gt;0),
                        SUMIF(CÁLCULO!$AM$15:$AW$89,CRONO!AD$12,CÁLCULO!$AB$15:$AL$89)/(ORÇAMENTO!$X$15-CÁLCULO.TotalAdmLocal)*CRONO!$F46,
                        0),
                 AD45*$S44),
          SUMIF(OFFSET($S46,1,0,$R44-2),($M44+1)&amp;"$",OFFSET(AD46,1,0,$R44-2)))</f>
        <v>0</v>
      </c>
      <c r="AE46" s="212">
        <f ca="1">IF($R44=2,
         IF(AND(ACOMPANHAMENTO="PLE",ISNUMBER($F44)),
                SUMIF((OFFSET(CÁLCULO!$AM$15:$AW$15,$F44,0,OFFSET(ORÇAMENTO!$D$15,CRONO!$F44,0))),CRONO!AE$12,OFFSET(CÁLCULO!$AB$15:$AL$15,$F44,0,OFFSET(ORÇAMENTO!$D$15,CRONO!$F44,0)))
                +IF(AND($F46&lt;&gt;"",$F46&lt;&gt;0),
                        SUMIF(CÁLCULO!$AM$15:$AW$89,CRONO!AE$12,CÁLCULO!$AB$15:$AL$89)/(ORÇAMENTO!$X$15-CÁLCULO.TotalAdmLocal)*CRONO!$F46,
                        0),
                 AE45*$S44),
          SUMIF(OFFSET($S46,1,0,$R44-2),($M44+1)&amp;"$",OFFSET(AE46,1,0,$R44-2)))</f>
        <v>0</v>
      </c>
      <c r="AF46" s="212">
        <f ca="1">IF($R44=2,
         IF(AND(ACOMPANHAMENTO="PLE",ISNUMBER($F44)),
                SUMIF((OFFSET(CÁLCULO!$AM$15:$AW$15,$F44,0,OFFSET(ORÇAMENTO!$D$15,CRONO!$F44,0))),CRONO!AF$12,OFFSET(CÁLCULO!$AB$15:$AL$15,$F44,0,OFFSET(ORÇAMENTO!$D$15,CRONO!$F44,0)))
                +IF(AND($F46&lt;&gt;"",$F46&lt;&gt;0),
                        SUMIF(CÁLCULO!$AM$15:$AW$89,CRONO!AF$12,CÁLCULO!$AB$15:$AL$89)/(ORÇAMENTO!$X$15-CÁLCULO.TotalAdmLocal)*CRONO!$F46,
                        0),
                 AF45*$S44),
          SUMIF(OFFSET($S46,1,0,$R44-2),($M44+1)&amp;"$",OFFSET(AF46,1,0,$R44-2)))</f>
        <v>0</v>
      </c>
      <c r="AG46" s="577"/>
    </row>
    <row r="47" spans="1:33" x14ac:dyDescent="0.2">
      <c r="A47" s="196" t="str">
        <f t="shared" ref="A47" ca="1" si="68">IF($M47&gt;1,CONCATENATE($I47," ",$J47),"")</f>
        <v>2.8. INSTALAÇÕES ELÉTRICAS</v>
      </c>
      <c r="B47" s="195">
        <f t="shared" ref="B47" ca="1" si="69">OFFSET(B47,-3,0)+1</f>
        <v>12</v>
      </c>
      <c r="C47" s="195">
        <f ca="1">IF($R47&lt;&gt;2,0,IF($S47=0,1,IF(F48&gt;0,OFFSET(QCI!$M$13,SUBSTITUTE(F48,".",""),0),OFFSET(ORÇAMENTO!$AA$15,CRONO!$F47,0))/$S47))</f>
        <v>1</v>
      </c>
      <c r="D47" s="195">
        <f ca="1">IF($R47&lt;&gt;2,0,IF($S47=0,1,IF(F48&gt;0,OFFSET(QCI!$N$13,SUBSTITUTE(F48,".",""),0),OFFSET(ORÇAMENTO!$AB$15,CRONO!$F47,0))/$S47))</f>
        <v>1</v>
      </c>
      <c r="E47" s="198" t="e">
        <f ca="1">IF(AND($R47=2,ACOMPANHAMENTO="BM"),ROUND(E48,4),E49/$S47)</f>
        <v>#DIV/0!</v>
      </c>
      <c r="F47" s="195">
        <f ca="1">IF(B47&lt;=ORÇAMENTO.MáximoListaCrono,MATCH(B47,ORÇAMENTO.ListaCrono,0),NA())</f>
        <v>56</v>
      </c>
      <c r="G47" s="195" t="str">
        <f t="shared" ref="G47" ca="1" si="70">IF(AND($F48&lt;&gt;-1,$S47&gt;0),"F","")</f>
        <v/>
      </c>
      <c r="H47" s="199" t="str">
        <f ca="1">IF(OR(S47=0,S47=""),"Linha",IF(AND(OR(ACOMPANHAMENTO="PLE",$R47&lt;&gt;2),$F48=0),"Linha",ROUND(1-SUM(U47:AG47),4)))</f>
        <v>Linha</v>
      </c>
      <c r="I47" s="200" t="str">
        <f ca="1">IF($F48=0,OFFSET(ORÇAMENTO!O$15,$F47,0),IF($F48&lt;&gt;-1,OFFSET(QCI!$D$13,$F48,0),""))</f>
        <v>2.8.</v>
      </c>
      <c r="J47" s="201" t="str">
        <f ca="1">IF($F48=0,OFFSET(ORÇAMENTO!R$15,$F47,0),IF($F48&lt;&gt;-1,OFFSET(QCI!$G$13,$F48,0),""))</f>
        <v>INSTALAÇÕES ELÉTRICAS</v>
      </c>
      <c r="K47" s="201"/>
      <c r="L47" s="201"/>
      <c r="M47" s="202">
        <f ca="1">IF($F48=0,OFFSET(ORÇAMENTO!C$15,$F47,0),1)</f>
        <v>2</v>
      </c>
      <c r="N47" s="203">
        <f ca="1">IF($F48=-1,0,IF(N$13&lt;=$M47,IF(ISERROR(MATCH(N$13,OFFSET($M47,1,0,ROW($M$92)-ROW($M47)-1),0)),ROW($M$92)-ROW($M47)-1,MATCH(N$13,OFFSET($M47,1,0,ROW($M$92)-ROW($M47)-1),0)-1),0))</f>
        <v>2</v>
      </c>
      <c r="O47" s="203">
        <f ca="1">IF($F48=-1,0,IF(O$13&lt;=$M47,IF(ISERROR(MATCH(O$13,OFFSET($M47,1,0,ROW($M$92)-ROW($M47)-1),0)),ROW($M$92)-ROW($M47)-1,MATCH(O$13,OFFSET($M47,1,0,ROW($M$92)-ROW($M47)-1),0)-1),0))</f>
        <v>44</v>
      </c>
      <c r="P47" s="203">
        <f ca="1">IF($F48=-1,0,IF(P$13&lt;=$M47,IF(ISERROR(MATCH(P$13,OFFSET($M47,1,0,ROW($M$92)-ROW($M47)-1),0)),ROW($M$92)-ROW($M47)-1,MATCH(P$13,OFFSET($M47,1,0,ROW($M$92)-ROW($M47)-1),0)-1),0))</f>
        <v>0</v>
      </c>
      <c r="Q47" s="203">
        <f ca="1">IF($F48=-1,0,IF(Q$13&lt;=$M47,IF(ISERROR(MATCH(Q$13,OFFSET($M47,1,0,ROW($M$92)-ROW($M47)-1),0)),ROW($M$92)-ROW($M47)-1,MATCH(Q$13,OFFSET($M47,1,0,ROW($M$92)-ROW($M47)-1),0)-1),0))</f>
        <v>0</v>
      </c>
      <c r="R47" s="203">
        <f t="shared" ref="R47" ca="1" si="71">MIN(OFFSET(M47,0,1,,M47))</f>
        <v>2</v>
      </c>
      <c r="S47" s="204">
        <f ca="1">IF($F48=0,OFFSET(ORÇAMENTO!X$15,$F47,0),IF($F48&lt;&gt;-1,OFFSET(QCI!$O$13,$F48,0),""))</f>
        <v>0</v>
      </c>
      <c r="T47" s="205" t="s">
        <v>266</v>
      </c>
      <c r="U47" s="198" t="e">
        <f ca="1">IF(AND($R47=2,ACOMPANHAMENTO="BM"),ROUND(U48,4),U49/$S47)</f>
        <v>#DIV/0!</v>
      </c>
      <c r="V47" s="198" t="e">
        <f ca="1">IF(AND($R47=2,ACOMPANHAMENTO="BM"),ROUND(V48,4),V49/$S47)</f>
        <v>#DIV/0!</v>
      </c>
      <c r="W47" s="198" t="e">
        <f ca="1">IF(AND($R47=2,ACOMPANHAMENTO="BM"),ROUND(W48,4),W49/$S47)</f>
        <v>#DIV/0!</v>
      </c>
      <c r="X47" s="198" t="e">
        <f ca="1">IF(AND($R47=2,ACOMPANHAMENTO="BM"),ROUND(X48,4),X49/$S47)</f>
        <v>#DIV/0!</v>
      </c>
      <c r="Y47" s="198" t="e">
        <f ca="1">IF(AND($R47=2,ACOMPANHAMENTO="BM"),ROUND(Y48,4),Y49/$S47)</f>
        <v>#DIV/0!</v>
      </c>
      <c r="Z47" s="198" t="e">
        <f ca="1">IF(AND($R47=2,ACOMPANHAMENTO="BM"),ROUND(Z48,4),Z49/$S47)</f>
        <v>#DIV/0!</v>
      </c>
      <c r="AA47" s="198" t="e">
        <f ca="1">IF(AND($R47=2,ACOMPANHAMENTO="BM"),ROUND(AA48,4),AA49/$S47)</f>
        <v>#DIV/0!</v>
      </c>
      <c r="AB47" s="198" t="e">
        <f ca="1">IF(AND($R47=2,ACOMPANHAMENTO="BM"),ROUND(AB48,4),AB49/$S47)</f>
        <v>#DIV/0!</v>
      </c>
      <c r="AC47" s="198" t="e">
        <f ca="1">IF(AND($R47=2,ACOMPANHAMENTO="BM"),ROUND(AC48,4),AC49/$S47)</f>
        <v>#DIV/0!</v>
      </c>
      <c r="AD47" s="198" t="e">
        <f ca="1">IF(AND($R47=2,ACOMPANHAMENTO="BM"),ROUND(AD48,4),AD49/$S47)</f>
        <v>#DIV/0!</v>
      </c>
      <c r="AE47" s="198" t="e">
        <f ca="1">IF(AND($R47=2,ACOMPANHAMENTO="BM"),ROUND(AE48,4),AE49/$S47)</f>
        <v>#DIV/0!</v>
      </c>
      <c r="AF47" s="198" t="e">
        <f ca="1">IF(AND($R47=2,ACOMPANHAMENTO="BM"),ROUND(AF48,4),AF49/$S47)</f>
        <v>#DIV/0!</v>
      </c>
      <c r="AG47" s="577"/>
    </row>
    <row r="48" spans="1:33" ht="12.75" hidden="1" customHeight="1" x14ac:dyDescent="0.2">
      <c r="E48" s="646"/>
      <c r="F48" s="195">
        <f ca="1">IF(ISERROR(F47),IF(1+COUNTIF($M$13:OFFSET(M47,-1,0),1)&lt;=MAX(QCI!$D$13:$D$24),1+COUNTIF($M$13:OFFSET(M47,-1,0),1),-1),0)</f>
        <v>0</v>
      </c>
      <c r="G48" s="195" t="str">
        <f ca="1">IF(ACOMPANHAMENTO="BM",OFFSET(G48,-1,0),"")</f>
        <v/>
      </c>
      <c r="H48" s="206" t="str">
        <f ca="1">IF(OR(S47=0,S47=""),"vazia",IF(AND(OR(ACOMPANHAMENTO="PLE",$R47&lt;&gt;2),$F48=0),"calculada","--&gt;"))</f>
        <v>vazia</v>
      </c>
      <c r="I48" s="207"/>
      <c r="J48" s="208" t="str">
        <f t="shared" ref="J48" ca="1" si="72">IF(AND(H47&lt;&gt;0,ISNUMBER(H47)),"PREENCHA ESTA LINHA --&gt;","")</f>
        <v/>
      </c>
      <c r="K48" s="208"/>
      <c r="L48" s="208"/>
      <c r="M48" s="209"/>
      <c r="N48" s="209"/>
      <c r="O48" s="209"/>
      <c r="P48" s="209"/>
      <c r="Q48" s="209"/>
      <c r="R48" s="209"/>
      <c r="S48" s="210"/>
      <c r="T48" s="211"/>
      <c r="U48" s="646"/>
      <c r="V48" s="646"/>
      <c r="W48" s="646"/>
      <c r="X48" s="646"/>
      <c r="Y48" s="646"/>
      <c r="Z48" s="646"/>
      <c r="AA48" s="646"/>
      <c r="AB48" s="646"/>
      <c r="AC48" s="646"/>
      <c r="AD48" s="646"/>
      <c r="AE48" s="646"/>
      <c r="AF48" s="646"/>
      <c r="AG48" s="577"/>
    </row>
    <row r="49" spans="1:33" ht="12.75" hidden="1" customHeight="1" x14ac:dyDescent="0.2">
      <c r="D49" s="576"/>
      <c r="E49" s="212">
        <f ca="1">IF($R47=2,
         IF(AND(ACOMPANHAMENTO="PLE",ISNUMBER($F47)),
                SUMIF((OFFSET(CÁLCULO!$AM$15:$AW$15,$F47,0,OFFSET(ORÇAMENTO!$D$15,CRONO!$F47,0))),CRONO!E$12,OFFSET(CÁLCULO!$AB$15:$AL$15,$F47,0,OFFSET(ORÇAMENTO!$D$15,CRONO!$F47,0)))
                +IF(AND($F49&lt;&gt;"",$F49&lt;&gt;0),
                        SUMIF(CÁLCULO!$AM$15:$AW$89,CRONO!E$12,CÁLCULO!$AB$15:$AL$89)/(ORÇAMENTO!$X$15-CÁLCULO.TotalAdmLocal)*CRONO!$F49,
                        0),
                 E48*$S47),
          SUMIF(OFFSET($S49,1,0,$R47-2),($M47+1)&amp;"$",OFFSET(E49,1,0,$R47-2)))</f>
        <v>0</v>
      </c>
      <c r="F49" s="195" t="str">
        <f ca="1">IF(OR($R47&lt;&gt;2,AUTOEVENTO&lt;&gt;"manual",$F48&gt;0),"",
        IF(Import.TipoArredondamento="Tradicional",
              SUMIF(OFFSET(CÁLCULO!$M$15,CRONO!$F47,0,OFFSET(ORÇAMENTO!$D$15,CRONO!$F47,0)),1,OFFSET(ORÇAMENTO!$X$15,CRONO!$F47,0,OFFSET(ORÇAMENTO!$D$15,CRONO!$F47,0))),
              0))</f>
        <v/>
      </c>
      <c r="H49" s="213"/>
      <c r="S49" s="214" t="str">
        <f t="shared" ref="S49" ca="1" si="73">M47&amp;"$"</f>
        <v>2$</v>
      </c>
      <c r="T49" s="215"/>
      <c r="U49" s="212">
        <f ca="1">IF($R47=2,
         IF(AND(ACOMPANHAMENTO="PLE",ISNUMBER($F47)),
                SUMIF((OFFSET(CÁLCULO!$AM$15:$AW$15,$F47,0,OFFSET(ORÇAMENTO!$D$15,CRONO!$F47,0))),CRONO!U$12,OFFSET(CÁLCULO!$AB$15:$AL$15,$F47,0,OFFSET(ORÇAMENTO!$D$15,CRONO!$F47,0)))
                +IF(AND($F49&lt;&gt;"",$F49&lt;&gt;0),
                        SUMIF(CÁLCULO!$AM$15:$AW$89,CRONO!U$12,CÁLCULO!$AB$15:$AL$89)/(ORÇAMENTO!$X$15-CÁLCULO.TotalAdmLocal)*CRONO!$F49,
                        0),
                 U48*$S47),
          SUMIF(OFFSET($S49,1,0,$R47-2),($M47+1)&amp;"$",OFFSET(U49,1,0,$R47-2)))</f>
        <v>0</v>
      </c>
      <c r="V49" s="212">
        <f ca="1">IF($R47=2,
         IF(AND(ACOMPANHAMENTO="PLE",ISNUMBER($F47)),
                SUMIF((OFFSET(CÁLCULO!$AM$15:$AW$15,$F47,0,OFFSET(ORÇAMENTO!$D$15,CRONO!$F47,0))),CRONO!V$12,OFFSET(CÁLCULO!$AB$15:$AL$15,$F47,0,OFFSET(ORÇAMENTO!$D$15,CRONO!$F47,0)))
                +IF(AND($F49&lt;&gt;"",$F49&lt;&gt;0),
                        SUMIF(CÁLCULO!$AM$15:$AW$89,CRONO!V$12,CÁLCULO!$AB$15:$AL$89)/(ORÇAMENTO!$X$15-CÁLCULO.TotalAdmLocal)*CRONO!$F49,
                        0),
                 V48*$S47),
          SUMIF(OFFSET($S49,1,0,$R47-2),($M47+1)&amp;"$",OFFSET(V49,1,0,$R47-2)))</f>
        <v>0</v>
      </c>
      <c r="W49" s="212">
        <f ca="1">IF($R47=2,
         IF(AND(ACOMPANHAMENTO="PLE",ISNUMBER($F47)),
                SUMIF((OFFSET(CÁLCULO!$AM$15:$AW$15,$F47,0,OFFSET(ORÇAMENTO!$D$15,CRONO!$F47,0))),CRONO!W$12,OFFSET(CÁLCULO!$AB$15:$AL$15,$F47,0,OFFSET(ORÇAMENTO!$D$15,CRONO!$F47,0)))
                +IF(AND($F49&lt;&gt;"",$F49&lt;&gt;0),
                        SUMIF(CÁLCULO!$AM$15:$AW$89,CRONO!W$12,CÁLCULO!$AB$15:$AL$89)/(ORÇAMENTO!$X$15-CÁLCULO.TotalAdmLocal)*CRONO!$F49,
                        0),
                 W48*$S47),
          SUMIF(OFFSET($S49,1,0,$R47-2),($M47+1)&amp;"$",OFFSET(W49,1,0,$R47-2)))</f>
        <v>0</v>
      </c>
      <c r="X49" s="212">
        <f ca="1">IF($R47=2,
         IF(AND(ACOMPANHAMENTO="PLE",ISNUMBER($F47)),
                SUMIF((OFFSET(CÁLCULO!$AM$15:$AW$15,$F47,0,OFFSET(ORÇAMENTO!$D$15,CRONO!$F47,0))),CRONO!X$12,OFFSET(CÁLCULO!$AB$15:$AL$15,$F47,0,OFFSET(ORÇAMENTO!$D$15,CRONO!$F47,0)))
                +IF(AND($F49&lt;&gt;"",$F49&lt;&gt;0),
                        SUMIF(CÁLCULO!$AM$15:$AW$89,CRONO!X$12,CÁLCULO!$AB$15:$AL$89)/(ORÇAMENTO!$X$15-CÁLCULO.TotalAdmLocal)*CRONO!$F49,
                        0),
                 X48*$S47),
          SUMIF(OFFSET($S49,1,0,$R47-2),($M47+1)&amp;"$",OFFSET(X49,1,0,$R47-2)))</f>
        <v>0</v>
      </c>
      <c r="Y49" s="212">
        <f ca="1">IF($R47=2,
         IF(AND(ACOMPANHAMENTO="PLE",ISNUMBER($F47)),
                SUMIF((OFFSET(CÁLCULO!$AM$15:$AW$15,$F47,0,OFFSET(ORÇAMENTO!$D$15,CRONO!$F47,0))),CRONO!Y$12,OFFSET(CÁLCULO!$AB$15:$AL$15,$F47,0,OFFSET(ORÇAMENTO!$D$15,CRONO!$F47,0)))
                +IF(AND($F49&lt;&gt;"",$F49&lt;&gt;0),
                        SUMIF(CÁLCULO!$AM$15:$AW$89,CRONO!Y$12,CÁLCULO!$AB$15:$AL$89)/(ORÇAMENTO!$X$15-CÁLCULO.TotalAdmLocal)*CRONO!$F49,
                        0),
                 Y48*$S47),
          SUMIF(OFFSET($S49,1,0,$R47-2),($M47+1)&amp;"$",OFFSET(Y49,1,0,$R47-2)))</f>
        <v>0</v>
      </c>
      <c r="Z49" s="212">
        <f ca="1">IF($R47=2,
         IF(AND(ACOMPANHAMENTO="PLE",ISNUMBER($F47)),
                SUMIF((OFFSET(CÁLCULO!$AM$15:$AW$15,$F47,0,OFFSET(ORÇAMENTO!$D$15,CRONO!$F47,0))),CRONO!Z$12,OFFSET(CÁLCULO!$AB$15:$AL$15,$F47,0,OFFSET(ORÇAMENTO!$D$15,CRONO!$F47,0)))
                +IF(AND($F49&lt;&gt;"",$F49&lt;&gt;0),
                        SUMIF(CÁLCULO!$AM$15:$AW$89,CRONO!Z$12,CÁLCULO!$AB$15:$AL$89)/(ORÇAMENTO!$X$15-CÁLCULO.TotalAdmLocal)*CRONO!$F49,
                        0),
                 Z48*$S47),
          SUMIF(OFFSET($S49,1,0,$R47-2),($M47+1)&amp;"$",OFFSET(Z49,1,0,$R47-2)))</f>
        <v>0</v>
      </c>
      <c r="AA49" s="212">
        <f ca="1">IF($R47=2,
         IF(AND(ACOMPANHAMENTO="PLE",ISNUMBER($F47)),
                SUMIF((OFFSET(CÁLCULO!$AM$15:$AW$15,$F47,0,OFFSET(ORÇAMENTO!$D$15,CRONO!$F47,0))),CRONO!AA$12,OFFSET(CÁLCULO!$AB$15:$AL$15,$F47,0,OFFSET(ORÇAMENTO!$D$15,CRONO!$F47,0)))
                +IF(AND($F49&lt;&gt;"",$F49&lt;&gt;0),
                        SUMIF(CÁLCULO!$AM$15:$AW$89,CRONO!AA$12,CÁLCULO!$AB$15:$AL$89)/(ORÇAMENTO!$X$15-CÁLCULO.TotalAdmLocal)*CRONO!$F49,
                        0),
                 AA48*$S47),
          SUMIF(OFFSET($S49,1,0,$R47-2),($M47+1)&amp;"$",OFFSET(AA49,1,0,$R47-2)))</f>
        <v>0</v>
      </c>
      <c r="AB49" s="212">
        <f ca="1">IF($R47=2,
         IF(AND(ACOMPANHAMENTO="PLE",ISNUMBER($F47)),
                SUMIF((OFFSET(CÁLCULO!$AM$15:$AW$15,$F47,0,OFFSET(ORÇAMENTO!$D$15,CRONO!$F47,0))),CRONO!AB$12,OFFSET(CÁLCULO!$AB$15:$AL$15,$F47,0,OFFSET(ORÇAMENTO!$D$15,CRONO!$F47,0)))
                +IF(AND($F49&lt;&gt;"",$F49&lt;&gt;0),
                        SUMIF(CÁLCULO!$AM$15:$AW$89,CRONO!AB$12,CÁLCULO!$AB$15:$AL$89)/(ORÇAMENTO!$X$15-CÁLCULO.TotalAdmLocal)*CRONO!$F49,
                        0),
                 AB48*$S47),
          SUMIF(OFFSET($S49,1,0,$R47-2),($M47+1)&amp;"$",OFFSET(AB49,1,0,$R47-2)))</f>
        <v>0</v>
      </c>
      <c r="AC49" s="212">
        <f ca="1">IF($R47=2,
         IF(AND(ACOMPANHAMENTO="PLE",ISNUMBER($F47)),
                SUMIF((OFFSET(CÁLCULO!$AM$15:$AW$15,$F47,0,OFFSET(ORÇAMENTO!$D$15,CRONO!$F47,0))),CRONO!AC$12,OFFSET(CÁLCULO!$AB$15:$AL$15,$F47,0,OFFSET(ORÇAMENTO!$D$15,CRONO!$F47,0)))
                +IF(AND($F49&lt;&gt;"",$F49&lt;&gt;0),
                        SUMIF(CÁLCULO!$AM$15:$AW$89,CRONO!AC$12,CÁLCULO!$AB$15:$AL$89)/(ORÇAMENTO!$X$15-CÁLCULO.TotalAdmLocal)*CRONO!$F49,
                        0),
                 AC48*$S47),
          SUMIF(OFFSET($S49,1,0,$R47-2),($M47+1)&amp;"$",OFFSET(AC49,1,0,$R47-2)))</f>
        <v>0</v>
      </c>
      <c r="AD49" s="212">
        <f ca="1">IF($R47=2,
         IF(AND(ACOMPANHAMENTO="PLE",ISNUMBER($F47)),
                SUMIF((OFFSET(CÁLCULO!$AM$15:$AW$15,$F47,0,OFFSET(ORÇAMENTO!$D$15,CRONO!$F47,0))),CRONO!AD$12,OFFSET(CÁLCULO!$AB$15:$AL$15,$F47,0,OFFSET(ORÇAMENTO!$D$15,CRONO!$F47,0)))
                +IF(AND($F49&lt;&gt;"",$F49&lt;&gt;0),
                        SUMIF(CÁLCULO!$AM$15:$AW$89,CRONO!AD$12,CÁLCULO!$AB$15:$AL$89)/(ORÇAMENTO!$X$15-CÁLCULO.TotalAdmLocal)*CRONO!$F49,
                        0),
                 AD48*$S47),
          SUMIF(OFFSET($S49,1,0,$R47-2),($M47+1)&amp;"$",OFFSET(AD49,1,0,$R47-2)))</f>
        <v>0</v>
      </c>
      <c r="AE49" s="212">
        <f ca="1">IF($R47=2,
         IF(AND(ACOMPANHAMENTO="PLE",ISNUMBER($F47)),
                SUMIF((OFFSET(CÁLCULO!$AM$15:$AW$15,$F47,0,OFFSET(ORÇAMENTO!$D$15,CRONO!$F47,0))),CRONO!AE$12,OFFSET(CÁLCULO!$AB$15:$AL$15,$F47,0,OFFSET(ORÇAMENTO!$D$15,CRONO!$F47,0)))
                +IF(AND($F49&lt;&gt;"",$F49&lt;&gt;0),
                        SUMIF(CÁLCULO!$AM$15:$AW$89,CRONO!AE$12,CÁLCULO!$AB$15:$AL$89)/(ORÇAMENTO!$X$15-CÁLCULO.TotalAdmLocal)*CRONO!$F49,
                        0),
                 AE48*$S47),
          SUMIF(OFFSET($S49,1,0,$R47-2),($M47+1)&amp;"$",OFFSET(AE49,1,0,$R47-2)))</f>
        <v>0</v>
      </c>
      <c r="AF49" s="212">
        <f ca="1">IF($R47=2,
         IF(AND(ACOMPANHAMENTO="PLE",ISNUMBER($F47)),
                SUMIF((OFFSET(CÁLCULO!$AM$15:$AW$15,$F47,0,OFFSET(ORÇAMENTO!$D$15,CRONO!$F47,0))),CRONO!AF$12,OFFSET(CÁLCULO!$AB$15:$AL$15,$F47,0,OFFSET(ORÇAMENTO!$D$15,CRONO!$F47,0)))
                +IF(AND($F49&lt;&gt;"",$F49&lt;&gt;0),
                        SUMIF(CÁLCULO!$AM$15:$AW$89,CRONO!AF$12,CÁLCULO!$AB$15:$AL$89)/(ORÇAMENTO!$X$15-CÁLCULO.TotalAdmLocal)*CRONO!$F49,
                        0),
                 AF48*$S47),
          SUMIF(OFFSET($S49,1,0,$R47-2),($M47+1)&amp;"$",OFFSET(AF49,1,0,$R47-2)))</f>
        <v>0</v>
      </c>
      <c r="AG49" s="577"/>
    </row>
    <row r="50" spans="1:33" x14ac:dyDescent="0.2">
      <c r="A50" s="196" t="str">
        <f t="shared" ref="A50" ca="1" si="74">IF($M50&gt;1,CONCATENATE($I50," ",$J50),"")</f>
        <v/>
      </c>
      <c r="B50" s="195">
        <f t="shared" ref="B50" ca="1" si="75">OFFSET(B50,-3,0)+1</f>
        <v>13</v>
      </c>
      <c r="C50" s="195">
        <f ca="1">IF($R50&lt;&gt;2,0,IF($S50=0,1,IF(F51&gt;0,OFFSET(QCI!$M$13,SUBSTITUTE(F51,".",""),0),OFFSET(ORÇAMENTO!$AA$15,CRONO!$F50,0))/$S50))</f>
        <v>1</v>
      </c>
      <c r="D50" s="195">
        <f ca="1">IF($R50&lt;&gt;2,0,IF($S50=0,1,IF(F51&gt;0,OFFSET(QCI!$N$13,SUBSTITUTE(F51,".",""),0),OFFSET(ORÇAMENTO!$AB$15,CRONO!$F50,0))/$S50))</f>
        <v>1</v>
      </c>
      <c r="E50" s="198" t="e">
        <f ca="1">IF(AND($R50=2,ACOMPANHAMENTO="BM"),ROUND(E51,4),E52/$S50)</f>
        <v>#DIV/0!</v>
      </c>
      <c r="F50" s="195" t="e">
        <f ca="1">IF(B50&lt;=ORÇAMENTO.MáximoListaCrono,MATCH(B50,ORÇAMENTO.ListaCrono,0),NA())</f>
        <v>#N/A</v>
      </c>
      <c r="G50" s="195" t="str">
        <f t="shared" ref="G50" ca="1" si="76">IF(AND($F51&lt;&gt;-1,$S50&gt;0),"F","")</f>
        <v/>
      </c>
      <c r="H50" s="199" t="str">
        <f ca="1">IF(OR(S50=0,S50=""),"Linha",IF(AND(OR(ACOMPANHAMENTO="PLE",$R50&lt;&gt;2),$F51=0),"Linha",ROUND(1-SUM(U50:AG50),4)))</f>
        <v>Linha</v>
      </c>
      <c r="I50" s="200">
        <f ca="1">IF($F51=0,OFFSET(ORÇAMENTO!O$15,$F50,0),IF($F51&lt;&gt;-1,OFFSET(QCI!$D$13,$F51,0),""))</f>
        <v>3</v>
      </c>
      <c r="J50" s="201" t="str">
        <f ca="1">IF($F51=0,OFFSET(ORÇAMENTO!R$15,$F50,0),IF($F51&lt;&gt;-1,OFFSET(QCI!$G$13,$F51,0),""))</f>
        <v/>
      </c>
      <c r="K50" s="201"/>
      <c r="L50" s="201"/>
      <c r="M50" s="202">
        <f ca="1">IF($F51=0,OFFSET(ORÇAMENTO!C$15,$F50,0),1)</f>
        <v>1</v>
      </c>
      <c r="N50" s="203">
        <f ca="1">IF($F51=-1,0,IF(N$13&lt;=$M50,IF(ISERROR(MATCH(N$13,OFFSET($M50,1,0,ROW($M$92)-ROW($M50)-1),0)),ROW($M$92)-ROW($M50)-1,MATCH(N$13,OFFSET($M50,1,0,ROW($M$92)-ROW($M50)-1),0)-1),0))</f>
        <v>2</v>
      </c>
      <c r="O50" s="203">
        <f ca="1">IF($F51=-1,0,IF(O$13&lt;=$M50,IF(ISERROR(MATCH(O$13,OFFSET($M50,1,0,ROW($M$92)-ROW($M50)-1),0)),ROW($M$92)-ROW($M50)-1,MATCH(O$13,OFFSET($M50,1,0,ROW($M$92)-ROW($M50)-1),0)-1),0))</f>
        <v>0</v>
      </c>
      <c r="P50" s="203">
        <f ca="1">IF($F51=-1,0,IF(P$13&lt;=$M50,IF(ISERROR(MATCH(P$13,OFFSET($M50,1,0,ROW($M$92)-ROW($M50)-1),0)),ROW($M$92)-ROW($M50)-1,MATCH(P$13,OFFSET($M50,1,0,ROW($M$92)-ROW($M50)-1),0)-1),0))</f>
        <v>0</v>
      </c>
      <c r="Q50" s="203">
        <f ca="1">IF($F51=-1,0,IF(Q$13&lt;=$M50,IF(ISERROR(MATCH(Q$13,OFFSET($M50,1,0,ROW($M$92)-ROW($M50)-1),0)),ROW($M$92)-ROW($M50)-1,MATCH(Q$13,OFFSET($M50,1,0,ROW($M$92)-ROW($M50)-1),0)-1),0))</f>
        <v>0</v>
      </c>
      <c r="R50" s="203">
        <f t="shared" ref="R50" ca="1" si="77">MIN(OFFSET(M50,0,1,,M50))</f>
        <v>2</v>
      </c>
      <c r="S50" s="204">
        <f ca="1">IF($F51=0,OFFSET(ORÇAMENTO!X$15,$F50,0),IF($F51&lt;&gt;-1,OFFSET(QCI!$O$13,$F51,0),""))</f>
        <v>0</v>
      </c>
      <c r="T50" s="205" t="s">
        <v>266</v>
      </c>
      <c r="U50" s="198" t="e">
        <f ca="1">IF(AND($R50=2,ACOMPANHAMENTO="BM"),ROUND(U51,4),U52/$S50)</f>
        <v>#DIV/0!</v>
      </c>
      <c r="V50" s="198" t="e">
        <f ca="1">IF(AND($R50=2,ACOMPANHAMENTO="BM"),ROUND(V51,4),V52/$S50)</f>
        <v>#DIV/0!</v>
      </c>
      <c r="W50" s="198" t="e">
        <f ca="1">IF(AND($R50=2,ACOMPANHAMENTO="BM"),ROUND(W51,4),W52/$S50)</f>
        <v>#DIV/0!</v>
      </c>
      <c r="X50" s="198" t="e">
        <f ca="1">IF(AND($R50=2,ACOMPANHAMENTO="BM"),ROUND(X51,4),X52/$S50)</f>
        <v>#DIV/0!</v>
      </c>
      <c r="Y50" s="198" t="e">
        <f ca="1">IF(AND($R50=2,ACOMPANHAMENTO="BM"),ROUND(Y51,4),Y52/$S50)</f>
        <v>#DIV/0!</v>
      </c>
      <c r="Z50" s="198" t="e">
        <f ca="1">IF(AND($R50=2,ACOMPANHAMENTO="BM"),ROUND(Z51,4),Z52/$S50)</f>
        <v>#DIV/0!</v>
      </c>
      <c r="AA50" s="198" t="e">
        <f ca="1">IF(AND($R50=2,ACOMPANHAMENTO="BM"),ROUND(AA51,4),AA52/$S50)</f>
        <v>#DIV/0!</v>
      </c>
      <c r="AB50" s="198" t="e">
        <f ca="1">IF(AND($R50=2,ACOMPANHAMENTO="BM"),ROUND(AB51,4),AB52/$S50)</f>
        <v>#DIV/0!</v>
      </c>
      <c r="AC50" s="198" t="e">
        <f ca="1">IF(AND($R50=2,ACOMPANHAMENTO="BM"),ROUND(AC51,4),AC52/$S50)</f>
        <v>#DIV/0!</v>
      </c>
      <c r="AD50" s="198" t="e">
        <f ca="1">IF(AND($R50=2,ACOMPANHAMENTO="BM"),ROUND(AD51,4),AD52/$S50)</f>
        <v>#DIV/0!</v>
      </c>
      <c r="AE50" s="198" t="e">
        <f ca="1">IF(AND($R50=2,ACOMPANHAMENTO="BM"),ROUND(AE51,4),AE52/$S50)</f>
        <v>#DIV/0!</v>
      </c>
      <c r="AF50" s="198" t="e">
        <f ca="1">IF(AND($R50=2,ACOMPANHAMENTO="BM"),ROUND(AF51,4),AF52/$S50)</f>
        <v>#DIV/0!</v>
      </c>
      <c r="AG50" s="577"/>
    </row>
    <row r="51" spans="1:33" ht="12.75" hidden="1" customHeight="1" x14ac:dyDescent="0.2">
      <c r="E51" s="646"/>
      <c r="F51" s="195">
        <f ca="1">IF(ISERROR(F50),IF(1+COUNTIF($M$13:OFFSET(M50,-1,0),1)&lt;=MAX(QCI!$D$13:$D$24),1+COUNTIF($M$13:OFFSET(M50,-1,0),1),-1),0)</f>
        <v>3</v>
      </c>
      <c r="G51" s="195" t="str">
        <f ca="1">IF(ACOMPANHAMENTO="BM",OFFSET(G51,-1,0),"")</f>
        <v/>
      </c>
      <c r="H51" s="206" t="str">
        <f ca="1">IF(OR(S50=0,S50=""),"vazia",IF(AND(OR(ACOMPANHAMENTO="PLE",$R50&lt;&gt;2),$F51=0),"calculada","--&gt;"))</f>
        <v>vazia</v>
      </c>
      <c r="I51" s="207"/>
      <c r="J51" s="208" t="str">
        <f t="shared" ref="J51" ca="1" si="78">IF(AND(H50&lt;&gt;0,ISNUMBER(H50)),"PREENCHA ESTA LINHA --&gt;","")</f>
        <v/>
      </c>
      <c r="K51" s="208"/>
      <c r="L51" s="208"/>
      <c r="M51" s="209"/>
      <c r="N51" s="209"/>
      <c r="O51" s="209"/>
      <c r="P51" s="209"/>
      <c r="Q51" s="209"/>
      <c r="R51" s="209"/>
      <c r="S51" s="210"/>
      <c r="T51" s="211"/>
      <c r="U51" s="646"/>
      <c r="V51" s="646"/>
      <c r="W51" s="646"/>
      <c r="X51" s="646"/>
      <c r="Y51" s="646"/>
      <c r="Z51" s="646"/>
      <c r="AA51" s="646"/>
      <c r="AB51" s="646"/>
      <c r="AC51" s="646"/>
      <c r="AD51" s="646"/>
      <c r="AE51" s="646"/>
      <c r="AF51" s="646"/>
      <c r="AG51" s="577"/>
    </row>
    <row r="52" spans="1:33" ht="12.75" hidden="1" customHeight="1" x14ac:dyDescent="0.2">
      <c r="D52" s="576"/>
      <c r="E52" s="212">
        <f ca="1">IF($R50=2,
         IF(AND(ACOMPANHAMENTO="PLE",ISNUMBER($F50)),
                SUMIF((OFFSET(CÁLCULO!$AM$15:$AW$15,$F50,0,OFFSET(ORÇAMENTO!$D$15,CRONO!$F50,0))),CRONO!E$12,OFFSET(CÁLCULO!$AB$15:$AL$15,$F50,0,OFFSET(ORÇAMENTO!$D$15,CRONO!$F50,0)))
                +IF(AND($F52&lt;&gt;"",$F52&lt;&gt;0),
                        SUMIF(CÁLCULO!$AM$15:$AW$89,CRONO!E$12,CÁLCULO!$AB$15:$AL$89)/(ORÇAMENTO!$X$15-CÁLCULO.TotalAdmLocal)*CRONO!$F52,
                        0),
                 E51*$S50),
          SUMIF(OFFSET($S52,1,0,$R50-2),($M50+1)&amp;"$",OFFSET(E52,1,0,$R50-2)))</f>
        <v>0</v>
      </c>
      <c r="F52" s="195" t="str">
        <f ca="1">IF(OR($R50&lt;&gt;2,AUTOEVENTO&lt;&gt;"manual",$F51&gt;0),"",
        IF(Import.TipoArredondamento="Tradicional",
              SUMIF(OFFSET(CÁLCULO!$M$15,CRONO!$F50,0,OFFSET(ORÇAMENTO!$D$15,CRONO!$F50,0)),1,OFFSET(ORÇAMENTO!$X$15,CRONO!$F50,0,OFFSET(ORÇAMENTO!$D$15,CRONO!$F50,0))),
              0))</f>
        <v/>
      </c>
      <c r="H52" s="213"/>
      <c r="S52" s="214" t="str">
        <f t="shared" ref="S52" ca="1" si="79">M50&amp;"$"</f>
        <v>1$</v>
      </c>
      <c r="T52" s="215"/>
      <c r="U52" s="212">
        <f ca="1">IF($R50=2,
         IF(AND(ACOMPANHAMENTO="PLE",ISNUMBER($F50)),
                SUMIF((OFFSET(CÁLCULO!$AM$15:$AW$15,$F50,0,OFFSET(ORÇAMENTO!$D$15,CRONO!$F50,0))),CRONO!U$12,OFFSET(CÁLCULO!$AB$15:$AL$15,$F50,0,OFFSET(ORÇAMENTO!$D$15,CRONO!$F50,0)))
                +IF(AND($F52&lt;&gt;"",$F52&lt;&gt;0),
                        SUMIF(CÁLCULO!$AM$15:$AW$89,CRONO!U$12,CÁLCULO!$AB$15:$AL$89)/(ORÇAMENTO!$X$15-CÁLCULO.TotalAdmLocal)*CRONO!$F52,
                        0),
                 U51*$S50),
          SUMIF(OFFSET($S52,1,0,$R50-2),($M50+1)&amp;"$",OFFSET(U52,1,0,$R50-2)))</f>
        <v>0</v>
      </c>
      <c r="V52" s="212">
        <f ca="1">IF($R50=2,
         IF(AND(ACOMPANHAMENTO="PLE",ISNUMBER($F50)),
                SUMIF((OFFSET(CÁLCULO!$AM$15:$AW$15,$F50,0,OFFSET(ORÇAMENTO!$D$15,CRONO!$F50,0))),CRONO!V$12,OFFSET(CÁLCULO!$AB$15:$AL$15,$F50,0,OFFSET(ORÇAMENTO!$D$15,CRONO!$F50,0)))
                +IF(AND($F52&lt;&gt;"",$F52&lt;&gt;0),
                        SUMIF(CÁLCULO!$AM$15:$AW$89,CRONO!V$12,CÁLCULO!$AB$15:$AL$89)/(ORÇAMENTO!$X$15-CÁLCULO.TotalAdmLocal)*CRONO!$F52,
                        0),
                 V51*$S50),
          SUMIF(OFFSET($S52,1,0,$R50-2),($M50+1)&amp;"$",OFFSET(V52,1,0,$R50-2)))</f>
        <v>0</v>
      </c>
      <c r="W52" s="212">
        <f ca="1">IF($R50=2,
         IF(AND(ACOMPANHAMENTO="PLE",ISNUMBER($F50)),
                SUMIF((OFFSET(CÁLCULO!$AM$15:$AW$15,$F50,0,OFFSET(ORÇAMENTO!$D$15,CRONO!$F50,0))),CRONO!W$12,OFFSET(CÁLCULO!$AB$15:$AL$15,$F50,0,OFFSET(ORÇAMENTO!$D$15,CRONO!$F50,0)))
                +IF(AND($F52&lt;&gt;"",$F52&lt;&gt;0),
                        SUMIF(CÁLCULO!$AM$15:$AW$89,CRONO!W$12,CÁLCULO!$AB$15:$AL$89)/(ORÇAMENTO!$X$15-CÁLCULO.TotalAdmLocal)*CRONO!$F52,
                        0),
                 W51*$S50),
          SUMIF(OFFSET($S52,1,0,$R50-2),($M50+1)&amp;"$",OFFSET(W52,1,0,$R50-2)))</f>
        <v>0</v>
      </c>
      <c r="X52" s="212">
        <f ca="1">IF($R50=2,
         IF(AND(ACOMPANHAMENTO="PLE",ISNUMBER($F50)),
                SUMIF((OFFSET(CÁLCULO!$AM$15:$AW$15,$F50,0,OFFSET(ORÇAMENTO!$D$15,CRONO!$F50,0))),CRONO!X$12,OFFSET(CÁLCULO!$AB$15:$AL$15,$F50,0,OFFSET(ORÇAMENTO!$D$15,CRONO!$F50,0)))
                +IF(AND($F52&lt;&gt;"",$F52&lt;&gt;0),
                        SUMIF(CÁLCULO!$AM$15:$AW$89,CRONO!X$12,CÁLCULO!$AB$15:$AL$89)/(ORÇAMENTO!$X$15-CÁLCULO.TotalAdmLocal)*CRONO!$F52,
                        0),
                 X51*$S50),
          SUMIF(OFFSET($S52,1,0,$R50-2),($M50+1)&amp;"$",OFFSET(X52,1,0,$R50-2)))</f>
        <v>0</v>
      </c>
      <c r="Y52" s="212">
        <f ca="1">IF($R50=2,
         IF(AND(ACOMPANHAMENTO="PLE",ISNUMBER($F50)),
                SUMIF((OFFSET(CÁLCULO!$AM$15:$AW$15,$F50,0,OFFSET(ORÇAMENTO!$D$15,CRONO!$F50,0))),CRONO!Y$12,OFFSET(CÁLCULO!$AB$15:$AL$15,$F50,0,OFFSET(ORÇAMENTO!$D$15,CRONO!$F50,0)))
                +IF(AND($F52&lt;&gt;"",$F52&lt;&gt;0),
                        SUMIF(CÁLCULO!$AM$15:$AW$89,CRONO!Y$12,CÁLCULO!$AB$15:$AL$89)/(ORÇAMENTO!$X$15-CÁLCULO.TotalAdmLocal)*CRONO!$F52,
                        0),
                 Y51*$S50),
          SUMIF(OFFSET($S52,1,0,$R50-2),($M50+1)&amp;"$",OFFSET(Y52,1,0,$R50-2)))</f>
        <v>0</v>
      </c>
      <c r="Z52" s="212">
        <f ca="1">IF($R50=2,
         IF(AND(ACOMPANHAMENTO="PLE",ISNUMBER($F50)),
                SUMIF((OFFSET(CÁLCULO!$AM$15:$AW$15,$F50,0,OFFSET(ORÇAMENTO!$D$15,CRONO!$F50,0))),CRONO!Z$12,OFFSET(CÁLCULO!$AB$15:$AL$15,$F50,0,OFFSET(ORÇAMENTO!$D$15,CRONO!$F50,0)))
                +IF(AND($F52&lt;&gt;"",$F52&lt;&gt;0),
                        SUMIF(CÁLCULO!$AM$15:$AW$89,CRONO!Z$12,CÁLCULO!$AB$15:$AL$89)/(ORÇAMENTO!$X$15-CÁLCULO.TotalAdmLocal)*CRONO!$F52,
                        0),
                 Z51*$S50),
          SUMIF(OFFSET($S52,1,0,$R50-2),($M50+1)&amp;"$",OFFSET(Z52,1,0,$R50-2)))</f>
        <v>0</v>
      </c>
      <c r="AA52" s="212">
        <f ca="1">IF($R50=2,
         IF(AND(ACOMPANHAMENTO="PLE",ISNUMBER($F50)),
                SUMIF((OFFSET(CÁLCULO!$AM$15:$AW$15,$F50,0,OFFSET(ORÇAMENTO!$D$15,CRONO!$F50,0))),CRONO!AA$12,OFFSET(CÁLCULO!$AB$15:$AL$15,$F50,0,OFFSET(ORÇAMENTO!$D$15,CRONO!$F50,0)))
                +IF(AND($F52&lt;&gt;"",$F52&lt;&gt;0),
                        SUMIF(CÁLCULO!$AM$15:$AW$89,CRONO!AA$12,CÁLCULO!$AB$15:$AL$89)/(ORÇAMENTO!$X$15-CÁLCULO.TotalAdmLocal)*CRONO!$F52,
                        0),
                 AA51*$S50),
          SUMIF(OFFSET($S52,1,0,$R50-2),($M50+1)&amp;"$",OFFSET(AA52,1,0,$R50-2)))</f>
        <v>0</v>
      </c>
      <c r="AB52" s="212">
        <f ca="1">IF($R50=2,
         IF(AND(ACOMPANHAMENTO="PLE",ISNUMBER($F50)),
                SUMIF((OFFSET(CÁLCULO!$AM$15:$AW$15,$F50,0,OFFSET(ORÇAMENTO!$D$15,CRONO!$F50,0))),CRONO!AB$12,OFFSET(CÁLCULO!$AB$15:$AL$15,$F50,0,OFFSET(ORÇAMENTO!$D$15,CRONO!$F50,0)))
                +IF(AND($F52&lt;&gt;"",$F52&lt;&gt;0),
                        SUMIF(CÁLCULO!$AM$15:$AW$89,CRONO!AB$12,CÁLCULO!$AB$15:$AL$89)/(ORÇAMENTO!$X$15-CÁLCULO.TotalAdmLocal)*CRONO!$F52,
                        0),
                 AB51*$S50),
          SUMIF(OFFSET($S52,1,0,$R50-2),($M50+1)&amp;"$",OFFSET(AB52,1,0,$R50-2)))</f>
        <v>0</v>
      </c>
      <c r="AC52" s="212">
        <f ca="1">IF($R50=2,
         IF(AND(ACOMPANHAMENTO="PLE",ISNUMBER($F50)),
                SUMIF((OFFSET(CÁLCULO!$AM$15:$AW$15,$F50,0,OFFSET(ORÇAMENTO!$D$15,CRONO!$F50,0))),CRONO!AC$12,OFFSET(CÁLCULO!$AB$15:$AL$15,$F50,0,OFFSET(ORÇAMENTO!$D$15,CRONO!$F50,0)))
                +IF(AND($F52&lt;&gt;"",$F52&lt;&gt;0),
                        SUMIF(CÁLCULO!$AM$15:$AW$89,CRONO!AC$12,CÁLCULO!$AB$15:$AL$89)/(ORÇAMENTO!$X$15-CÁLCULO.TotalAdmLocal)*CRONO!$F52,
                        0),
                 AC51*$S50),
          SUMIF(OFFSET($S52,1,0,$R50-2),($M50+1)&amp;"$",OFFSET(AC52,1,0,$R50-2)))</f>
        <v>0</v>
      </c>
      <c r="AD52" s="212">
        <f ca="1">IF($R50=2,
         IF(AND(ACOMPANHAMENTO="PLE",ISNUMBER($F50)),
                SUMIF((OFFSET(CÁLCULO!$AM$15:$AW$15,$F50,0,OFFSET(ORÇAMENTO!$D$15,CRONO!$F50,0))),CRONO!AD$12,OFFSET(CÁLCULO!$AB$15:$AL$15,$F50,0,OFFSET(ORÇAMENTO!$D$15,CRONO!$F50,0)))
                +IF(AND($F52&lt;&gt;"",$F52&lt;&gt;0),
                        SUMIF(CÁLCULO!$AM$15:$AW$89,CRONO!AD$12,CÁLCULO!$AB$15:$AL$89)/(ORÇAMENTO!$X$15-CÁLCULO.TotalAdmLocal)*CRONO!$F52,
                        0),
                 AD51*$S50),
          SUMIF(OFFSET($S52,1,0,$R50-2),($M50+1)&amp;"$",OFFSET(AD52,1,0,$R50-2)))</f>
        <v>0</v>
      </c>
      <c r="AE52" s="212">
        <f ca="1">IF($R50=2,
         IF(AND(ACOMPANHAMENTO="PLE",ISNUMBER($F50)),
                SUMIF((OFFSET(CÁLCULO!$AM$15:$AW$15,$F50,0,OFFSET(ORÇAMENTO!$D$15,CRONO!$F50,0))),CRONO!AE$12,OFFSET(CÁLCULO!$AB$15:$AL$15,$F50,0,OFFSET(ORÇAMENTO!$D$15,CRONO!$F50,0)))
                +IF(AND($F52&lt;&gt;"",$F52&lt;&gt;0),
                        SUMIF(CÁLCULO!$AM$15:$AW$89,CRONO!AE$12,CÁLCULO!$AB$15:$AL$89)/(ORÇAMENTO!$X$15-CÁLCULO.TotalAdmLocal)*CRONO!$F52,
                        0),
                 AE51*$S50),
          SUMIF(OFFSET($S52,1,0,$R50-2),($M50+1)&amp;"$",OFFSET(AE52,1,0,$R50-2)))</f>
        <v>0</v>
      </c>
      <c r="AF52" s="212">
        <f ca="1">IF($R50=2,
         IF(AND(ACOMPANHAMENTO="PLE",ISNUMBER($F50)),
                SUMIF((OFFSET(CÁLCULO!$AM$15:$AW$15,$F50,0,OFFSET(ORÇAMENTO!$D$15,CRONO!$F50,0))),CRONO!AF$12,OFFSET(CÁLCULO!$AB$15:$AL$15,$F50,0,OFFSET(ORÇAMENTO!$D$15,CRONO!$F50,0)))
                +IF(AND($F52&lt;&gt;"",$F52&lt;&gt;0),
                        SUMIF(CÁLCULO!$AM$15:$AW$89,CRONO!AF$12,CÁLCULO!$AB$15:$AL$89)/(ORÇAMENTO!$X$15-CÁLCULO.TotalAdmLocal)*CRONO!$F52,
                        0),
                 AF51*$S50),
          SUMIF(OFFSET($S52,1,0,$R50-2),($M50+1)&amp;"$",OFFSET(AF52,1,0,$R50-2)))</f>
        <v>0</v>
      </c>
      <c r="AG52" s="577"/>
    </row>
    <row r="53" spans="1:33" x14ac:dyDescent="0.2">
      <c r="A53" s="196" t="str">
        <f t="shared" ref="A53" ca="1" si="80">IF($M53&gt;1,CONCATENATE($I53," ",$J53),"")</f>
        <v/>
      </c>
      <c r="B53" s="195">
        <f t="shared" ref="B53" ca="1" si="81">OFFSET(B53,-3,0)+1</f>
        <v>14</v>
      </c>
      <c r="C53" s="195">
        <f ca="1">IF($R53&lt;&gt;2,0,IF($S53=0,1,IF(F54&gt;0,OFFSET(QCI!$M$13,SUBSTITUTE(F54,".",""),0),OFFSET(ORÇAMENTO!$AA$15,CRONO!$F53,0))/$S53))</f>
        <v>1</v>
      </c>
      <c r="D53" s="195">
        <f ca="1">IF($R53&lt;&gt;2,0,IF($S53=0,1,IF(F54&gt;0,OFFSET(QCI!$N$13,SUBSTITUTE(F54,".",""),0),OFFSET(ORÇAMENTO!$AB$15,CRONO!$F53,0))/$S53))</f>
        <v>1</v>
      </c>
      <c r="E53" s="198" t="e">
        <f ca="1">IF(AND($R53=2,ACOMPANHAMENTO="BM"),ROUND(E54,4),E55/$S53)</f>
        <v>#DIV/0!</v>
      </c>
      <c r="F53" s="195" t="e">
        <f ca="1">IF(B53&lt;=ORÇAMENTO.MáximoListaCrono,MATCH(B53,ORÇAMENTO.ListaCrono,0),NA())</f>
        <v>#N/A</v>
      </c>
      <c r="G53" s="195" t="str">
        <f t="shared" ref="G53" ca="1" si="82">IF(AND($F54&lt;&gt;-1,$S53&gt;0),"F","")</f>
        <v/>
      </c>
      <c r="H53" s="199" t="str">
        <f ca="1">IF(OR(S53=0,S53=""),"Linha",IF(AND(OR(ACOMPANHAMENTO="PLE",$R53&lt;&gt;2),$F54=0),"Linha",ROUND(1-SUM(U53:AG53),4)))</f>
        <v>Linha</v>
      </c>
      <c r="I53" s="200">
        <f ca="1">IF($F54=0,OFFSET(ORÇAMENTO!O$15,$F53,0),IF($F54&lt;&gt;-1,OFFSET(QCI!$D$13,$F54,0),""))</f>
        <v>4</v>
      </c>
      <c r="J53" s="201" t="str">
        <f ca="1">IF($F54=0,OFFSET(ORÇAMENTO!R$15,$F53,0),IF($F54&lt;&gt;-1,OFFSET(QCI!$G$13,$F54,0),""))</f>
        <v/>
      </c>
      <c r="K53" s="201"/>
      <c r="L53" s="201"/>
      <c r="M53" s="202">
        <f ca="1">IF($F54=0,OFFSET(ORÇAMENTO!C$15,$F53,0),1)</f>
        <v>1</v>
      </c>
      <c r="N53" s="203">
        <f ca="1">IF($F54=-1,0,IF(N$13&lt;=$M53,IF(ISERROR(MATCH(N$13,OFFSET($M53,1,0,ROW($M$92)-ROW($M53)-1),0)),ROW($M$92)-ROW($M53)-1,MATCH(N$13,OFFSET($M53,1,0,ROW($M$92)-ROW($M53)-1),0)-1),0))</f>
        <v>2</v>
      </c>
      <c r="O53" s="203">
        <f ca="1">IF($F54=-1,0,IF(O$13&lt;=$M53,IF(ISERROR(MATCH(O$13,OFFSET($M53,1,0,ROW($M$92)-ROW($M53)-1),0)),ROW($M$92)-ROW($M53)-1,MATCH(O$13,OFFSET($M53,1,0,ROW($M$92)-ROW($M53)-1),0)-1),0))</f>
        <v>0</v>
      </c>
      <c r="P53" s="203">
        <f ca="1">IF($F54=-1,0,IF(P$13&lt;=$M53,IF(ISERROR(MATCH(P$13,OFFSET($M53,1,0,ROW($M$92)-ROW($M53)-1),0)),ROW($M$92)-ROW($M53)-1,MATCH(P$13,OFFSET($M53,1,0,ROW($M$92)-ROW($M53)-1),0)-1),0))</f>
        <v>0</v>
      </c>
      <c r="Q53" s="203">
        <f ca="1">IF($F54=-1,0,IF(Q$13&lt;=$M53,IF(ISERROR(MATCH(Q$13,OFFSET($M53,1,0,ROW($M$92)-ROW($M53)-1),0)),ROW($M$92)-ROW($M53)-1,MATCH(Q$13,OFFSET($M53,1,0,ROW($M$92)-ROW($M53)-1),0)-1),0))</f>
        <v>0</v>
      </c>
      <c r="R53" s="203">
        <f t="shared" ref="R53" ca="1" si="83">MIN(OFFSET(M53,0,1,,M53))</f>
        <v>2</v>
      </c>
      <c r="S53" s="204">
        <f ca="1">IF($F54=0,OFFSET(ORÇAMENTO!X$15,$F53,0),IF($F54&lt;&gt;-1,OFFSET(QCI!$O$13,$F54,0),""))</f>
        <v>0</v>
      </c>
      <c r="T53" s="205" t="s">
        <v>266</v>
      </c>
      <c r="U53" s="198" t="e">
        <f ca="1">IF(AND($R53=2,ACOMPANHAMENTO="BM"),ROUND(U54,4),U55/$S53)</f>
        <v>#DIV/0!</v>
      </c>
      <c r="V53" s="198" t="e">
        <f ca="1">IF(AND($R53=2,ACOMPANHAMENTO="BM"),ROUND(V54,4),V55/$S53)</f>
        <v>#DIV/0!</v>
      </c>
      <c r="W53" s="198" t="e">
        <f ca="1">IF(AND($R53=2,ACOMPANHAMENTO="BM"),ROUND(W54,4),W55/$S53)</f>
        <v>#DIV/0!</v>
      </c>
      <c r="X53" s="198" t="e">
        <f ca="1">IF(AND($R53=2,ACOMPANHAMENTO="BM"),ROUND(X54,4),X55/$S53)</f>
        <v>#DIV/0!</v>
      </c>
      <c r="Y53" s="198" t="e">
        <f ca="1">IF(AND($R53=2,ACOMPANHAMENTO="BM"),ROUND(Y54,4),Y55/$S53)</f>
        <v>#DIV/0!</v>
      </c>
      <c r="Z53" s="198" t="e">
        <f ca="1">IF(AND($R53=2,ACOMPANHAMENTO="BM"),ROUND(Z54,4),Z55/$S53)</f>
        <v>#DIV/0!</v>
      </c>
      <c r="AA53" s="198" t="e">
        <f ca="1">IF(AND($R53=2,ACOMPANHAMENTO="BM"),ROUND(AA54,4),AA55/$S53)</f>
        <v>#DIV/0!</v>
      </c>
      <c r="AB53" s="198" t="e">
        <f ca="1">IF(AND($R53=2,ACOMPANHAMENTO="BM"),ROUND(AB54,4),AB55/$S53)</f>
        <v>#DIV/0!</v>
      </c>
      <c r="AC53" s="198" t="e">
        <f ca="1">IF(AND($R53=2,ACOMPANHAMENTO="BM"),ROUND(AC54,4),AC55/$S53)</f>
        <v>#DIV/0!</v>
      </c>
      <c r="AD53" s="198" t="e">
        <f ca="1">IF(AND($R53=2,ACOMPANHAMENTO="BM"),ROUND(AD54,4),AD55/$S53)</f>
        <v>#DIV/0!</v>
      </c>
      <c r="AE53" s="198" t="e">
        <f ca="1">IF(AND($R53=2,ACOMPANHAMENTO="BM"),ROUND(AE54,4),AE55/$S53)</f>
        <v>#DIV/0!</v>
      </c>
      <c r="AF53" s="198" t="e">
        <f ca="1">IF(AND($R53=2,ACOMPANHAMENTO="BM"),ROUND(AF54,4),AF55/$S53)</f>
        <v>#DIV/0!</v>
      </c>
      <c r="AG53" s="577"/>
    </row>
    <row r="54" spans="1:33" ht="12.75" hidden="1" customHeight="1" x14ac:dyDescent="0.2">
      <c r="E54" s="646"/>
      <c r="F54" s="195">
        <f ca="1">IF(ISERROR(F53),IF(1+COUNTIF($M$13:OFFSET(M53,-1,0),1)&lt;=MAX(QCI!$D$13:$D$24),1+COUNTIF($M$13:OFFSET(M53,-1,0),1),-1),0)</f>
        <v>4</v>
      </c>
      <c r="G54" s="195" t="str">
        <f ca="1">IF(ACOMPANHAMENTO="BM",OFFSET(G54,-1,0),"")</f>
        <v/>
      </c>
      <c r="H54" s="206" t="str">
        <f ca="1">IF(OR(S53=0,S53=""),"vazia",IF(AND(OR(ACOMPANHAMENTO="PLE",$R53&lt;&gt;2),$F54=0),"calculada","--&gt;"))</f>
        <v>vazia</v>
      </c>
      <c r="I54" s="207"/>
      <c r="J54" s="208" t="str">
        <f t="shared" ref="J54" ca="1" si="84">IF(AND(H53&lt;&gt;0,ISNUMBER(H53)),"PREENCHA ESTA LINHA --&gt;","")</f>
        <v/>
      </c>
      <c r="K54" s="208"/>
      <c r="L54" s="208"/>
      <c r="M54" s="209"/>
      <c r="N54" s="209"/>
      <c r="O54" s="209"/>
      <c r="P54" s="209"/>
      <c r="Q54" s="209"/>
      <c r="R54" s="209"/>
      <c r="S54" s="210"/>
      <c r="T54" s="211"/>
      <c r="U54" s="646"/>
      <c r="V54" s="646"/>
      <c r="W54" s="646"/>
      <c r="X54" s="646"/>
      <c r="Y54" s="646"/>
      <c r="Z54" s="646"/>
      <c r="AA54" s="646"/>
      <c r="AB54" s="646"/>
      <c r="AC54" s="646"/>
      <c r="AD54" s="646"/>
      <c r="AE54" s="646"/>
      <c r="AF54" s="646"/>
      <c r="AG54" s="577"/>
    </row>
    <row r="55" spans="1:33" ht="12.75" hidden="1" customHeight="1" x14ac:dyDescent="0.2">
      <c r="D55" s="576"/>
      <c r="E55" s="212">
        <f ca="1">IF($R53=2,
         IF(AND(ACOMPANHAMENTO="PLE",ISNUMBER($F53)),
                SUMIF((OFFSET(CÁLCULO!$AM$15:$AW$15,$F53,0,OFFSET(ORÇAMENTO!$D$15,CRONO!$F53,0))),CRONO!E$12,OFFSET(CÁLCULO!$AB$15:$AL$15,$F53,0,OFFSET(ORÇAMENTO!$D$15,CRONO!$F53,0)))
                +IF(AND($F55&lt;&gt;"",$F55&lt;&gt;0),
                        SUMIF(CÁLCULO!$AM$15:$AW$89,CRONO!E$12,CÁLCULO!$AB$15:$AL$89)/(ORÇAMENTO!$X$15-CÁLCULO.TotalAdmLocal)*CRONO!$F55,
                        0),
                 E54*$S53),
          SUMIF(OFFSET($S55,1,0,$R53-2),($M53+1)&amp;"$",OFFSET(E55,1,0,$R53-2)))</f>
        <v>0</v>
      </c>
      <c r="F55" s="195" t="str">
        <f ca="1">IF(OR($R53&lt;&gt;2,AUTOEVENTO&lt;&gt;"manual",$F54&gt;0),"",
        IF(Import.TipoArredondamento="Tradicional",
              SUMIF(OFFSET(CÁLCULO!$M$15,CRONO!$F53,0,OFFSET(ORÇAMENTO!$D$15,CRONO!$F53,0)),1,OFFSET(ORÇAMENTO!$X$15,CRONO!$F53,0,OFFSET(ORÇAMENTO!$D$15,CRONO!$F53,0))),
              0))</f>
        <v/>
      </c>
      <c r="H55" s="213"/>
      <c r="S55" s="214" t="str">
        <f t="shared" ref="S55" ca="1" si="85">M53&amp;"$"</f>
        <v>1$</v>
      </c>
      <c r="T55" s="215"/>
      <c r="U55" s="212">
        <f ca="1">IF($R53=2,
         IF(AND(ACOMPANHAMENTO="PLE",ISNUMBER($F53)),
                SUMIF((OFFSET(CÁLCULO!$AM$15:$AW$15,$F53,0,OFFSET(ORÇAMENTO!$D$15,CRONO!$F53,0))),CRONO!U$12,OFFSET(CÁLCULO!$AB$15:$AL$15,$F53,0,OFFSET(ORÇAMENTO!$D$15,CRONO!$F53,0)))
                +IF(AND($F55&lt;&gt;"",$F55&lt;&gt;0),
                        SUMIF(CÁLCULO!$AM$15:$AW$89,CRONO!U$12,CÁLCULO!$AB$15:$AL$89)/(ORÇAMENTO!$X$15-CÁLCULO.TotalAdmLocal)*CRONO!$F55,
                        0),
                 U54*$S53),
          SUMIF(OFFSET($S55,1,0,$R53-2),($M53+1)&amp;"$",OFFSET(U55,1,0,$R53-2)))</f>
        <v>0</v>
      </c>
      <c r="V55" s="212">
        <f ca="1">IF($R53=2,
         IF(AND(ACOMPANHAMENTO="PLE",ISNUMBER($F53)),
                SUMIF((OFFSET(CÁLCULO!$AM$15:$AW$15,$F53,0,OFFSET(ORÇAMENTO!$D$15,CRONO!$F53,0))),CRONO!V$12,OFFSET(CÁLCULO!$AB$15:$AL$15,$F53,0,OFFSET(ORÇAMENTO!$D$15,CRONO!$F53,0)))
                +IF(AND($F55&lt;&gt;"",$F55&lt;&gt;0),
                        SUMIF(CÁLCULO!$AM$15:$AW$89,CRONO!V$12,CÁLCULO!$AB$15:$AL$89)/(ORÇAMENTO!$X$15-CÁLCULO.TotalAdmLocal)*CRONO!$F55,
                        0),
                 V54*$S53),
          SUMIF(OFFSET($S55,1,0,$R53-2),($M53+1)&amp;"$",OFFSET(V55,1,0,$R53-2)))</f>
        <v>0</v>
      </c>
      <c r="W55" s="212">
        <f ca="1">IF($R53=2,
         IF(AND(ACOMPANHAMENTO="PLE",ISNUMBER($F53)),
                SUMIF((OFFSET(CÁLCULO!$AM$15:$AW$15,$F53,0,OFFSET(ORÇAMENTO!$D$15,CRONO!$F53,0))),CRONO!W$12,OFFSET(CÁLCULO!$AB$15:$AL$15,$F53,0,OFFSET(ORÇAMENTO!$D$15,CRONO!$F53,0)))
                +IF(AND($F55&lt;&gt;"",$F55&lt;&gt;0),
                        SUMIF(CÁLCULO!$AM$15:$AW$89,CRONO!W$12,CÁLCULO!$AB$15:$AL$89)/(ORÇAMENTO!$X$15-CÁLCULO.TotalAdmLocal)*CRONO!$F55,
                        0),
                 W54*$S53),
          SUMIF(OFFSET($S55,1,0,$R53-2),($M53+1)&amp;"$",OFFSET(W55,1,0,$R53-2)))</f>
        <v>0</v>
      </c>
      <c r="X55" s="212">
        <f ca="1">IF($R53=2,
         IF(AND(ACOMPANHAMENTO="PLE",ISNUMBER($F53)),
                SUMIF((OFFSET(CÁLCULO!$AM$15:$AW$15,$F53,0,OFFSET(ORÇAMENTO!$D$15,CRONO!$F53,0))),CRONO!X$12,OFFSET(CÁLCULO!$AB$15:$AL$15,$F53,0,OFFSET(ORÇAMENTO!$D$15,CRONO!$F53,0)))
                +IF(AND($F55&lt;&gt;"",$F55&lt;&gt;0),
                        SUMIF(CÁLCULO!$AM$15:$AW$89,CRONO!X$12,CÁLCULO!$AB$15:$AL$89)/(ORÇAMENTO!$X$15-CÁLCULO.TotalAdmLocal)*CRONO!$F55,
                        0),
                 X54*$S53),
          SUMIF(OFFSET($S55,1,0,$R53-2),($M53+1)&amp;"$",OFFSET(X55,1,0,$R53-2)))</f>
        <v>0</v>
      </c>
      <c r="Y55" s="212">
        <f ca="1">IF($R53=2,
         IF(AND(ACOMPANHAMENTO="PLE",ISNUMBER($F53)),
                SUMIF((OFFSET(CÁLCULO!$AM$15:$AW$15,$F53,0,OFFSET(ORÇAMENTO!$D$15,CRONO!$F53,0))),CRONO!Y$12,OFFSET(CÁLCULO!$AB$15:$AL$15,$F53,0,OFFSET(ORÇAMENTO!$D$15,CRONO!$F53,0)))
                +IF(AND($F55&lt;&gt;"",$F55&lt;&gt;0),
                        SUMIF(CÁLCULO!$AM$15:$AW$89,CRONO!Y$12,CÁLCULO!$AB$15:$AL$89)/(ORÇAMENTO!$X$15-CÁLCULO.TotalAdmLocal)*CRONO!$F55,
                        0),
                 Y54*$S53),
          SUMIF(OFFSET($S55,1,0,$R53-2),($M53+1)&amp;"$",OFFSET(Y55,1,0,$R53-2)))</f>
        <v>0</v>
      </c>
      <c r="Z55" s="212">
        <f ca="1">IF($R53=2,
         IF(AND(ACOMPANHAMENTO="PLE",ISNUMBER($F53)),
                SUMIF((OFFSET(CÁLCULO!$AM$15:$AW$15,$F53,0,OFFSET(ORÇAMENTO!$D$15,CRONO!$F53,0))),CRONO!Z$12,OFFSET(CÁLCULO!$AB$15:$AL$15,$F53,0,OFFSET(ORÇAMENTO!$D$15,CRONO!$F53,0)))
                +IF(AND($F55&lt;&gt;"",$F55&lt;&gt;0),
                        SUMIF(CÁLCULO!$AM$15:$AW$89,CRONO!Z$12,CÁLCULO!$AB$15:$AL$89)/(ORÇAMENTO!$X$15-CÁLCULO.TotalAdmLocal)*CRONO!$F55,
                        0),
                 Z54*$S53),
          SUMIF(OFFSET($S55,1,0,$R53-2),($M53+1)&amp;"$",OFFSET(Z55,1,0,$R53-2)))</f>
        <v>0</v>
      </c>
      <c r="AA55" s="212">
        <f ca="1">IF($R53=2,
         IF(AND(ACOMPANHAMENTO="PLE",ISNUMBER($F53)),
                SUMIF((OFFSET(CÁLCULO!$AM$15:$AW$15,$F53,0,OFFSET(ORÇAMENTO!$D$15,CRONO!$F53,0))),CRONO!AA$12,OFFSET(CÁLCULO!$AB$15:$AL$15,$F53,0,OFFSET(ORÇAMENTO!$D$15,CRONO!$F53,0)))
                +IF(AND($F55&lt;&gt;"",$F55&lt;&gt;0),
                        SUMIF(CÁLCULO!$AM$15:$AW$89,CRONO!AA$12,CÁLCULO!$AB$15:$AL$89)/(ORÇAMENTO!$X$15-CÁLCULO.TotalAdmLocal)*CRONO!$F55,
                        0),
                 AA54*$S53),
          SUMIF(OFFSET($S55,1,0,$R53-2),($M53+1)&amp;"$",OFFSET(AA55,1,0,$R53-2)))</f>
        <v>0</v>
      </c>
      <c r="AB55" s="212">
        <f ca="1">IF($R53=2,
         IF(AND(ACOMPANHAMENTO="PLE",ISNUMBER($F53)),
                SUMIF((OFFSET(CÁLCULO!$AM$15:$AW$15,$F53,0,OFFSET(ORÇAMENTO!$D$15,CRONO!$F53,0))),CRONO!AB$12,OFFSET(CÁLCULO!$AB$15:$AL$15,$F53,0,OFFSET(ORÇAMENTO!$D$15,CRONO!$F53,0)))
                +IF(AND($F55&lt;&gt;"",$F55&lt;&gt;0),
                        SUMIF(CÁLCULO!$AM$15:$AW$89,CRONO!AB$12,CÁLCULO!$AB$15:$AL$89)/(ORÇAMENTO!$X$15-CÁLCULO.TotalAdmLocal)*CRONO!$F55,
                        0),
                 AB54*$S53),
          SUMIF(OFFSET($S55,1,0,$R53-2),($M53+1)&amp;"$",OFFSET(AB55,1,0,$R53-2)))</f>
        <v>0</v>
      </c>
      <c r="AC55" s="212">
        <f ca="1">IF($R53=2,
         IF(AND(ACOMPANHAMENTO="PLE",ISNUMBER($F53)),
                SUMIF((OFFSET(CÁLCULO!$AM$15:$AW$15,$F53,0,OFFSET(ORÇAMENTO!$D$15,CRONO!$F53,0))),CRONO!AC$12,OFFSET(CÁLCULO!$AB$15:$AL$15,$F53,0,OFFSET(ORÇAMENTO!$D$15,CRONO!$F53,0)))
                +IF(AND($F55&lt;&gt;"",$F55&lt;&gt;0),
                        SUMIF(CÁLCULO!$AM$15:$AW$89,CRONO!AC$12,CÁLCULO!$AB$15:$AL$89)/(ORÇAMENTO!$X$15-CÁLCULO.TotalAdmLocal)*CRONO!$F55,
                        0),
                 AC54*$S53),
          SUMIF(OFFSET($S55,1,0,$R53-2),($M53+1)&amp;"$",OFFSET(AC55,1,0,$R53-2)))</f>
        <v>0</v>
      </c>
      <c r="AD55" s="212">
        <f ca="1">IF($R53=2,
         IF(AND(ACOMPANHAMENTO="PLE",ISNUMBER($F53)),
                SUMIF((OFFSET(CÁLCULO!$AM$15:$AW$15,$F53,0,OFFSET(ORÇAMENTO!$D$15,CRONO!$F53,0))),CRONO!AD$12,OFFSET(CÁLCULO!$AB$15:$AL$15,$F53,0,OFFSET(ORÇAMENTO!$D$15,CRONO!$F53,0)))
                +IF(AND($F55&lt;&gt;"",$F55&lt;&gt;0),
                        SUMIF(CÁLCULO!$AM$15:$AW$89,CRONO!AD$12,CÁLCULO!$AB$15:$AL$89)/(ORÇAMENTO!$X$15-CÁLCULO.TotalAdmLocal)*CRONO!$F55,
                        0),
                 AD54*$S53),
          SUMIF(OFFSET($S55,1,0,$R53-2),($M53+1)&amp;"$",OFFSET(AD55,1,0,$R53-2)))</f>
        <v>0</v>
      </c>
      <c r="AE55" s="212">
        <f ca="1">IF($R53=2,
         IF(AND(ACOMPANHAMENTO="PLE",ISNUMBER($F53)),
                SUMIF((OFFSET(CÁLCULO!$AM$15:$AW$15,$F53,0,OFFSET(ORÇAMENTO!$D$15,CRONO!$F53,0))),CRONO!AE$12,OFFSET(CÁLCULO!$AB$15:$AL$15,$F53,0,OFFSET(ORÇAMENTO!$D$15,CRONO!$F53,0)))
                +IF(AND($F55&lt;&gt;"",$F55&lt;&gt;0),
                        SUMIF(CÁLCULO!$AM$15:$AW$89,CRONO!AE$12,CÁLCULO!$AB$15:$AL$89)/(ORÇAMENTO!$X$15-CÁLCULO.TotalAdmLocal)*CRONO!$F55,
                        0),
                 AE54*$S53),
          SUMIF(OFFSET($S55,1,0,$R53-2),($M53+1)&amp;"$",OFFSET(AE55,1,0,$R53-2)))</f>
        <v>0</v>
      </c>
      <c r="AF55" s="212">
        <f ca="1">IF($R53=2,
         IF(AND(ACOMPANHAMENTO="PLE",ISNUMBER($F53)),
                SUMIF((OFFSET(CÁLCULO!$AM$15:$AW$15,$F53,0,OFFSET(ORÇAMENTO!$D$15,CRONO!$F53,0))),CRONO!AF$12,OFFSET(CÁLCULO!$AB$15:$AL$15,$F53,0,OFFSET(ORÇAMENTO!$D$15,CRONO!$F53,0)))
                +IF(AND($F55&lt;&gt;"",$F55&lt;&gt;0),
                        SUMIF(CÁLCULO!$AM$15:$AW$89,CRONO!AF$12,CÁLCULO!$AB$15:$AL$89)/(ORÇAMENTO!$X$15-CÁLCULO.TotalAdmLocal)*CRONO!$F55,
                        0),
                 AF54*$S53),
          SUMIF(OFFSET($S55,1,0,$R53-2),($M53+1)&amp;"$",OFFSET(AF55,1,0,$R53-2)))</f>
        <v>0</v>
      </c>
      <c r="AG55" s="577"/>
    </row>
    <row r="56" spans="1:33" x14ac:dyDescent="0.2">
      <c r="A56" s="196" t="str">
        <f t="shared" ref="A56" ca="1" si="86">IF($M56&gt;1,CONCATENATE($I56," ",$J56),"")</f>
        <v/>
      </c>
      <c r="B56" s="195">
        <f t="shared" ref="B56" ca="1" si="87">OFFSET(B56,-3,0)+1</f>
        <v>15</v>
      </c>
      <c r="C56" s="195">
        <f ca="1">IF($R56&lt;&gt;2,0,IF($S56=0,1,IF(F57&gt;0,OFFSET(QCI!$M$13,SUBSTITUTE(F57,".",""),0),OFFSET(ORÇAMENTO!$AA$15,CRONO!$F56,0))/$S56))</f>
        <v>1</v>
      </c>
      <c r="D56" s="195">
        <f ca="1">IF($R56&lt;&gt;2,0,IF($S56=0,1,IF(F57&gt;0,OFFSET(QCI!$N$13,SUBSTITUTE(F57,".",""),0),OFFSET(ORÇAMENTO!$AB$15,CRONO!$F56,0))/$S56))</f>
        <v>1</v>
      </c>
      <c r="E56" s="198" t="e">
        <f ca="1">IF(AND($R56=2,ACOMPANHAMENTO="BM"),ROUND(E57,4),E58/$S56)</f>
        <v>#DIV/0!</v>
      </c>
      <c r="F56" s="195" t="e">
        <f ca="1">IF(B56&lt;=ORÇAMENTO.MáximoListaCrono,MATCH(B56,ORÇAMENTO.ListaCrono,0),NA())</f>
        <v>#N/A</v>
      </c>
      <c r="G56" s="195" t="str">
        <f t="shared" ref="G56" ca="1" si="88">IF(AND($F57&lt;&gt;-1,$S56&gt;0),"F","")</f>
        <v/>
      </c>
      <c r="H56" s="199" t="str">
        <f ca="1">IF(OR(S56=0,S56=""),"Linha",IF(AND(OR(ACOMPANHAMENTO="PLE",$R56&lt;&gt;2),$F57=0),"Linha",ROUND(1-SUM(U56:AG56),4)))</f>
        <v>Linha</v>
      </c>
      <c r="I56" s="200">
        <f ca="1">IF($F57=0,OFFSET(ORÇAMENTO!O$15,$F56,0),IF($F57&lt;&gt;-1,OFFSET(QCI!$D$13,$F57,0),""))</f>
        <v>5</v>
      </c>
      <c r="J56" s="201" t="str">
        <f ca="1">IF($F57=0,OFFSET(ORÇAMENTO!R$15,$F56,0),IF($F57&lt;&gt;-1,OFFSET(QCI!$G$13,$F57,0),""))</f>
        <v/>
      </c>
      <c r="K56" s="201"/>
      <c r="L56" s="201"/>
      <c r="M56" s="202">
        <f ca="1">IF($F57=0,OFFSET(ORÇAMENTO!C$15,$F56,0),1)</f>
        <v>1</v>
      </c>
      <c r="N56" s="203">
        <f ca="1">IF($F57=-1,0,IF(N$13&lt;=$M56,IF(ISERROR(MATCH(N$13,OFFSET($M56,1,0,ROW($M$92)-ROW($M56)-1),0)),ROW($M$92)-ROW($M56)-1,MATCH(N$13,OFFSET($M56,1,0,ROW($M$92)-ROW($M56)-1),0)-1),0))</f>
        <v>2</v>
      </c>
      <c r="O56" s="203">
        <f ca="1">IF($F57=-1,0,IF(O$13&lt;=$M56,IF(ISERROR(MATCH(O$13,OFFSET($M56,1,0,ROW($M$92)-ROW($M56)-1),0)),ROW($M$92)-ROW($M56)-1,MATCH(O$13,OFFSET($M56,1,0,ROW($M$92)-ROW($M56)-1),0)-1),0))</f>
        <v>0</v>
      </c>
      <c r="P56" s="203">
        <f ca="1">IF($F57=-1,0,IF(P$13&lt;=$M56,IF(ISERROR(MATCH(P$13,OFFSET($M56,1,0,ROW($M$92)-ROW($M56)-1),0)),ROW($M$92)-ROW($M56)-1,MATCH(P$13,OFFSET($M56,1,0,ROW($M$92)-ROW($M56)-1),0)-1),0))</f>
        <v>0</v>
      </c>
      <c r="Q56" s="203">
        <f ca="1">IF($F57=-1,0,IF(Q$13&lt;=$M56,IF(ISERROR(MATCH(Q$13,OFFSET($M56,1,0,ROW($M$92)-ROW($M56)-1),0)),ROW($M$92)-ROW($M56)-1,MATCH(Q$13,OFFSET($M56,1,0,ROW($M$92)-ROW($M56)-1),0)-1),0))</f>
        <v>0</v>
      </c>
      <c r="R56" s="203">
        <f t="shared" ref="R56" ca="1" si="89">MIN(OFFSET(M56,0,1,,M56))</f>
        <v>2</v>
      </c>
      <c r="S56" s="204">
        <f ca="1">IF($F57=0,OFFSET(ORÇAMENTO!X$15,$F56,0),IF($F57&lt;&gt;-1,OFFSET(QCI!$O$13,$F57,0),""))</f>
        <v>0</v>
      </c>
      <c r="T56" s="205" t="s">
        <v>266</v>
      </c>
      <c r="U56" s="198" t="e">
        <f ca="1">IF(AND($R56=2,ACOMPANHAMENTO="BM"),ROUND(U57,4),U58/$S56)</f>
        <v>#DIV/0!</v>
      </c>
      <c r="V56" s="198" t="e">
        <f ca="1">IF(AND($R56=2,ACOMPANHAMENTO="BM"),ROUND(V57,4),V58/$S56)</f>
        <v>#DIV/0!</v>
      </c>
      <c r="W56" s="198" t="e">
        <f ca="1">IF(AND($R56=2,ACOMPANHAMENTO="BM"),ROUND(W57,4),W58/$S56)</f>
        <v>#DIV/0!</v>
      </c>
      <c r="X56" s="198" t="e">
        <f ca="1">IF(AND($R56=2,ACOMPANHAMENTO="BM"),ROUND(X57,4),X58/$S56)</f>
        <v>#DIV/0!</v>
      </c>
      <c r="Y56" s="198" t="e">
        <f ca="1">IF(AND($R56=2,ACOMPANHAMENTO="BM"),ROUND(Y57,4),Y58/$S56)</f>
        <v>#DIV/0!</v>
      </c>
      <c r="Z56" s="198" t="e">
        <f ca="1">IF(AND($R56=2,ACOMPANHAMENTO="BM"),ROUND(Z57,4),Z58/$S56)</f>
        <v>#DIV/0!</v>
      </c>
      <c r="AA56" s="198" t="e">
        <f ca="1">IF(AND($R56=2,ACOMPANHAMENTO="BM"),ROUND(AA57,4),AA58/$S56)</f>
        <v>#DIV/0!</v>
      </c>
      <c r="AB56" s="198" t="e">
        <f ca="1">IF(AND($R56=2,ACOMPANHAMENTO="BM"),ROUND(AB57,4),AB58/$S56)</f>
        <v>#DIV/0!</v>
      </c>
      <c r="AC56" s="198" t="e">
        <f ca="1">IF(AND($R56=2,ACOMPANHAMENTO="BM"),ROUND(AC57,4),AC58/$S56)</f>
        <v>#DIV/0!</v>
      </c>
      <c r="AD56" s="198" t="e">
        <f ca="1">IF(AND($R56=2,ACOMPANHAMENTO="BM"),ROUND(AD57,4),AD58/$S56)</f>
        <v>#DIV/0!</v>
      </c>
      <c r="AE56" s="198" t="e">
        <f ca="1">IF(AND($R56=2,ACOMPANHAMENTO="BM"),ROUND(AE57,4),AE58/$S56)</f>
        <v>#DIV/0!</v>
      </c>
      <c r="AF56" s="198" t="e">
        <f ca="1">IF(AND($R56=2,ACOMPANHAMENTO="BM"),ROUND(AF57,4),AF58/$S56)</f>
        <v>#DIV/0!</v>
      </c>
      <c r="AG56" s="577"/>
    </row>
    <row r="57" spans="1:33" ht="12.75" hidden="1" customHeight="1" x14ac:dyDescent="0.2">
      <c r="E57" s="646"/>
      <c r="F57" s="195">
        <f ca="1">IF(ISERROR(F56),IF(1+COUNTIF($M$13:OFFSET(M56,-1,0),1)&lt;=MAX(QCI!$D$13:$D$24),1+COUNTIF($M$13:OFFSET(M56,-1,0),1),-1),0)</f>
        <v>5</v>
      </c>
      <c r="G57" s="195" t="str">
        <f ca="1">IF(ACOMPANHAMENTO="BM",OFFSET(G57,-1,0),"")</f>
        <v/>
      </c>
      <c r="H57" s="206" t="str">
        <f ca="1">IF(OR(S56=0,S56=""),"vazia",IF(AND(OR(ACOMPANHAMENTO="PLE",$R56&lt;&gt;2),$F57=0),"calculada","--&gt;"))</f>
        <v>vazia</v>
      </c>
      <c r="I57" s="207"/>
      <c r="J57" s="208" t="str">
        <f t="shared" ref="J57" ca="1" si="90">IF(AND(H56&lt;&gt;0,ISNUMBER(H56)),"PREENCHA ESTA LINHA --&gt;","")</f>
        <v/>
      </c>
      <c r="K57" s="208"/>
      <c r="L57" s="208"/>
      <c r="M57" s="209"/>
      <c r="N57" s="209"/>
      <c r="O57" s="209"/>
      <c r="P57" s="209"/>
      <c r="Q57" s="209"/>
      <c r="R57" s="209"/>
      <c r="S57" s="210"/>
      <c r="T57" s="211"/>
      <c r="U57" s="646"/>
      <c r="V57" s="646"/>
      <c r="W57" s="646"/>
      <c r="X57" s="646"/>
      <c r="Y57" s="646"/>
      <c r="Z57" s="646"/>
      <c r="AA57" s="646"/>
      <c r="AB57" s="646"/>
      <c r="AC57" s="646"/>
      <c r="AD57" s="646"/>
      <c r="AE57" s="646"/>
      <c r="AF57" s="646"/>
      <c r="AG57" s="577"/>
    </row>
    <row r="58" spans="1:33" ht="12.75" hidden="1" customHeight="1" x14ac:dyDescent="0.2">
      <c r="D58" s="576"/>
      <c r="E58" s="212">
        <f ca="1">IF($R56=2,
         IF(AND(ACOMPANHAMENTO="PLE",ISNUMBER($F56)),
                SUMIF((OFFSET(CÁLCULO!$AM$15:$AW$15,$F56,0,OFFSET(ORÇAMENTO!$D$15,CRONO!$F56,0))),CRONO!E$12,OFFSET(CÁLCULO!$AB$15:$AL$15,$F56,0,OFFSET(ORÇAMENTO!$D$15,CRONO!$F56,0)))
                +IF(AND($F58&lt;&gt;"",$F58&lt;&gt;0),
                        SUMIF(CÁLCULO!$AM$15:$AW$89,CRONO!E$12,CÁLCULO!$AB$15:$AL$89)/(ORÇAMENTO!$X$15-CÁLCULO.TotalAdmLocal)*CRONO!$F58,
                        0),
                 E57*$S56),
          SUMIF(OFFSET($S58,1,0,$R56-2),($M56+1)&amp;"$",OFFSET(E58,1,0,$R56-2)))</f>
        <v>0</v>
      </c>
      <c r="F58" s="195" t="str">
        <f ca="1">IF(OR($R56&lt;&gt;2,AUTOEVENTO&lt;&gt;"manual",$F57&gt;0),"",
        IF(Import.TipoArredondamento="Tradicional",
              SUMIF(OFFSET(CÁLCULO!$M$15,CRONO!$F56,0,OFFSET(ORÇAMENTO!$D$15,CRONO!$F56,0)),1,OFFSET(ORÇAMENTO!$X$15,CRONO!$F56,0,OFFSET(ORÇAMENTO!$D$15,CRONO!$F56,0))),
              0))</f>
        <v/>
      </c>
      <c r="H58" s="213"/>
      <c r="S58" s="214" t="str">
        <f t="shared" ref="S58" ca="1" si="91">M56&amp;"$"</f>
        <v>1$</v>
      </c>
      <c r="T58" s="215"/>
      <c r="U58" s="212">
        <f ca="1">IF($R56=2,
         IF(AND(ACOMPANHAMENTO="PLE",ISNUMBER($F56)),
                SUMIF((OFFSET(CÁLCULO!$AM$15:$AW$15,$F56,0,OFFSET(ORÇAMENTO!$D$15,CRONO!$F56,0))),CRONO!U$12,OFFSET(CÁLCULO!$AB$15:$AL$15,$F56,0,OFFSET(ORÇAMENTO!$D$15,CRONO!$F56,0)))
                +IF(AND($F58&lt;&gt;"",$F58&lt;&gt;0),
                        SUMIF(CÁLCULO!$AM$15:$AW$89,CRONO!U$12,CÁLCULO!$AB$15:$AL$89)/(ORÇAMENTO!$X$15-CÁLCULO.TotalAdmLocal)*CRONO!$F58,
                        0),
                 U57*$S56),
          SUMIF(OFFSET($S58,1,0,$R56-2),($M56+1)&amp;"$",OFFSET(U58,1,0,$R56-2)))</f>
        <v>0</v>
      </c>
      <c r="V58" s="212">
        <f ca="1">IF($R56=2,
         IF(AND(ACOMPANHAMENTO="PLE",ISNUMBER($F56)),
                SUMIF((OFFSET(CÁLCULO!$AM$15:$AW$15,$F56,0,OFFSET(ORÇAMENTO!$D$15,CRONO!$F56,0))),CRONO!V$12,OFFSET(CÁLCULO!$AB$15:$AL$15,$F56,0,OFFSET(ORÇAMENTO!$D$15,CRONO!$F56,0)))
                +IF(AND($F58&lt;&gt;"",$F58&lt;&gt;0),
                        SUMIF(CÁLCULO!$AM$15:$AW$89,CRONO!V$12,CÁLCULO!$AB$15:$AL$89)/(ORÇAMENTO!$X$15-CÁLCULO.TotalAdmLocal)*CRONO!$F58,
                        0),
                 V57*$S56),
          SUMIF(OFFSET($S58,1,0,$R56-2),($M56+1)&amp;"$",OFFSET(V58,1,0,$R56-2)))</f>
        <v>0</v>
      </c>
      <c r="W58" s="212">
        <f ca="1">IF($R56=2,
         IF(AND(ACOMPANHAMENTO="PLE",ISNUMBER($F56)),
                SUMIF((OFFSET(CÁLCULO!$AM$15:$AW$15,$F56,0,OFFSET(ORÇAMENTO!$D$15,CRONO!$F56,0))),CRONO!W$12,OFFSET(CÁLCULO!$AB$15:$AL$15,$F56,0,OFFSET(ORÇAMENTO!$D$15,CRONO!$F56,0)))
                +IF(AND($F58&lt;&gt;"",$F58&lt;&gt;0),
                        SUMIF(CÁLCULO!$AM$15:$AW$89,CRONO!W$12,CÁLCULO!$AB$15:$AL$89)/(ORÇAMENTO!$X$15-CÁLCULO.TotalAdmLocal)*CRONO!$F58,
                        0),
                 W57*$S56),
          SUMIF(OFFSET($S58,1,0,$R56-2),($M56+1)&amp;"$",OFFSET(W58,1,0,$R56-2)))</f>
        <v>0</v>
      </c>
      <c r="X58" s="212">
        <f ca="1">IF($R56=2,
         IF(AND(ACOMPANHAMENTO="PLE",ISNUMBER($F56)),
                SUMIF((OFFSET(CÁLCULO!$AM$15:$AW$15,$F56,0,OFFSET(ORÇAMENTO!$D$15,CRONO!$F56,0))),CRONO!X$12,OFFSET(CÁLCULO!$AB$15:$AL$15,$F56,0,OFFSET(ORÇAMENTO!$D$15,CRONO!$F56,0)))
                +IF(AND($F58&lt;&gt;"",$F58&lt;&gt;0),
                        SUMIF(CÁLCULO!$AM$15:$AW$89,CRONO!X$12,CÁLCULO!$AB$15:$AL$89)/(ORÇAMENTO!$X$15-CÁLCULO.TotalAdmLocal)*CRONO!$F58,
                        0),
                 X57*$S56),
          SUMIF(OFFSET($S58,1,0,$R56-2),($M56+1)&amp;"$",OFFSET(X58,1,0,$R56-2)))</f>
        <v>0</v>
      </c>
      <c r="Y58" s="212">
        <f ca="1">IF($R56=2,
         IF(AND(ACOMPANHAMENTO="PLE",ISNUMBER($F56)),
                SUMIF((OFFSET(CÁLCULO!$AM$15:$AW$15,$F56,0,OFFSET(ORÇAMENTO!$D$15,CRONO!$F56,0))),CRONO!Y$12,OFFSET(CÁLCULO!$AB$15:$AL$15,$F56,0,OFFSET(ORÇAMENTO!$D$15,CRONO!$F56,0)))
                +IF(AND($F58&lt;&gt;"",$F58&lt;&gt;0),
                        SUMIF(CÁLCULO!$AM$15:$AW$89,CRONO!Y$12,CÁLCULO!$AB$15:$AL$89)/(ORÇAMENTO!$X$15-CÁLCULO.TotalAdmLocal)*CRONO!$F58,
                        0),
                 Y57*$S56),
          SUMIF(OFFSET($S58,1,0,$R56-2),($M56+1)&amp;"$",OFFSET(Y58,1,0,$R56-2)))</f>
        <v>0</v>
      </c>
      <c r="Z58" s="212">
        <f ca="1">IF($R56=2,
         IF(AND(ACOMPANHAMENTO="PLE",ISNUMBER($F56)),
                SUMIF((OFFSET(CÁLCULO!$AM$15:$AW$15,$F56,0,OFFSET(ORÇAMENTO!$D$15,CRONO!$F56,0))),CRONO!Z$12,OFFSET(CÁLCULO!$AB$15:$AL$15,$F56,0,OFFSET(ORÇAMENTO!$D$15,CRONO!$F56,0)))
                +IF(AND($F58&lt;&gt;"",$F58&lt;&gt;0),
                        SUMIF(CÁLCULO!$AM$15:$AW$89,CRONO!Z$12,CÁLCULO!$AB$15:$AL$89)/(ORÇAMENTO!$X$15-CÁLCULO.TotalAdmLocal)*CRONO!$F58,
                        0),
                 Z57*$S56),
          SUMIF(OFFSET($S58,1,0,$R56-2),($M56+1)&amp;"$",OFFSET(Z58,1,0,$R56-2)))</f>
        <v>0</v>
      </c>
      <c r="AA58" s="212">
        <f ca="1">IF($R56=2,
         IF(AND(ACOMPANHAMENTO="PLE",ISNUMBER($F56)),
                SUMIF((OFFSET(CÁLCULO!$AM$15:$AW$15,$F56,0,OFFSET(ORÇAMENTO!$D$15,CRONO!$F56,0))),CRONO!AA$12,OFFSET(CÁLCULO!$AB$15:$AL$15,$F56,0,OFFSET(ORÇAMENTO!$D$15,CRONO!$F56,0)))
                +IF(AND($F58&lt;&gt;"",$F58&lt;&gt;0),
                        SUMIF(CÁLCULO!$AM$15:$AW$89,CRONO!AA$12,CÁLCULO!$AB$15:$AL$89)/(ORÇAMENTO!$X$15-CÁLCULO.TotalAdmLocal)*CRONO!$F58,
                        0),
                 AA57*$S56),
          SUMIF(OFFSET($S58,1,0,$R56-2),($M56+1)&amp;"$",OFFSET(AA58,1,0,$R56-2)))</f>
        <v>0</v>
      </c>
      <c r="AB58" s="212">
        <f ca="1">IF($R56=2,
         IF(AND(ACOMPANHAMENTO="PLE",ISNUMBER($F56)),
                SUMIF((OFFSET(CÁLCULO!$AM$15:$AW$15,$F56,0,OFFSET(ORÇAMENTO!$D$15,CRONO!$F56,0))),CRONO!AB$12,OFFSET(CÁLCULO!$AB$15:$AL$15,$F56,0,OFFSET(ORÇAMENTO!$D$15,CRONO!$F56,0)))
                +IF(AND($F58&lt;&gt;"",$F58&lt;&gt;0),
                        SUMIF(CÁLCULO!$AM$15:$AW$89,CRONO!AB$12,CÁLCULO!$AB$15:$AL$89)/(ORÇAMENTO!$X$15-CÁLCULO.TotalAdmLocal)*CRONO!$F58,
                        0),
                 AB57*$S56),
          SUMIF(OFFSET($S58,1,0,$R56-2),($M56+1)&amp;"$",OFFSET(AB58,1,0,$R56-2)))</f>
        <v>0</v>
      </c>
      <c r="AC58" s="212">
        <f ca="1">IF($R56=2,
         IF(AND(ACOMPANHAMENTO="PLE",ISNUMBER($F56)),
                SUMIF((OFFSET(CÁLCULO!$AM$15:$AW$15,$F56,0,OFFSET(ORÇAMENTO!$D$15,CRONO!$F56,0))),CRONO!AC$12,OFFSET(CÁLCULO!$AB$15:$AL$15,$F56,0,OFFSET(ORÇAMENTO!$D$15,CRONO!$F56,0)))
                +IF(AND($F58&lt;&gt;"",$F58&lt;&gt;0),
                        SUMIF(CÁLCULO!$AM$15:$AW$89,CRONO!AC$12,CÁLCULO!$AB$15:$AL$89)/(ORÇAMENTO!$X$15-CÁLCULO.TotalAdmLocal)*CRONO!$F58,
                        0),
                 AC57*$S56),
          SUMIF(OFFSET($S58,1,0,$R56-2),($M56+1)&amp;"$",OFFSET(AC58,1,0,$R56-2)))</f>
        <v>0</v>
      </c>
      <c r="AD58" s="212">
        <f ca="1">IF($R56=2,
         IF(AND(ACOMPANHAMENTO="PLE",ISNUMBER($F56)),
                SUMIF((OFFSET(CÁLCULO!$AM$15:$AW$15,$F56,0,OFFSET(ORÇAMENTO!$D$15,CRONO!$F56,0))),CRONO!AD$12,OFFSET(CÁLCULO!$AB$15:$AL$15,$F56,0,OFFSET(ORÇAMENTO!$D$15,CRONO!$F56,0)))
                +IF(AND($F58&lt;&gt;"",$F58&lt;&gt;0),
                        SUMIF(CÁLCULO!$AM$15:$AW$89,CRONO!AD$12,CÁLCULO!$AB$15:$AL$89)/(ORÇAMENTO!$X$15-CÁLCULO.TotalAdmLocal)*CRONO!$F58,
                        0),
                 AD57*$S56),
          SUMIF(OFFSET($S58,1,0,$R56-2),($M56+1)&amp;"$",OFFSET(AD58,1,0,$R56-2)))</f>
        <v>0</v>
      </c>
      <c r="AE58" s="212">
        <f ca="1">IF($R56=2,
         IF(AND(ACOMPANHAMENTO="PLE",ISNUMBER($F56)),
                SUMIF((OFFSET(CÁLCULO!$AM$15:$AW$15,$F56,0,OFFSET(ORÇAMENTO!$D$15,CRONO!$F56,0))),CRONO!AE$12,OFFSET(CÁLCULO!$AB$15:$AL$15,$F56,0,OFFSET(ORÇAMENTO!$D$15,CRONO!$F56,0)))
                +IF(AND($F58&lt;&gt;"",$F58&lt;&gt;0),
                        SUMIF(CÁLCULO!$AM$15:$AW$89,CRONO!AE$12,CÁLCULO!$AB$15:$AL$89)/(ORÇAMENTO!$X$15-CÁLCULO.TotalAdmLocal)*CRONO!$F58,
                        0),
                 AE57*$S56),
          SUMIF(OFFSET($S58,1,0,$R56-2),($M56+1)&amp;"$",OFFSET(AE58,1,0,$R56-2)))</f>
        <v>0</v>
      </c>
      <c r="AF58" s="212">
        <f ca="1">IF($R56=2,
         IF(AND(ACOMPANHAMENTO="PLE",ISNUMBER($F56)),
                SUMIF((OFFSET(CÁLCULO!$AM$15:$AW$15,$F56,0,OFFSET(ORÇAMENTO!$D$15,CRONO!$F56,0))),CRONO!AF$12,OFFSET(CÁLCULO!$AB$15:$AL$15,$F56,0,OFFSET(ORÇAMENTO!$D$15,CRONO!$F56,0)))
                +IF(AND($F58&lt;&gt;"",$F58&lt;&gt;0),
                        SUMIF(CÁLCULO!$AM$15:$AW$89,CRONO!AF$12,CÁLCULO!$AB$15:$AL$89)/(ORÇAMENTO!$X$15-CÁLCULO.TotalAdmLocal)*CRONO!$F58,
                        0),
                 AF57*$S56),
          SUMIF(OFFSET($S58,1,0,$R56-2),($M56+1)&amp;"$",OFFSET(AF58,1,0,$R56-2)))</f>
        <v>0</v>
      </c>
      <c r="AG58" s="577"/>
    </row>
    <row r="59" spans="1:33" x14ac:dyDescent="0.2">
      <c r="A59" s="196" t="str">
        <f t="shared" ref="A59" ca="1" si="92">IF($M59&gt;1,CONCATENATE($I59," ",$J59),"")</f>
        <v/>
      </c>
      <c r="B59" s="195">
        <f t="shared" ref="B59" ca="1" si="93">OFFSET(B59,-3,0)+1</f>
        <v>16</v>
      </c>
      <c r="C59" s="195">
        <f ca="1">IF($R59&lt;&gt;2,0,IF($S59=0,1,IF(F60&gt;0,OFFSET(QCI!$M$13,SUBSTITUTE(F60,".",""),0),OFFSET(ORÇAMENTO!$AA$15,CRONO!$F59,0))/$S59))</f>
        <v>1</v>
      </c>
      <c r="D59" s="195">
        <f ca="1">IF($R59&lt;&gt;2,0,IF($S59=0,1,IF(F60&gt;0,OFFSET(QCI!$N$13,SUBSTITUTE(F60,".",""),0),OFFSET(ORÇAMENTO!$AB$15,CRONO!$F59,0))/$S59))</f>
        <v>1</v>
      </c>
      <c r="E59" s="198" t="e">
        <f ca="1">IF(AND($R59=2,ACOMPANHAMENTO="BM"),ROUND(E60,4),E61/$S59)</f>
        <v>#DIV/0!</v>
      </c>
      <c r="F59" s="195" t="e">
        <f ca="1">IF(B59&lt;=ORÇAMENTO.MáximoListaCrono,MATCH(B59,ORÇAMENTO.ListaCrono,0),NA())</f>
        <v>#N/A</v>
      </c>
      <c r="G59" s="195" t="str">
        <f t="shared" ref="G59" ca="1" si="94">IF(AND($F60&lt;&gt;-1,$S59&gt;0),"F","")</f>
        <v/>
      </c>
      <c r="H59" s="199" t="str">
        <f ca="1">IF(OR(S59=0,S59=""),"Linha",IF(AND(OR(ACOMPANHAMENTO="PLE",$R59&lt;&gt;2),$F60=0),"Linha",ROUND(1-SUM(U59:AG59),4)))</f>
        <v>Linha</v>
      </c>
      <c r="I59" s="200">
        <f ca="1">IF($F60=0,OFFSET(ORÇAMENTO!O$15,$F59,0),IF($F60&lt;&gt;-1,OFFSET(QCI!$D$13,$F60,0),""))</f>
        <v>6</v>
      </c>
      <c r="J59" s="201" t="str">
        <f ca="1">IF($F60=0,OFFSET(ORÇAMENTO!R$15,$F59,0),IF($F60&lt;&gt;-1,OFFSET(QCI!$G$13,$F60,0),""))</f>
        <v/>
      </c>
      <c r="K59" s="201"/>
      <c r="L59" s="201"/>
      <c r="M59" s="202">
        <f ca="1">IF($F60=0,OFFSET(ORÇAMENTO!C$15,$F59,0),1)</f>
        <v>1</v>
      </c>
      <c r="N59" s="203">
        <f ca="1">IF($F60=-1,0,IF(N$13&lt;=$M59,IF(ISERROR(MATCH(N$13,OFFSET($M59,1,0,ROW($M$92)-ROW($M59)-1),0)),ROW($M$92)-ROW($M59)-1,MATCH(N$13,OFFSET($M59,1,0,ROW($M$92)-ROW($M59)-1),0)-1),0))</f>
        <v>2</v>
      </c>
      <c r="O59" s="203">
        <f ca="1">IF($F60=-1,0,IF(O$13&lt;=$M59,IF(ISERROR(MATCH(O$13,OFFSET($M59,1,0,ROW($M$92)-ROW($M59)-1),0)),ROW($M$92)-ROW($M59)-1,MATCH(O$13,OFFSET($M59,1,0,ROW($M$92)-ROW($M59)-1),0)-1),0))</f>
        <v>0</v>
      </c>
      <c r="P59" s="203">
        <f ca="1">IF($F60=-1,0,IF(P$13&lt;=$M59,IF(ISERROR(MATCH(P$13,OFFSET($M59,1,0,ROW($M$92)-ROW($M59)-1),0)),ROW($M$92)-ROW($M59)-1,MATCH(P$13,OFFSET($M59,1,0,ROW($M$92)-ROW($M59)-1),0)-1),0))</f>
        <v>0</v>
      </c>
      <c r="Q59" s="203">
        <f ca="1">IF($F60=-1,0,IF(Q$13&lt;=$M59,IF(ISERROR(MATCH(Q$13,OFFSET($M59,1,0,ROW($M$92)-ROW($M59)-1),0)),ROW($M$92)-ROW($M59)-1,MATCH(Q$13,OFFSET($M59,1,0,ROW($M$92)-ROW($M59)-1),0)-1),0))</f>
        <v>0</v>
      </c>
      <c r="R59" s="203">
        <f t="shared" ref="R59" ca="1" si="95">MIN(OFFSET(M59,0,1,,M59))</f>
        <v>2</v>
      </c>
      <c r="S59" s="204">
        <f ca="1">IF($F60=0,OFFSET(ORÇAMENTO!X$15,$F59,0),IF($F60&lt;&gt;-1,OFFSET(QCI!$O$13,$F60,0),""))</f>
        <v>0</v>
      </c>
      <c r="T59" s="205" t="s">
        <v>266</v>
      </c>
      <c r="U59" s="198" t="e">
        <f ca="1">IF(AND($R59=2,ACOMPANHAMENTO="BM"),ROUND(U60,4),U61/$S59)</f>
        <v>#DIV/0!</v>
      </c>
      <c r="V59" s="198" t="e">
        <f ca="1">IF(AND($R59=2,ACOMPANHAMENTO="BM"),ROUND(V60,4),V61/$S59)</f>
        <v>#DIV/0!</v>
      </c>
      <c r="W59" s="198" t="e">
        <f ca="1">IF(AND($R59=2,ACOMPANHAMENTO="BM"),ROUND(W60,4),W61/$S59)</f>
        <v>#DIV/0!</v>
      </c>
      <c r="X59" s="198" t="e">
        <f ca="1">IF(AND($R59=2,ACOMPANHAMENTO="BM"),ROUND(X60,4),X61/$S59)</f>
        <v>#DIV/0!</v>
      </c>
      <c r="Y59" s="198" t="e">
        <f ca="1">IF(AND($R59=2,ACOMPANHAMENTO="BM"),ROUND(Y60,4),Y61/$S59)</f>
        <v>#DIV/0!</v>
      </c>
      <c r="Z59" s="198" t="e">
        <f ca="1">IF(AND($R59=2,ACOMPANHAMENTO="BM"),ROUND(Z60,4),Z61/$S59)</f>
        <v>#DIV/0!</v>
      </c>
      <c r="AA59" s="198" t="e">
        <f ca="1">IF(AND($R59=2,ACOMPANHAMENTO="BM"),ROUND(AA60,4),AA61/$S59)</f>
        <v>#DIV/0!</v>
      </c>
      <c r="AB59" s="198" t="e">
        <f ca="1">IF(AND($R59=2,ACOMPANHAMENTO="BM"),ROUND(AB60,4),AB61/$S59)</f>
        <v>#DIV/0!</v>
      </c>
      <c r="AC59" s="198" t="e">
        <f ca="1">IF(AND($R59=2,ACOMPANHAMENTO="BM"),ROUND(AC60,4),AC61/$S59)</f>
        <v>#DIV/0!</v>
      </c>
      <c r="AD59" s="198" t="e">
        <f ca="1">IF(AND($R59=2,ACOMPANHAMENTO="BM"),ROUND(AD60,4),AD61/$S59)</f>
        <v>#DIV/0!</v>
      </c>
      <c r="AE59" s="198" t="e">
        <f ca="1">IF(AND($R59=2,ACOMPANHAMENTO="BM"),ROUND(AE60,4),AE61/$S59)</f>
        <v>#DIV/0!</v>
      </c>
      <c r="AF59" s="198" t="e">
        <f ca="1">IF(AND($R59=2,ACOMPANHAMENTO="BM"),ROUND(AF60,4),AF61/$S59)</f>
        <v>#DIV/0!</v>
      </c>
      <c r="AG59" s="577"/>
    </row>
    <row r="60" spans="1:33" ht="12.75" hidden="1" customHeight="1" x14ac:dyDescent="0.2">
      <c r="E60" s="646"/>
      <c r="F60" s="195">
        <f ca="1">IF(ISERROR(F59),IF(1+COUNTIF($M$13:OFFSET(M59,-1,0),1)&lt;=MAX(QCI!$D$13:$D$24),1+COUNTIF($M$13:OFFSET(M59,-1,0),1),-1),0)</f>
        <v>6</v>
      </c>
      <c r="G60" s="195" t="str">
        <f ca="1">IF(ACOMPANHAMENTO="BM",OFFSET(G60,-1,0),"")</f>
        <v/>
      </c>
      <c r="H60" s="206" t="str">
        <f ca="1">IF(OR(S59=0,S59=""),"vazia",IF(AND(OR(ACOMPANHAMENTO="PLE",$R59&lt;&gt;2),$F60=0),"calculada","--&gt;"))</f>
        <v>vazia</v>
      </c>
      <c r="I60" s="207"/>
      <c r="J60" s="208" t="str">
        <f t="shared" ref="J60" ca="1" si="96">IF(AND(H59&lt;&gt;0,ISNUMBER(H59)),"PREENCHA ESTA LINHA --&gt;","")</f>
        <v/>
      </c>
      <c r="K60" s="208"/>
      <c r="L60" s="208"/>
      <c r="M60" s="209"/>
      <c r="N60" s="209"/>
      <c r="O60" s="209"/>
      <c r="P60" s="209"/>
      <c r="Q60" s="209"/>
      <c r="R60" s="209"/>
      <c r="S60" s="210"/>
      <c r="T60" s="211"/>
      <c r="U60" s="646"/>
      <c r="V60" s="646"/>
      <c r="W60" s="646"/>
      <c r="X60" s="646"/>
      <c r="Y60" s="646"/>
      <c r="Z60" s="646"/>
      <c r="AA60" s="646"/>
      <c r="AB60" s="646"/>
      <c r="AC60" s="646"/>
      <c r="AD60" s="646"/>
      <c r="AE60" s="646"/>
      <c r="AF60" s="646"/>
      <c r="AG60" s="577"/>
    </row>
    <row r="61" spans="1:33" ht="12.75" hidden="1" customHeight="1" x14ac:dyDescent="0.2">
      <c r="D61" s="576"/>
      <c r="E61" s="212">
        <f ca="1">IF($R59=2,
         IF(AND(ACOMPANHAMENTO="PLE",ISNUMBER($F59)),
                SUMIF((OFFSET(CÁLCULO!$AM$15:$AW$15,$F59,0,OFFSET(ORÇAMENTO!$D$15,CRONO!$F59,0))),CRONO!E$12,OFFSET(CÁLCULO!$AB$15:$AL$15,$F59,0,OFFSET(ORÇAMENTO!$D$15,CRONO!$F59,0)))
                +IF(AND($F61&lt;&gt;"",$F61&lt;&gt;0),
                        SUMIF(CÁLCULO!$AM$15:$AW$89,CRONO!E$12,CÁLCULO!$AB$15:$AL$89)/(ORÇAMENTO!$X$15-CÁLCULO.TotalAdmLocal)*CRONO!$F61,
                        0),
                 E60*$S59),
          SUMIF(OFFSET($S61,1,0,$R59-2),($M59+1)&amp;"$",OFFSET(E61,1,0,$R59-2)))</f>
        <v>0</v>
      </c>
      <c r="F61" s="195" t="str">
        <f ca="1">IF(OR($R59&lt;&gt;2,AUTOEVENTO&lt;&gt;"manual",$F60&gt;0),"",
        IF(Import.TipoArredondamento="Tradicional",
              SUMIF(OFFSET(CÁLCULO!$M$15,CRONO!$F59,0,OFFSET(ORÇAMENTO!$D$15,CRONO!$F59,0)),1,OFFSET(ORÇAMENTO!$X$15,CRONO!$F59,0,OFFSET(ORÇAMENTO!$D$15,CRONO!$F59,0))),
              0))</f>
        <v/>
      </c>
      <c r="H61" s="213"/>
      <c r="S61" s="214" t="str">
        <f t="shared" ref="S61" ca="1" si="97">M59&amp;"$"</f>
        <v>1$</v>
      </c>
      <c r="T61" s="215"/>
      <c r="U61" s="212">
        <f ca="1">IF($R59=2,
         IF(AND(ACOMPANHAMENTO="PLE",ISNUMBER($F59)),
                SUMIF((OFFSET(CÁLCULO!$AM$15:$AW$15,$F59,0,OFFSET(ORÇAMENTO!$D$15,CRONO!$F59,0))),CRONO!U$12,OFFSET(CÁLCULO!$AB$15:$AL$15,$F59,0,OFFSET(ORÇAMENTO!$D$15,CRONO!$F59,0)))
                +IF(AND($F61&lt;&gt;"",$F61&lt;&gt;0),
                        SUMIF(CÁLCULO!$AM$15:$AW$89,CRONO!U$12,CÁLCULO!$AB$15:$AL$89)/(ORÇAMENTO!$X$15-CÁLCULO.TotalAdmLocal)*CRONO!$F61,
                        0),
                 U60*$S59),
          SUMIF(OFFSET($S61,1,0,$R59-2),($M59+1)&amp;"$",OFFSET(U61,1,0,$R59-2)))</f>
        <v>0</v>
      </c>
      <c r="V61" s="212">
        <f ca="1">IF($R59=2,
         IF(AND(ACOMPANHAMENTO="PLE",ISNUMBER($F59)),
                SUMIF((OFFSET(CÁLCULO!$AM$15:$AW$15,$F59,0,OFFSET(ORÇAMENTO!$D$15,CRONO!$F59,0))),CRONO!V$12,OFFSET(CÁLCULO!$AB$15:$AL$15,$F59,0,OFFSET(ORÇAMENTO!$D$15,CRONO!$F59,0)))
                +IF(AND($F61&lt;&gt;"",$F61&lt;&gt;0),
                        SUMIF(CÁLCULO!$AM$15:$AW$89,CRONO!V$12,CÁLCULO!$AB$15:$AL$89)/(ORÇAMENTO!$X$15-CÁLCULO.TotalAdmLocal)*CRONO!$F61,
                        0),
                 V60*$S59),
          SUMIF(OFFSET($S61,1,0,$R59-2),($M59+1)&amp;"$",OFFSET(V61,1,0,$R59-2)))</f>
        <v>0</v>
      </c>
      <c r="W61" s="212">
        <f ca="1">IF($R59=2,
         IF(AND(ACOMPANHAMENTO="PLE",ISNUMBER($F59)),
                SUMIF((OFFSET(CÁLCULO!$AM$15:$AW$15,$F59,0,OFFSET(ORÇAMENTO!$D$15,CRONO!$F59,0))),CRONO!W$12,OFFSET(CÁLCULO!$AB$15:$AL$15,$F59,0,OFFSET(ORÇAMENTO!$D$15,CRONO!$F59,0)))
                +IF(AND($F61&lt;&gt;"",$F61&lt;&gt;0),
                        SUMIF(CÁLCULO!$AM$15:$AW$89,CRONO!W$12,CÁLCULO!$AB$15:$AL$89)/(ORÇAMENTO!$X$15-CÁLCULO.TotalAdmLocal)*CRONO!$F61,
                        0),
                 W60*$S59),
          SUMIF(OFFSET($S61,1,0,$R59-2),($M59+1)&amp;"$",OFFSET(W61,1,0,$R59-2)))</f>
        <v>0</v>
      </c>
      <c r="X61" s="212">
        <f ca="1">IF($R59=2,
         IF(AND(ACOMPANHAMENTO="PLE",ISNUMBER($F59)),
                SUMIF((OFFSET(CÁLCULO!$AM$15:$AW$15,$F59,0,OFFSET(ORÇAMENTO!$D$15,CRONO!$F59,0))),CRONO!X$12,OFFSET(CÁLCULO!$AB$15:$AL$15,$F59,0,OFFSET(ORÇAMENTO!$D$15,CRONO!$F59,0)))
                +IF(AND($F61&lt;&gt;"",$F61&lt;&gt;0),
                        SUMIF(CÁLCULO!$AM$15:$AW$89,CRONO!X$12,CÁLCULO!$AB$15:$AL$89)/(ORÇAMENTO!$X$15-CÁLCULO.TotalAdmLocal)*CRONO!$F61,
                        0),
                 X60*$S59),
          SUMIF(OFFSET($S61,1,0,$R59-2),($M59+1)&amp;"$",OFFSET(X61,1,0,$R59-2)))</f>
        <v>0</v>
      </c>
      <c r="Y61" s="212">
        <f ca="1">IF($R59=2,
         IF(AND(ACOMPANHAMENTO="PLE",ISNUMBER($F59)),
                SUMIF((OFFSET(CÁLCULO!$AM$15:$AW$15,$F59,0,OFFSET(ORÇAMENTO!$D$15,CRONO!$F59,0))),CRONO!Y$12,OFFSET(CÁLCULO!$AB$15:$AL$15,$F59,0,OFFSET(ORÇAMENTO!$D$15,CRONO!$F59,0)))
                +IF(AND($F61&lt;&gt;"",$F61&lt;&gt;0),
                        SUMIF(CÁLCULO!$AM$15:$AW$89,CRONO!Y$12,CÁLCULO!$AB$15:$AL$89)/(ORÇAMENTO!$X$15-CÁLCULO.TotalAdmLocal)*CRONO!$F61,
                        0),
                 Y60*$S59),
          SUMIF(OFFSET($S61,1,0,$R59-2),($M59+1)&amp;"$",OFFSET(Y61,1,0,$R59-2)))</f>
        <v>0</v>
      </c>
      <c r="Z61" s="212">
        <f ca="1">IF($R59=2,
         IF(AND(ACOMPANHAMENTO="PLE",ISNUMBER($F59)),
                SUMIF((OFFSET(CÁLCULO!$AM$15:$AW$15,$F59,0,OFFSET(ORÇAMENTO!$D$15,CRONO!$F59,0))),CRONO!Z$12,OFFSET(CÁLCULO!$AB$15:$AL$15,$F59,0,OFFSET(ORÇAMENTO!$D$15,CRONO!$F59,0)))
                +IF(AND($F61&lt;&gt;"",$F61&lt;&gt;0),
                        SUMIF(CÁLCULO!$AM$15:$AW$89,CRONO!Z$12,CÁLCULO!$AB$15:$AL$89)/(ORÇAMENTO!$X$15-CÁLCULO.TotalAdmLocal)*CRONO!$F61,
                        0),
                 Z60*$S59),
          SUMIF(OFFSET($S61,1,0,$R59-2),($M59+1)&amp;"$",OFFSET(Z61,1,0,$R59-2)))</f>
        <v>0</v>
      </c>
      <c r="AA61" s="212">
        <f ca="1">IF($R59=2,
         IF(AND(ACOMPANHAMENTO="PLE",ISNUMBER($F59)),
                SUMIF((OFFSET(CÁLCULO!$AM$15:$AW$15,$F59,0,OFFSET(ORÇAMENTO!$D$15,CRONO!$F59,0))),CRONO!AA$12,OFFSET(CÁLCULO!$AB$15:$AL$15,$F59,0,OFFSET(ORÇAMENTO!$D$15,CRONO!$F59,0)))
                +IF(AND($F61&lt;&gt;"",$F61&lt;&gt;0),
                        SUMIF(CÁLCULO!$AM$15:$AW$89,CRONO!AA$12,CÁLCULO!$AB$15:$AL$89)/(ORÇAMENTO!$X$15-CÁLCULO.TotalAdmLocal)*CRONO!$F61,
                        0),
                 AA60*$S59),
          SUMIF(OFFSET($S61,1,0,$R59-2),($M59+1)&amp;"$",OFFSET(AA61,1,0,$R59-2)))</f>
        <v>0</v>
      </c>
      <c r="AB61" s="212">
        <f ca="1">IF($R59=2,
         IF(AND(ACOMPANHAMENTO="PLE",ISNUMBER($F59)),
                SUMIF((OFFSET(CÁLCULO!$AM$15:$AW$15,$F59,0,OFFSET(ORÇAMENTO!$D$15,CRONO!$F59,0))),CRONO!AB$12,OFFSET(CÁLCULO!$AB$15:$AL$15,$F59,0,OFFSET(ORÇAMENTO!$D$15,CRONO!$F59,0)))
                +IF(AND($F61&lt;&gt;"",$F61&lt;&gt;0),
                        SUMIF(CÁLCULO!$AM$15:$AW$89,CRONO!AB$12,CÁLCULO!$AB$15:$AL$89)/(ORÇAMENTO!$X$15-CÁLCULO.TotalAdmLocal)*CRONO!$F61,
                        0),
                 AB60*$S59),
          SUMIF(OFFSET($S61,1,0,$R59-2),($M59+1)&amp;"$",OFFSET(AB61,1,0,$R59-2)))</f>
        <v>0</v>
      </c>
      <c r="AC61" s="212">
        <f ca="1">IF($R59=2,
         IF(AND(ACOMPANHAMENTO="PLE",ISNUMBER($F59)),
                SUMIF((OFFSET(CÁLCULO!$AM$15:$AW$15,$F59,0,OFFSET(ORÇAMENTO!$D$15,CRONO!$F59,0))),CRONO!AC$12,OFFSET(CÁLCULO!$AB$15:$AL$15,$F59,0,OFFSET(ORÇAMENTO!$D$15,CRONO!$F59,0)))
                +IF(AND($F61&lt;&gt;"",$F61&lt;&gt;0),
                        SUMIF(CÁLCULO!$AM$15:$AW$89,CRONO!AC$12,CÁLCULO!$AB$15:$AL$89)/(ORÇAMENTO!$X$15-CÁLCULO.TotalAdmLocal)*CRONO!$F61,
                        0),
                 AC60*$S59),
          SUMIF(OFFSET($S61,1,0,$R59-2),($M59+1)&amp;"$",OFFSET(AC61,1,0,$R59-2)))</f>
        <v>0</v>
      </c>
      <c r="AD61" s="212">
        <f ca="1">IF($R59=2,
         IF(AND(ACOMPANHAMENTO="PLE",ISNUMBER($F59)),
                SUMIF((OFFSET(CÁLCULO!$AM$15:$AW$15,$F59,0,OFFSET(ORÇAMENTO!$D$15,CRONO!$F59,0))),CRONO!AD$12,OFFSET(CÁLCULO!$AB$15:$AL$15,$F59,0,OFFSET(ORÇAMENTO!$D$15,CRONO!$F59,0)))
                +IF(AND($F61&lt;&gt;"",$F61&lt;&gt;0),
                        SUMIF(CÁLCULO!$AM$15:$AW$89,CRONO!AD$12,CÁLCULO!$AB$15:$AL$89)/(ORÇAMENTO!$X$15-CÁLCULO.TotalAdmLocal)*CRONO!$F61,
                        0),
                 AD60*$S59),
          SUMIF(OFFSET($S61,1,0,$R59-2),($M59+1)&amp;"$",OFFSET(AD61,1,0,$R59-2)))</f>
        <v>0</v>
      </c>
      <c r="AE61" s="212">
        <f ca="1">IF($R59=2,
         IF(AND(ACOMPANHAMENTO="PLE",ISNUMBER($F59)),
                SUMIF((OFFSET(CÁLCULO!$AM$15:$AW$15,$F59,0,OFFSET(ORÇAMENTO!$D$15,CRONO!$F59,0))),CRONO!AE$12,OFFSET(CÁLCULO!$AB$15:$AL$15,$F59,0,OFFSET(ORÇAMENTO!$D$15,CRONO!$F59,0)))
                +IF(AND($F61&lt;&gt;"",$F61&lt;&gt;0),
                        SUMIF(CÁLCULO!$AM$15:$AW$89,CRONO!AE$12,CÁLCULO!$AB$15:$AL$89)/(ORÇAMENTO!$X$15-CÁLCULO.TotalAdmLocal)*CRONO!$F61,
                        0),
                 AE60*$S59),
          SUMIF(OFFSET($S61,1,0,$R59-2),($M59+1)&amp;"$",OFFSET(AE61,1,0,$R59-2)))</f>
        <v>0</v>
      </c>
      <c r="AF61" s="212">
        <f ca="1">IF($R59=2,
         IF(AND(ACOMPANHAMENTO="PLE",ISNUMBER($F59)),
                SUMIF((OFFSET(CÁLCULO!$AM$15:$AW$15,$F59,0,OFFSET(ORÇAMENTO!$D$15,CRONO!$F59,0))),CRONO!AF$12,OFFSET(CÁLCULO!$AB$15:$AL$15,$F59,0,OFFSET(ORÇAMENTO!$D$15,CRONO!$F59,0)))
                +IF(AND($F61&lt;&gt;"",$F61&lt;&gt;0),
                        SUMIF(CÁLCULO!$AM$15:$AW$89,CRONO!AF$12,CÁLCULO!$AB$15:$AL$89)/(ORÇAMENTO!$X$15-CÁLCULO.TotalAdmLocal)*CRONO!$F61,
                        0),
                 AF60*$S59),
          SUMIF(OFFSET($S61,1,0,$R59-2),($M59+1)&amp;"$",OFFSET(AF61,1,0,$R59-2)))</f>
        <v>0</v>
      </c>
      <c r="AG61" s="577"/>
    </row>
    <row r="62" spans="1:33" x14ac:dyDescent="0.2">
      <c r="A62" s="196" t="str">
        <f t="shared" ref="A62" ca="1" si="98">IF($M62&gt;1,CONCATENATE($I62," ",$J62),"")</f>
        <v/>
      </c>
      <c r="B62" s="195">
        <f t="shared" ref="B62" ca="1" si="99">OFFSET(B62,-3,0)+1</f>
        <v>17</v>
      </c>
      <c r="C62" s="195">
        <f ca="1">IF($R62&lt;&gt;2,0,IF($S62=0,1,IF(F63&gt;0,OFFSET(QCI!$M$13,SUBSTITUTE(F63,".",""),0),OFFSET(ORÇAMENTO!$AA$15,CRONO!$F62,0))/$S62))</f>
        <v>1</v>
      </c>
      <c r="D62" s="195">
        <f ca="1">IF($R62&lt;&gt;2,0,IF($S62=0,1,IF(F63&gt;0,OFFSET(QCI!$N$13,SUBSTITUTE(F63,".",""),0),OFFSET(ORÇAMENTO!$AB$15,CRONO!$F62,0))/$S62))</f>
        <v>1</v>
      </c>
      <c r="E62" s="198" t="e">
        <f ca="1">IF(AND($R62=2,ACOMPANHAMENTO="BM"),ROUND(E63,4),E64/$S62)</f>
        <v>#DIV/0!</v>
      </c>
      <c r="F62" s="195" t="e">
        <f ca="1">IF(B62&lt;=ORÇAMENTO.MáximoListaCrono,MATCH(B62,ORÇAMENTO.ListaCrono,0),NA())</f>
        <v>#N/A</v>
      </c>
      <c r="G62" s="195" t="str">
        <f t="shared" ref="G62" ca="1" si="100">IF(AND($F63&lt;&gt;-1,$S62&gt;0),"F","")</f>
        <v/>
      </c>
      <c r="H62" s="199" t="str">
        <f ca="1">IF(OR(S62=0,S62=""),"Linha",IF(AND(OR(ACOMPANHAMENTO="PLE",$R62&lt;&gt;2),$F63=0),"Linha",ROUND(1-SUM(U62:AG62),4)))</f>
        <v>Linha</v>
      </c>
      <c r="I62" s="200">
        <f ca="1">IF($F63=0,OFFSET(ORÇAMENTO!O$15,$F62,0),IF($F63&lt;&gt;-1,OFFSET(QCI!$D$13,$F63,0),""))</f>
        <v>7</v>
      </c>
      <c r="J62" s="201" t="str">
        <f ca="1">IF($F63=0,OFFSET(ORÇAMENTO!R$15,$F62,0),IF($F63&lt;&gt;-1,OFFSET(QCI!$G$13,$F63,0),""))</f>
        <v/>
      </c>
      <c r="K62" s="201"/>
      <c r="L62" s="201"/>
      <c r="M62" s="202">
        <f ca="1">IF($F63=0,OFFSET(ORÇAMENTO!C$15,$F62,0),1)</f>
        <v>1</v>
      </c>
      <c r="N62" s="203">
        <f ca="1">IF($F63=-1,0,IF(N$13&lt;=$M62,IF(ISERROR(MATCH(N$13,OFFSET($M62,1,0,ROW($M$92)-ROW($M62)-1),0)),ROW($M$92)-ROW($M62)-1,MATCH(N$13,OFFSET($M62,1,0,ROW($M$92)-ROW($M62)-1),0)-1),0))</f>
        <v>2</v>
      </c>
      <c r="O62" s="203">
        <f ca="1">IF($F63=-1,0,IF(O$13&lt;=$M62,IF(ISERROR(MATCH(O$13,OFFSET($M62,1,0,ROW($M$92)-ROW($M62)-1),0)),ROW($M$92)-ROW($M62)-1,MATCH(O$13,OFFSET($M62,1,0,ROW($M$92)-ROW($M62)-1),0)-1),0))</f>
        <v>0</v>
      </c>
      <c r="P62" s="203">
        <f ca="1">IF($F63=-1,0,IF(P$13&lt;=$M62,IF(ISERROR(MATCH(P$13,OFFSET($M62,1,0,ROW($M$92)-ROW($M62)-1),0)),ROW($M$92)-ROW($M62)-1,MATCH(P$13,OFFSET($M62,1,0,ROW($M$92)-ROW($M62)-1),0)-1),0))</f>
        <v>0</v>
      </c>
      <c r="Q62" s="203">
        <f ca="1">IF($F63=-1,0,IF(Q$13&lt;=$M62,IF(ISERROR(MATCH(Q$13,OFFSET($M62,1,0,ROW($M$92)-ROW($M62)-1),0)),ROW($M$92)-ROW($M62)-1,MATCH(Q$13,OFFSET($M62,1,0,ROW($M$92)-ROW($M62)-1),0)-1),0))</f>
        <v>0</v>
      </c>
      <c r="R62" s="203">
        <f t="shared" ref="R62" ca="1" si="101">MIN(OFFSET(M62,0,1,,M62))</f>
        <v>2</v>
      </c>
      <c r="S62" s="204">
        <f ca="1">IF($F63=0,OFFSET(ORÇAMENTO!X$15,$F62,0),IF($F63&lt;&gt;-1,OFFSET(QCI!$O$13,$F63,0),""))</f>
        <v>0</v>
      </c>
      <c r="T62" s="205" t="s">
        <v>266</v>
      </c>
      <c r="U62" s="198" t="e">
        <f ca="1">IF(AND($R62=2,ACOMPANHAMENTO="BM"),ROUND(U63,4),U64/$S62)</f>
        <v>#DIV/0!</v>
      </c>
      <c r="V62" s="198" t="e">
        <f ca="1">IF(AND($R62=2,ACOMPANHAMENTO="BM"),ROUND(V63,4),V64/$S62)</f>
        <v>#DIV/0!</v>
      </c>
      <c r="W62" s="198" t="e">
        <f ca="1">IF(AND($R62=2,ACOMPANHAMENTO="BM"),ROUND(W63,4),W64/$S62)</f>
        <v>#DIV/0!</v>
      </c>
      <c r="X62" s="198" t="e">
        <f ca="1">IF(AND($R62=2,ACOMPANHAMENTO="BM"),ROUND(X63,4),X64/$S62)</f>
        <v>#DIV/0!</v>
      </c>
      <c r="Y62" s="198" t="e">
        <f ca="1">IF(AND($R62=2,ACOMPANHAMENTO="BM"),ROUND(Y63,4),Y64/$S62)</f>
        <v>#DIV/0!</v>
      </c>
      <c r="Z62" s="198" t="e">
        <f ca="1">IF(AND($R62=2,ACOMPANHAMENTO="BM"),ROUND(Z63,4),Z64/$S62)</f>
        <v>#DIV/0!</v>
      </c>
      <c r="AA62" s="198" t="e">
        <f ca="1">IF(AND($R62=2,ACOMPANHAMENTO="BM"),ROUND(AA63,4),AA64/$S62)</f>
        <v>#DIV/0!</v>
      </c>
      <c r="AB62" s="198" t="e">
        <f ca="1">IF(AND($R62=2,ACOMPANHAMENTO="BM"),ROUND(AB63,4),AB64/$S62)</f>
        <v>#DIV/0!</v>
      </c>
      <c r="AC62" s="198" t="e">
        <f ca="1">IF(AND($R62=2,ACOMPANHAMENTO="BM"),ROUND(AC63,4),AC64/$S62)</f>
        <v>#DIV/0!</v>
      </c>
      <c r="AD62" s="198" t="e">
        <f ca="1">IF(AND($R62=2,ACOMPANHAMENTO="BM"),ROUND(AD63,4),AD64/$S62)</f>
        <v>#DIV/0!</v>
      </c>
      <c r="AE62" s="198" t="e">
        <f ca="1">IF(AND($R62=2,ACOMPANHAMENTO="BM"),ROUND(AE63,4),AE64/$S62)</f>
        <v>#DIV/0!</v>
      </c>
      <c r="AF62" s="198" t="e">
        <f ca="1">IF(AND($R62=2,ACOMPANHAMENTO="BM"),ROUND(AF63,4),AF64/$S62)</f>
        <v>#DIV/0!</v>
      </c>
      <c r="AG62" s="577"/>
    </row>
    <row r="63" spans="1:33" ht="12.75" hidden="1" customHeight="1" x14ac:dyDescent="0.2">
      <c r="E63" s="646"/>
      <c r="F63" s="195">
        <f ca="1">IF(ISERROR(F62),IF(1+COUNTIF($M$13:OFFSET(M62,-1,0),1)&lt;=MAX(QCI!$D$13:$D$24),1+COUNTIF($M$13:OFFSET(M62,-1,0),1),-1),0)</f>
        <v>7</v>
      </c>
      <c r="G63" s="195" t="str">
        <f ca="1">IF(ACOMPANHAMENTO="BM",OFFSET(G63,-1,0),"")</f>
        <v/>
      </c>
      <c r="H63" s="206" t="str">
        <f ca="1">IF(OR(S62=0,S62=""),"vazia",IF(AND(OR(ACOMPANHAMENTO="PLE",$R62&lt;&gt;2),$F63=0),"calculada","--&gt;"))</f>
        <v>vazia</v>
      </c>
      <c r="I63" s="207"/>
      <c r="J63" s="208" t="str">
        <f t="shared" ref="J63" ca="1" si="102">IF(AND(H62&lt;&gt;0,ISNUMBER(H62)),"PREENCHA ESTA LINHA --&gt;","")</f>
        <v/>
      </c>
      <c r="K63" s="208"/>
      <c r="L63" s="208"/>
      <c r="M63" s="209"/>
      <c r="N63" s="209"/>
      <c r="O63" s="209"/>
      <c r="P63" s="209"/>
      <c r="Q63" s="209"/>
      <c r="R63" s="209"/>
      <c r="S63" s="210"/>
      <c r="T63" s="211"/>
      <c r="U63" s="646"/>
      <c r="V63" s="646"/>
      <c r="W63" s="646"/>
      <c r="X63" s="646"/>
      <c r="Y63" s="646"/>
      <c r="Z63" s="646"/>
      <c r="AA63" s="646"/>
      <c r="AB63" s="646"/>
      <c r="AC63" s="646"/>
      <c r="AD63" s="646"/>
      <c r="AE63" s="646"/>
      <c r="AF63" s="646"/>
      <c r="AG63" s="577"/>
    </row>
    <row r="64" spans="1:33" ht="12.75" hidden="1" customHeight="1" x14ac:dyDescent="0.2">
      <c r="D64" s="576"/>
      <c r="E64" s="212">
        <f ca="1">IF($R62=2,
         IF(AND(ACOMPANHAMENTO="PLE",ISNUMBER($F62)),
                SUMIF((OFFSET(CÁLCULO!$AM$15:$AW$15,$F62,0,OFFSET(ORÇAMENTO!$D$15,CRONO!$F62,0))),CRONO!E$12,OFFSET(CÁLCULO!$AB$15:$AL$15,$F62,0,OFFSET(ORÇAMENTO!$D$15,CRONO!$F62,0)))
                +IF(AND($F64&lt;&gt;"",$F64&lt;&gt;0),
                        SUMIF(CÁLCULO!$AM$15:$AW$89,CRONO!E$12,CÁLCULO!$AB$15:$AL$89)/(ORÇAMENTO!$X$15-CÁLCULO.TotalAdmLocal)*CRONO!$F64,
                        0),
                 E63*$S62),
          SUMIF(OFFSET($S64,1,0,$R62-2),($M62+1)&amp;"$",OFFSET(E64,1,0,$R62-2)))</f>
        <v>0</v>
      </c>
      <c r="F64" s="195" t="str">
        <f ca="1">IF(OR($R62&lt;&gt;2,AUTOEVENTO&lt;&gt;"manual",$F63&gt;0),"",
        IF(Import.TipoArredondamento="Tradicional",
              SUMIF(OFFSET(CÁLCULO!$M$15,CRONO!$F62,0,OFFSET(ORÇAMENTO!$D$15,CRONO!$F62,0)),1,OFFSET(ORÇAMENTO!$X$15,CRONO!$F62,0,OFFSET(ORÇAMENTO!$D$15,CRONO!$F62,0))),
              0))</f>
        <v/>
      </c>
      <c r="H64" s="213"/>
      <c r="S64" s="214" t="str">
        <f t="shared" ref="S64" ca="1" si="103">M62&amp;"$"</f>
        <v>1$</v>
      </c>
      <c r="T64" s="215"/>
      <c r="U64" s="212">
        <f ca="1">IF($R62=2,
         IF(AND(ACOMPANHAMENTO="PLE",ISNUMBER($F62)),
                SUMIF((OFFSET(CÁLCULO!$AM$15:$AW$15,$F62,0,OFFSET(ORÇAMENTO!$D$15,CRONO!$F62,0))),CRONO!U$12,OFFSET(CÁLCULO!$AB$15:$AL$15,$F62,0,OFFSET(ORÇAMENTO!$D$15,CRONO!$F62,0)))
                +IF(AND($F64&lt;&gt;"",$F64&lt;&gt;0),
                        SUMIF(CÁLCULO!$AM$15:$AW$89,CRONO!U$12,CÁLCULO!$AB$15:$AL$89)/(ORÇAMENTO!$X$15-CÁLCULO.TotalAdmLocal)*CRONO!$F64,
                        0),
                 U63*$S62),
          SUMIF(OFFSET($S64,1,0,$R62-2),($M62+1)&amp;"$",OFFSET(U64,1,0,$R62-2)))</f>
        <v>0</v>
      </c>
      <c r="V64" s="212">
        <f ca="1">IF($R62=2,
         IF(AND(ACOMPANHAMENTO="PLE",ISNUMBER($F62)),
                SUMIF((OFFSET(CÁLCULO!$AM$15:$AW$15,$F62,0,OFFSET(ORÇAMENTO!$D$15,CRONO!$F62,0))),CRONO!V$12,OFFSET(CÁLCULO!$AB$15:$AL$15,$F62,0,OFFSET(ORÇAMENTO!$D$15,CRONO!$F62,0)))
                +IF(AND($F64&lt;&gt;"",$F64&lt;&gt;0),
                        SUMIF(CÁLCULO!$AM$15:$AW$89,CRONO!V$12,CÁLCULO!$AB$15:$AL$89)/(ORÇAMENTO!$X$15-CÁLCULO.TotalAdmLocal)*CRONO!$F64,
                        0),
                 V63*$S62),
          SUMIF(OFFSET($S64,1,0,$R62-2),($M62+1)&amp;"$",OFFSET(V64,1,0,$R62-2)))</f>
        <v>0</v>
      </c>
      <c r="W64" s="212">
        <f ca="1">IF($R62=2,
         IF(AND(ACOMPANHAMENTO="PLE",ISNUMBER($F62)),
                SUMIF((OFFSET(CÁLCULO!$AM$15:$AW$15,$F62,0,OFFSET(ORÇAMENTO!$D$15,CRONO!$F62,0))),CRONO!W$12,OFFSET(CÁLCULO!$AB$15:$AL$15,$F62,0,OFFSET(ORÇAMENTO!$D$15,CRONO!$F62,0)))
                +IF(AND($F64&lt;&gt;"",$F64&lt;&gt;0),
                        SUMIF(CÁLCULO!$AM$15:$AW$89,CRONO!W$12,CÁLCULO!$AB$15:$AL$89)/(ORÇAMENTO!$X$15-CÁLCULO.TotalAdmLocal)*CRONO!$F64,
                        0),
                 W63*$S62),
          SUMIF(OFFSET($S64,1,0,$R62-2),($M62+1)&amp;"$",OFFSET(W64,1,0,$R62-2)))</f>
        <v>0</v>
      </c>
      <c r="X64" s="212">
        <f ca="1">IF($R62=2,
         IF(AND(ACOMPANHAMENTO="PLE",ISNUMBER($F62)),
                SUMIF((OFFSET(CÁLCULO!$AM$15:$AW$15,$F62,0,OFFSET(ORÇAMENTO!$D$15,CRONO!$F62,0))),CRONO!X$12,OFFSET(CÁLCULO!$AB$15:$AL$15,$F62,0,OFFSET(ORÇAMENTO!$D$15,CRONO!$F62,0)))
                +IF(AND($F64&lt;&gt;"",$F64&lt;&gt;0),
                        SUMIF(CÁLCULO!$AM$15:$AW$89,CRONO!X$12,CÁLCULO!$AB$15:$AL$89)/(ORÇAMENTO!$X$15-CÁLCULO.TotalAdmLocal)*CRONO!$F64,
                        0),
                 X63*$S62),
          SUMIF(OFFSET($S64,1,0,$R62-2),($M62+1)&amp;"$",OFFSET(X64,1,0,$R62-2)))</f>
        <v>0</v>
      </c>
      <c r="Y64" s="212">
        <f ca="1">IF($R62=2,
         IF(AND(ACOMPANHAMENTO="PLE",ISNUMBER($F62)),
                SUMIF((OFFSET(CÁLCULO!$AM$15:$AW$15,$F62,0,OFFSET(ORÇAMENTO!$D$15,CRONO!$F62,0))),CRONO!Y$12,OFFSET(CÁLCULO!$AB$15:$AL$15,$F62,0,OFFSET(ORÇAMENTO!$D$15,CRONO!$F62,0)))
                +IF(AND($F64&lt;&gt;"",$F64&lt;&gt;0),
                        SUMIF(CÁLCULO!$AM$15:$AW$89,CRONO!Y$12,CÁLCULO!$AB$15:$AL$89)/(ORÇAMENTO!$X$15-CÁLCULO.TotalAdmLocal)*CRONO!$F64,
                        0),
                 Y63*$S62),
          SUMIF(OFFSET($S64,1,0,$R62-2),($M62+1)&amp;"$",OFFSET(Y64,1,0,$R62-2)))</f>
        <v>0</v>
      </c>
      <c r="Z64" s="212">
        <f ca="1">IF($R62=2,
         IF(AND(ACOMPANHAMENTO="PLE",ISNUMBER($F62)),
                SUMIF((OFFSET(CÁLCULO!$AM$15:$AW$15,$F62,0,OFFSET(ORÇAMENTO!$D$15,CRONO!$F62,0))),CRONO!Z$12,OFFSET(CÁLCULO!$AB$15:$AL$15,$F62,0,OFFSET(ORÇAMENTO!$D$15,CRONO!$F62,0)))
                +IF(AND($F64&lt;&gt;"",$F64&lt;&gt;0),
                        SUMIF(CÁLCULO!$AM$15:$AW$89,CRONO!Z$12,CÁLCULO!$AB$15:$AL$89)/(ORÇAMENTO!$X$15-CÁLCULO.TotalAdmLocal)*CRONO!$F64,
                        0),
                 Z63*$S62),
          SUMIF(OFFSET($S64,1,0,$R62-2),($M62+1)&amp;"$",OFFSET(Z64,1,0,$R62-2)))</f>
        <v>0</v>
      </c>
      <c r="AA64" s="212">
        <f ca="1">IF($R62=2,
         IF(AND(ACOMPANHAMENTO="PLE",ISNUMBER($F62)),
                SUMIF((OFFSET(CÁLCULO!$AM$15:$AW$15,$F62,0,OFFSET(ORÇAMENTO!$D$15,CRONO!$F62,0))),CRONO!AA$12,OFFSET(CÁLCULO!$AB$15:$AL$15,$F62,0,OFFSET(ORÇAMENTO!$D$15,CRONO!$F62,0)))
                +IF(AND($F64&lt;&gt;"",$F64&lt;&gt;0),
                        SUMIF(CÁLCULO!$AM$15:$AW$89,CRONO!AA$12,CÁLCULO!$AB$15:$AL$89)/(ORÇAMENTO!$X$15-CÁLCULO.TotalAdmLocal)*CRONO!$F64,
                        0),
                 AA63*$S62),
          SUMIF(OFFSET($S64,1,0,$R62-2),($M62+1)&amp;"$",OFFSET(AA64,1,0,$R62-2)))</f>
        <v>0</v>
      </c>
      <c r="AB64" s="212">
        <f ca="1">IF($R62=2,
         IF(AND(ACOMPANHAMENTO="PLE",ISNUMBER($F62)),
                SUMIF((OFFSET(CÁLCULO!$AM$15:$AW$15,$F62,0,OFFSET(ORÇAMENTO!$D$15,CRONO!$F62,0))),CRONO!AB$12,OFFSET(CÁLCULO!$AB$15:$AL$15,$F62,0,OFFSET(ORÇAMENTO!$D$15,CRONO!$F62,0)))
                +IF(AND($F64&lt;&gt;"",$F64&lt;&gt;0),
                        SUMIF(CÁLCULO!$AM$15:$AW$89,CRONO!AB$12,CÁLCULO!$AB$15:$AL$89)/(ORÇAMENTO!$X$15-CÁLCULO.TotalAdmLocal)*CRONO!$F64,
                        0),
                 AB63*$S62),
          SUMIF(OFFSET($S64,1,0,$R62-2),($M62+1)&amp;"$",OFFSET(AB64,1,0,$R62-2)))</f>
        <v>0</v>
      </c>
      <c r="AC64" s="212">
        <f ca="1">IF($R62=2,
         IF(AND(ACOMPANHAMENTO="PLE",ISNUMBER($F62)),
                SUMIF((OFFSET(CÁLCULO!$AM$15:$AW$15,$F62,0,OFFSET(ORÇAMENTO!$D$15,CRONO!$F62,0))),CRONO!AC$12,OFFSET(CÁLCULO!$AB$15:$AL$15,$F62,0,OFFSET(ORÇAMENTO!$D$15,CRONO!$F62,0)))
                +IF(AND($F64&lt;&gt;"",$F64&lt;&gt;0),
                        SUMIF(CÁLCULO!$AM$15:$AW$89,CRONO!AC$12,CÁLCULO!$AB$15:$AL$89)/(ORÇAMENTO!$X$15-CÁLCULO.TotalAdmLocal)*CRONO!$F64,
                        0),
                 AC63*$S62),
          SUMIF(OFFSET($S64,1,0,$R62-2),($M62+1)&amp;"$",OFFSET(AC64,1,0,$R62-2)))</f>
        <v>0</v>
      </c>
      <c r="AD64" s="212">
        <f ca="1">IF($R62=2,
         IF(AND(ACOMPANHAMENTO="PLE",ISNUMBER($F62)),
                SUMIF((OFFSET(CÁLCULO!$AM$15:$AW$15,$F62,0,OFFSET(ORÇAMENTO!$D$15,CRONO!$F62,0))),CRONO!AD$12,OFFSET(CÁLCULO!$AB$15:$AL$15,$F62,0,OFFSET(ORÇAMENTO!$D$15,CRONO!$F62,0)))
                +IF(AND($F64&lt;&gt;"",$F64&lt;&gt;0),
                        SUMIF(CÁLCULO!$AM$15:$AW$89,CRONO!AD$12,CÁLCULO!$AB$15:$AL$89)/(ORÇAMENTO!$X$15-CÁLCULO.TotalAdmLocal)*CRONO!$F64,
                        0),
                 AD63*$S62),
          SUMIF(OFFSET($S64,1,0,$R62-2),($M62+1)&amp;"$",OFFSET(AD64,1,0,$R62-2)))</f>
        <v>0</v>
      </c>
      <c r="AE64" s="212">
        <f ca="1">IF($R62=2,
         IF(AND(ACOMPANHAMENTO="PLE",ISNUMBER($F62)),
                SUMIF((OFFSET(CÁLCULO!$AM$15:$AW$15,$F62,0,OFFSET(ORÇAMENTO!$D$15,CRONO!$F62,0))),CRONO!AE$12,OFFSET(CÁLCULO!$AB$15:$AL$15,$F62,0,OFFSET(ORÇAMENTO!$D$15,CRONO!$F62,0)))
                +IF(AND($F64&lt;&gt;"",$F64&lt;&gt;0),
                        SUMIF(CÁLCULO!$AM$15:$AW$89,CRONO!AE$12,CÁLCULO!$AB$15:$AL$89)/(ORÇAMENTO!$X$15-CÁLCULO.TotalAdmLocal)*CRONO!$F64,
                        0),
                 AE63*$S62),
          SUMIF(OFFSET($S64,1,0,$R62-2),($M62+1)&amp;"$",OFFSET(AE64,1,0,$R62-2)))</f>
        <v>0</v>
      </c>
      <c r="AF64" s="212">
        <f ca="1">IF($R62=2,
         IF(AND(ACOMPANHAMENTO="PLE",ISNUMBER($F62)),
                SUMIF((OFFSET(CÁLCULO!$AM$15:$AW$15,$F62,0,OFFSET(ORÇAMENTO!$D$15,CRONO!$F62,0))),CRONO!AF$12,OFFSET(CÁLCULO!$AB$15:$AL$15,$F62,0,OFFSET(ORÇAMENTO!$D$15,CRONO!$F62,0)))
                +IF(AND($F64&lt;&gt;"",$F64&lt;&gt;0),
                        SUMIF(CÁLCULO!$AM$15:$AW$89,CRONO!AF$12,CÁLCULO!$AB$15:$AL$89)/(ORÇAMENTO!$X$15-CÁLCULO.TotalAdmLocal)*CRONO!$F64,
                        0),
                 AF63*$S62),
          SUMIF(OFFSET($S64,1,0,$R62-2),($M62+1)&amp;"$",OFFSET(AF64,1,0,$R62-2)))</f>
        <v>0</v>
      </c>
      <c r="AG64" s="577"/>
    </row>
    <row r="65" spans="1:33" x14ac:dyDescent="0.2">
      <c r="A65" s="196" t="str">
        <f t="shared" ref="A65" ca="1" si="104">IF($M65&gt;1,CONCATENATE($I65," ",$J65),"")</f>
        <v/>
      </c>
      <c r="B65" s="195">
        <f t="shared" ref="B65" ca="1" si="105">OFFSET(B65,-3,0)+1</f>
        <v>18</v>
      </c>
      <c r="C65" s="195">
        <f ca="1">IF($R65&lt;&gt;2,0,IF($S65=0,1,IF(F66&gt;0,OFFSET(QCI!$M$13,SUBSTITUTE(F66,".",""),0),OFFSET(ORÇAMENTO!$AA$15,CRONO!$F65,0))/$S65))</f>
        <v>1</v>
      </c>
      <c r="D65" s="195">
        <f ca="1">IF($R65&lt;&gt;2,0,IF($S65=0,1,IF(F66&gt;0,OFFSET(QCI!$N$13,SUBSTITUTE(F66,".",""),0),OFFSET(ORÇAMENTO!$AB$15,CRONO!$F65,0))/$S65))</f>
        <v>1</v>
      </c>
      <c r="E65" s="198" t="e">
        <f ca="1">IF(AND($R65=2,ACOMPANHAMENTO="BM"),ROUND(E66,4),E67/$S65)</f>
        <v>#DIV/0!</v>
      </c>
      <c r="F65" s="195" t="e">
        <f ca="1">IF(B65&lt;=ORÇAMENTO.MáximoListaCrono,MATCH(B65,ORÇAMENTO.ListaCrono,0),NA())</f>
        <v>#N/A</v>
      </c>
      <c r="G65" s="195" t="str">
        <f t="shared" ref="G65" ca="1" si="106">IF(AND($F66&lt;&gt;-1,$S65&gt;0),"F","")</f>
        <v/>
      </c>
      <c r="H65" s="199" t="str">
        <f ca="1">IF(OR(S65=0,S65=""),"Linha",IF(AND(OR(ACOMPANHAMENTO="PLE",$R65&lt;&gt;2),$F66=0),"Linha",ROUND(1-SUM(U65:AG65),4)))</f>
        <v>Linha</v>
      </c>
      <c r="I65" s="200">
        <f ca="1">IF($F66=0,OFFSET(ORÇAMENTO!O$15,$F65,0),IF($F66&lt;&gt;-1,OFFSET(QCI!$D$13,$F66,0),""))</f>
        <v>8</v>
      </c>
      <c r="J65" s="201" t="str">
        <f ca="1">IF($F66=0,OFFSET(ORÇAMENTO!R$15,$F65,0),IF($F66&lt;&gt;-1,OFFSET(QCI!$G$13,$F66,0),""))</f>
        <v/>
      </c>
      <c r="K65" s="201"/>
      <c r="L65" s="201"/>
      <c r="M65" s="202">
        <f ca="1">IF($F66=0,OFFSET(ORÇAMENTO!C$15,$F65,0),1)</f>
        <v>1</v>
      </c>
      <c r="N65" s="203">
        <f ca="1">IF($F66=-1,0,IF(N$13&lt;=$M65,IF(ISERROR(MATCH(N$13,OFFSET($M65,1,0,ROW($M$92)-ROW($M65)-1),0)),ROW($M$92)-ROW($M65)-1,MATCH(N$13,OFFSET($M65,1,0,ROW($M$92)-ROW($M65)-1),0)-1),0))</f>
        <v>2</v>
      </c>
      <c r="O65" s="203">
        <f ca="1">IF($F66=-1,0,IF(O$13&lt;=$M65,IF(ISERROR(MATCH(O$13,OFFSET($M65,1,0,ROW($M$92)-ROW($M65)-1),0)),ROW($M$92)-ROW($M65)-1,MATCH(O$13,OFFSET($M65,1,0,ROW($M$92)-ROW($M65)-1),0)-1),0))</f>
        <v>0</v>
      </c>
      <c r="P65" s="203">
        <f ca="1">IF($F66=-1,0,IF(P$13&lt;=$M65,IF(ISERROR(MATCH(P$13,OFFSET($M65,1,0,ROW($M$92)-ROW($M65)-1),0)),ROW($M$92)-ROW($M65)-1,MATCH(P$13,OFFSET($M65,1,0,ROW($M$92)-ROW($M65)-1),0)-1),0))</f>
        <v>0</v>
      </c>
      <c r="Q65" s="203">
        <f ca="1">IF($F66=-1,0,IF(Q$13&lt;=$M65,IF(ISERROR(MATCH(Q$13,OFFSET($M65,1,0,ROW($M$92)-ROW($M65)-1),0)),ROW($M$92)-ROW($M65)-1,MATCH(Q$13,OFFSET($M65,1,0,ROW($M$92)-ROW($M65)-1),0)-1),0))</f>
        <v>0</v>
      </c>
      <c r="R65" s="203">
        <f t="shared" ref="R65" ca="1" si="107">MIN(OFFSET(M65,0,1,,M65))</f>
        <v>2</v>
      </c>
      <c r="S65" s="204">
        <f ca="1">IF($F66=0,OFFSET(ORÇAMENTO!X$15,$F65,0),IF($F66&lt;&gt;-1,OFFSET(QCI!$O$13,$F66,0),""))</f>
        <v>0</v>
      </c>
      <c r="T65" s="205" t="s">
        <v>266</v>
      </c>
      <c r="U65" s="198" t="e">
        <f ca="1">IF(AND($R65=2,ACOMPANHAMENTO="BM"),ROUND(U66,4),U67/$S65)</f>
        <v>#DIV/0!</v>
      </c>
      <c r="V65" s="198" t="e">
        <f ca="1">IF(AND($R65=2,ACOMPANHAMENTO="BM"),ROUND(V66,4),V67/$S65)</f>
        <v>#DIV/0!</v>
      </c>
      <c r="W65" s="198" t="e">
        <f ca="1">IF(AND($R65=2,ACOMPANHAMENTO="BM"),ROUND(W66,4),W67/$S65)</f>
        <v>#DIV/0!</v>
      </c>
      <c r="X65" s="198" t="e">
        <f ca="1">IF(AND($R65=2,ACOMPANHAMENTO="BM"),ROUND(X66,4),X67/$S65)</f>
        <v>#DIV/0!</v>
      </c>
      <c r="Y65" s="198" t="e">
        <f ca="1">IF(AND($R65=2,ACOMPANHAMENTO="BM"),ROUND(Y66,4),Y67/$S65)</f>
        <v>#DIV/0!</v>
      </c>
      <c r="Z65" s="198" t="e">
        <f ca="1">IF(AND($R65=2,ACOMPANHAMENTO="BM"),ROUND(Z66,4),Z67/$S65)</f>
        <v>#DIV/0!</v>
      </c>
      <c r="AA65" s="198" t="e">
        <f ca="1">IF(AND($R65=2,ACOMPANHAMENTO="BM"),ROUND(AA66,4),AA67/$S65)</f>
        <v>#DIV/0!</v>
      </c>
      <c r="AB65" s="198" t="e">
        <f ca="1">IF(AND($R65=2,ACOMPANHAMENTO="BM"),ROUND(AB66,4),AB67/$S65)</f>
        <v>#DIV/0!</v>
      </c>
      <c r="AC65" s="198" t="e">
        <f ca="1">IF(AND($R65=2,ACOMPANHAMENTO="BM"),ROUND(AC66,4),AC67/$S65)</f>
        <v>#DIV/0!</v>
      </c>
      <c r="AD65" s="198" t="e">
        <f ca="1">IF(AND($R65=2,ACOMPANHAMENTO="BM"),ROUND(AD66,4),AD67/$S65)</f>
        <v>#DIV/0!</v>
      </c>
      <c r="AE65" s="198" t="e">
        <f ca="1">IF(AND($R65=2,ACOMPANHAMENTO="BM"),ROUND(AE66,4),AE67/$S65)</f>
        <v>#DIV/0!</v>
      </c>
      <c r="AF65" s="198" t="e">
        <f ca="1">IF(AND($R65=2,ACOMPANHAMENTO="BM"),ROUND(AF66,4),AF67/$S65)</f>
        <v>#DIV/0!</v>
      </c>
      <c r="AG65" s="577"/>
    </row>
    <row r="66" spans="1:33" ht="12.75" hidden="1" customHeight="1" x14ac:dyDescent="0.2">
      <c r="E66" s="646"/>
      <c r="F66" s="195">
        <f ca="1">IF(ISERROR(F65),IF(1+COUNTIF($M$13:OFFSET(M65,-1,0),1)&lt;=MAX(QCI!$D$13:$D$24),1+COUNTIF($M$13:OFFSET(M65,-1,0),1),-1),0)</f>
        <v>8</v>
      </c>
      <c r="G66" s="195" t="str">
        <f ca="1">IF(ACOMPANHAMENTO="BM",OFFSET(G66,-1,0),"")</f>
        <v/>
      </c>
      <c r="H66" s="206" t="str">
        <f ca="1">IF(OR(S65=0,S65=""),"vazia",IF(AND(OR(ACOMPANHAMENTO="PLE",$R65&lt;&gt;2),$F66=0),"calculada","--&gt;"))</f>
        <v>vazia</v>
      </c>
      <c r="I66" s="207"/>
      <c r="J66" s="208" t="str">
        <f t="shared" ref="J66" ca="1" si="108">IF(AND(H65&lt;&gt;0,ISNUMBER(H65)),"PREENCHA ESTA LINHA --&gt;","")</f>
        <v/>
      </c>
      <c r="K66" s="208"/>
      <c r="L66" s="208"/>
      <c r="M66" s="209"/>
      <c r="N66" s="209"/>
      <c r="O66" s="209"/>
      <c r="P66" s="209"/>
      <c r="Q66" s="209"/>
      <c r="R66" s="209"/>
      <c r="S66" s="210"/>
      <c r="T66" s="211"/>
      <c r="U66" s="646"/>
      <c r="V66" s="646"/>
      <c r="W66" s="646"/>
      <c r="X66" s="646"/>
      <c r="Y66" s="646"/>
      <c r="Z66" s="646"/>
      <c r="AA66" s="646"/>
      <c r="AB66" s="646"/>
      <c r="AC66" s="646"/>
      <c r="AD66" s="646"/>
      <c r="AE66" s="646"/>
      <c r="AF66" s="646"/>
      <c r="AG66" s="577"/>
    </row>
    <row r="67" spans="1:33" ht="12.75" hidden="1" customHeight="1" x14ac:dyDescent="0.2">
      <c r="D67" s="576"/>
      <c r="E67" s="212">
        <f ca="1">IF($R65=2,
         IF(AND(ACOMPANHAMENTO="PLE",ISNUMBER($F65)),
                SUMIF((OFFSET(CÁLCULO!$AM$15:$AW$15,$F65,0,OFFSET(ORÇAMENTO!$D$15,CRONO!$F65,0))),CRONO!E$12,OFFSET(CÁLCULO!$AB$15:$AL$15,$F65,0,OFFSET(ORÇAMENTO!$D$15,CRONO!$F65,0)))
                +IF(AND($F67&lt;&gt;"",$F67&lt;&gt;0),
                        SUMIF(CÁLCULO!$AM$15:$AW$89,CRONO!E$12,CÁLCULO!$AB$15:$AL$89)/(ORÇAMENTO!$X$15-CÁLCULO.TotalAdmLocal)*CRONO!$F67,
                        0),
                 E66*$S65),
          SUMIF(OFFSET($S67,1,0,$R65-2),($M65+1)&amp;"$",OFFSET(E67,1,0,$R65-2)))</f>
        <v>0</v>
      </c>
      <c r="F67" s="195" t="str">
        <f ca="1">IF(OR($R65&lt;&gt;2,AUTOEVENTO&lt;&gt;"manual",$F66&gt;0),"",
        IF(Import.TipoArredondamento="Tradicional",
              SUMIF(OFFSET(CÁLCULO!$M$15,CRONO!$F65,0,OFFSET(ORÇAMENTO!$D$15,CRONO!$F65,0)),1,OFFSET(ORÇAMENTO!$X$15,CRONO!$F65,0,OFFSET(ORÇAMENTO!$D$15,CRONO!$F65,0))),
              0))</f>
        <v/>
      </c>
      <c r="H67" s="213"/>
      <c r="S67" s="214" t="str">
        <f t="shared" ref="S67" ca="1" si="109">M65&amp;"$"</f>
        <v>1$</v>
      </c>
      <c r="T67" s="215"/>
      <c r="U67" s="212">
        <f ca="1">IF($R65=2,
         IF(AND(ACOMPANHAMENTO="PLE",ISNUMBER($F65)),
                SUMIF((OFFSET(CÁLCULO!$AM$15:$AW$15,$F65,0,OFFSET(ORÇAMENTO!$D$15,CRONO!$F65,0))),CRONO!U$12,OFFSET(CÁLCULO!$AB$15:$AL$15,$F65,0,OFFSET(ORÇAMENTO!$D$15,CRONO!$F65,0)))
                +IF(AND($F67&lt;&gt;"",$F67&lt;&gt;0),
                        SUMIF(CÁLCULO!$AM$15:$AW$89,CRONO!U$12,CÁLCULO!$AB$15:$AL$89)/(ORÇAMENTO!$X$15-CÁLCULO.TotalAdmLocal)*CRONO!$F67,
                        0),
                 U66*$S65),
          SUMIF(OFFSET($S67,1,0,$R65-2),($M65+1)&amp;"$",OFFSET(U67,1,0,$R65-2)))</f>
        <v>0</v>
      </c>
      <c r="V67" s="212">
        <f ca="1">IF($R65=2,
         IF(AND(ACOMPANHAMENTO="PLE",ISNUMBER($F65)),
                SUMIF((OFFSET(CÁLCULO!$AM$15:$AW$15,$F65,0,OFFSET(ORÇAMENTO!$D$15,CRONO!$F65,0))),CRONO!V$12,OFFSET(CÁLCULO!$AB$15:$AL$15,$F65,0,OFFSET(ORÇAMENTO!$D$15,CRONO!$F65,0)))
                +IF(AND($F67&lt;&gt;"",$F67&lt;&gt;0),
                        SUMIF(CÁLCULO!$AM$15:$AW$89,CRONO!V$12,CÁLCULO!$AB$15:$AL$89)/(ORÇAMENTO!$X$15-CÁLCULO.TotalAdmLocal)*CRONO!$F67,
                        0),
                 V66*$S65),
          SUMIF(OFFSET($S67,1,0,$R65-2),($M65+1)&amp;"$",OFFSET(V67,1,0,$R65-2)))</f>
        <v>0</v>
      </c>
      <c r="W67" s="212">
        <f ca="1">IF($R65=2,
         IF(AND(ACOMPANHAMENTO="PLE",ISNUMBER($F65)),
                SUMIF((OFFSET(CÁLCULO!$AM$15:$AW$15,$F65,0,OFFSET(ORÇAMENTO!$D$15,CRONO!$F65,0))),CRONO!W$12,OFFSET(CÁLCULO!$AB$15:$AL$15,$F65,0,OFFSET(ORÇAMENTO!$D$15,CRONO!$F65,0)))
                +IF(AND($F67&lt;&gt;"",$F67&lt;&gt;0),
                        SUMIF(CÁLCULO!$AM$15:$AW$89,CRONO!W$12,CÁLCULO!$AB$15:$AL$89)/(ORÇAMENTO!$X$15-CÁLCULO.TotalAdmLocal)*CRONO!$F67,
                        0),
                 W66*$S65),
          SUMIF(OFFSET($S67,1,0,$R65-2),($M65+1)&amp;"$",OFFSET(W67,1,0,$R65-2)))</f>
        <v>0</v>
      </c>
      <c r="X67" s="212">
        <f ca="1">IF($R65=2,
         IF(AND(ACOMPANHAMENTO="PLE",ISNUMBER($F65)),
                SUMIF((OFFSET(CÁLCULO!$AM$15:$AW$15,$F65,0,OFFSET(ORÇAMENTO!$D$15,CRONO!$F65,0))),CRONO!X$12,OFFSET(CÁLCULO!$AB$15:$AL$15,$F65,0,OFFSET(ORÇAMENTO!$D$15,CRONO!$F65,0)))
                +IF(AND($F67&lt;&gt;"",$F67&lt;&gt;0),
                        SUMIF(CÁLCULO!$AM$15:$AW$89,CRONO!X$12,CÁLCULO!$AB$15:$AL$89)/(ORÇAMENTO!$X$15-CÁLCULO.TotalAdmLocal)*CRONO!$F67,
                        0),
                 X66*$S65),
          SUMIF(OFFSET($S67,1,0,$R65-2),($M65+1)&amp;"$",OFFSET(X67,1,0,$R65-2)))</f>
        <v>0</v>
      </c>
      <c r="Y67" s="212">
        <f ca="1">IF($R65=2,
         IF(AND(ACOMPANHAMENTO="PLE",ISNUMBER($F65)),
                SUMIF((OFFSET(CÁLCULO!$AM$15:$AW$15,$F65,0,OFFSET(ORÇAMENTO!$D$15,CRONO!$F65,0))),CRONO!Y$12,OFFSET(CÁLCULO!$AB$15:$AL$15,$F65,0,OFFSET(ORÇAMENTO!$D$15,CRONO!$F65,0)))
                +IF(AND($F67&lt;&gt;"",$F67&lt;&gt;0),
                        SUMIF(CÁLCULO!$AM$15:$AW$89,CRONO!Y$12,CÁLCULO!$AB$15:$AL$89)/(ORÇAMENTO!$X$15-CÁLCULO.TotalAdmLocal)*CRONO!$F67,
                        0),
                 Y66*$S65),
          SUMIF(OFFSET($S67,1,0,$R65-2),($M65+1)&amp;"$",OFFSET(Y67,1,0,$R65-2)))</f>
        <v>0</v>
      </c>
      <c r="Z67" s="212">
        <f ca="1">IF($R65=2,
         IF(AND(ACOMPANHAMENTO="PLE",ISNUMBER($F65)),
                SUMIF((OFFSET(CÁLCULO!$AM$15:$AW$15,$F65,0,OFFSET(ORÇAMENTO!$D$15,CRONO!$F65,0))),CRONO!Z$12,OFFSET(CÁLCULO!$AB$15:$AL$15,$F65,0,OFFSET(ORÇAMENTO!$D$15,CRONO!$F65,0)))
                +IF(AND($F67&lt;&gt;"",$F67&lt;&gt;0),
                        SUMIF(CÁLCULO!$AM$15:$AW$89,CRONO!Z$12,CÁLCULO!$AB$15:$AL$89)/(ORÇAMENTO!$X$15-CÁLCULO.TotalAdmLocal)*CRONO!$F67,
                        0),
                 Z66*$S65),
          SUMIF(OFFSET($S67,1,0,$R65-2),($M65+1)&amp;"$",OFFSET(Z67,1,0,$R65-2)))</f>
        <v>0</v>
      </c>
      <c r="AA67" s="212">
        <f ca="1">IF($R65=2,
         IF(AND(ACOMPANHAMENTO="PLE",ISNUMBER($F65)),
                SUMIF((OFFSET(CÁLCULO!$AM$15:$AW$15,$F65,0,OFFSET(ORÇAMENTO!$D$15,CRONO!$F65,0))),CRONO!AA$12,OFFSET(CÁLCULO!$AB$15:$AL$15,$F65,0,OFFSET(ORÇAMENTO!$D$15,CRONO!$F65,0)))
                +IF(AND($F67&lt;&gt;"",$F67&lt;&gt;0),
                        SUMIF(CÁLCULO!$AM$15:$AW$89,CRONO!AA$12,CÁLCULO!$AB$15:$AL$89)/(ORÇAMENTO!$X$15-CÁLCULO.TotalAdmLocal)*CRONO!$F67,
                        0),
                 AA66*$S65),
          SUMIF(OFFSET($S67,1,0,$R65-2),($M65+1)&amp;"$",OFFSET(AA67,1,0,$R65-2)))</f>
        <v>0</v>
      </c>
      <c r="AB67" s="212">
        <f ca="1">IF($R65=2,
         IF(AND(ACOMPANHAMENTO="PLE",ISNUMBER($F65)),
                SUMIF((OFFSET(CÁLCULO!$AM$15:$AW$15,$F65,0,OFFSET(ORÇAMENTO!$D$15,CRONO!$F65,0))),CRONO!AB$12,OFFSET(CÁLCULO!$AB$15:$AL$15,$F65,0,OFFSET(ORÇAMENTO!$D$15,CRONO!$F65,0)))
                +IF(AND($F67&lt;&gt;"",$F67&lt;&gt;0),
                        SUMIF(CÁLCULO!$AM$15:$AW$89,CRONO!AB$12,CÁLCULO!$AB$15:$AL$89)/(ORÇAMENTO!$X$15-CÁLCULO.TotalAdmLocal)*CRONO!$F67,
                        0),
                 AB66*$S65),
          SUMIF(OFFSET($S67,1,0,$R65-2),($M65+1)&amp;"$",OFFSET(AB67,1,0,$R65-2)))</f>
        <v>0</v>
      </c>
      <c r="AC67" s="212">
        <f ca="1">IF($R65=2,
         IF(AND(ACOMPANHAMENTO="PLE",ISNUMBER($F65)),
                SUMIF((OFFSET(CÁLCULO!$AM$15:$AW$15,$F65,0,OFFSET(ORÇAMENTO!$D$15,CRONO!$F65,0))),CRONO!AC$12,OFFSET(CÁLCULO!$AB$15:$AL$15,$F65,0,OFFSET(ORÇAMENTO!$D$15,CRONO!$F65,0)))
                +IF(AND($F67&lt;&gt;"",$F67&lt;&gt;0),
                        SUMIF(CÁLCULO!$AM$15:$AW$89,CRONO!AC$12,CÁLCULO!$AB$15:$AL$89)/(ORÇAMENTO!$X$15-CÁLCULO.TotalAdmLocal)*CRONO!$F67,
                        0),
                 AC66*$S65),
          SUMIF(OFFSET($S67,1,0,$R65-2),($M65+1)&amp;"$",OFFSET(AC67,1,0,$R65-2)))</f>
        <v>0</v>
      </c>
      <c r="AD67" s="212">
        <f ca="1">IF($R65=2,
         IF(AND(ACOMPANHAMENTO="PLE",ISNUMBER($F65)),
                SUMIF((OFFSET(CÁLCULO!$AM$15:$AW$15,$F65,0,OFFSET(ORÇAMENTO!$D$15,CRONO!$F65,0))),CRONO!AD$12,OFFSET(CÁLCULO!$AB$15:$AL$15,$F65,0,OFFSET(ORÇAMENTO!$D$15,CRONO!$F65,0)))
                +IF(AND($F67&lt;&gt;"",$F67&lt;&gt;0),
                        SUMIF(CÁLCULO!$AM$15:$AW$89,CRONO!AD$12,CÁLCULO!$AB$15:$AL$89)/(ORÇAMENTO!$X$15-CÁLCULO.TotalAdmLocal)*CRONO!$F67,
                        0),
                 AD66*$S65),
          SUMIF(OFFSET($S67,1,0,$R65-2),($M65+1)&amp;"$",OFFSET(AD67,1,0,$R65-2)))</f>
        <v>0</v>
      </c>
      <c r="AE67" s="212">
        <f ca="1">IF($R65=2,
         IF(AND(ACOMPANHAMENTO="PLE",ISNUMBER($F65)),
                SUMIF((OFFSET(CÁLCULO!$AM$15:$AW$15,$F65,0,OFFSET(ORÇAMENTO!$D$15,CRONO!$F65,0))),CRONO!AE$12,OFFSET(CÁLCULO!$AB$15:$AL$15,$F65,0,OFFSET(ORÇAMENTO!$D$15,CRONO!$F65,0)))
                +IF(AND($F67&lt;&gt;"",$F67&lt;&gt;0),
                        SUMIF(CÁLCULO!$AM$15:$AW$89,CRONO!AE$12,CÁLCULO!$AB$15:$AL$89)/(ORÇAMENTO!$X$15-CÁLCULO.TotalAdmLocal)*CRONO!$F67,
                        0),
                 AE66*$S65),
          SUMIF(OFFSET($S67,1,0,$R65-2),($M65+1)&amp;"$",OFFSET(AE67,1,0,$R65-2)))</f>
        <v>0</v>
      </c>
      <c r="AF67" s="212">
        <f ca="1">IF($R65=2,
         IF(AND(ACOMPANHAMENTO="PLE",ISNUMBER($F65)),
                SUMIF((OFFSET(CÁLCULO!$AM$15:$AW$15,$F65,0,OFFSET(ORÇAMENTO!$D$15,CRONO!$F65,0))),CRONO!AF$12,OFFSET(CÁLCULO!$AB$15:$AL$15,$F65,0,OFFSET(ORÇAMENTO!$D$15,CRONO!$F65,0)))
                +IF(AND($F67&lt;&gt;"",$F67&lt;&gt;0),
                        SUMIF(CÁLCULO!$AM$15:$AW$89,CRONO!AF$12,CÁLCULO!$AB$15:$AL$89)/(ORÇAMENTO!$X$15-CÁLCULO.TotalAdmLocal)*CRONO!$F67,
                        0),
                 AF66*$S65),
          SUMIF(OFFSET($S67,1,0,$R65-2),($M65+1)&amp;"$",OFFSET(AF67,1,0,$R65-2)))</f>
        <v>0</v>
      </c>
      <c r="AG67" s="577"/>
    </row>
    <row r="68" spans="1:33" hidden="1" x14ac:dyDescent="0.2">
      <c r="A68" s="196" t="str">
        <f t="shared" ref="A68" ca="1" si="110">IF($M68&gt;1,CONCATENATE($I68," ",$J68),"")</f>
        <v/>
      </c>
      <c r="B68" s="195">
        <f t="shared" ref="B68" ca="1" si="111">OFFSET(B68,-3,0)+1</f>
        <v>19</v>
      </c>
      <c r="C68" s="195">
        <f ca="1">IF($R68&lt;&gt;2,0,IF($S68=0,1,IF(F69&gt;0,OFFSET(QCI!$M$13,SUBSTITUTE(F69,".",""),0),OFFSET(ORÇAMENTO!$AA$15,CRONO!$F68,0))/$S68))</f>
        <v>1</v>
      </c>
      <c r="D68" s="195">
        <f ca="1">IF($R68&lt;&gt;2,0,IF($S68=0,1,IF(F69&gt;0,OFFSET(QCI!$N$13,SUBSTITUTE(F69,".",""),0),OFFSET(ORÇAMENTO!$AB$15,CRONO!$F68,0))/$S68))</f>
        <v>1</v>
      </c>
      <c r="E68" s="198" t="e">
        <f ca="1">IF(AND($R68=2,ACOMPANHAMENTO="BM"),ROUND(E69,4),E70/$S68)</f>
        <v>#DIV/0!</v>
      </c>
      <c r="F68" s="195" t="e">
        <f ca="1">IF(B68&lt;=ORÇAMENTO.MáximoListaCrono,MATCH(B68,ORÇAMENTO.ListaCrono,0),NA())</f>
        <v>#N/A</v>
      </c>
      <c r="G68" s="195" t="str">
        <f t="shared" ref="G68" ca="1" si="112">IF(AND($F69&lt;&gt;-1,$S68&gt;0),"F","")</f>
        <v/>
      </c>
      <c r="H68" s="199" t="str">
        <f ca="1">IF(OR(S68=0,S68=""),"Linha",IF(AND(OR(ACOMPANHAMENTO="PLE",$R68&lt;&gt;2),$F69=0),"Linha",ROUND(1-SUM(U68:AG68),4)))</f>
        <v>Linha</v>
      </c>
      <c r="I68" s="200">
        <f ca="1">IF($F69=0,OFFSET(ORÇAMENTO!O$15,$F68,0),IF($F69&lt;&gt;-1,OFFSET(QCI!$D$13,$F69,0),""))</f>
        <v>9</v>
      </c>
      <c r="J68" s="201" t="str">
        <f ca="1">IF($F69=0,OFFSET(ORÇAMENTO!R$15,$F68,0),IF($F69&lt;&gt;-1,OFFSET(QCI!$G$13,$F69,0),""))</f>
        <v/>
      </c>
      <c r="K68" s="201"/>
      <c r="L68" s="201"/>
      <c r="M68" s="202">
        <f ca="1">IF($F69=0,OFFSET(ORÇAMENTO!C$15,$F68,0),1)</f>
        <v>1</v>
      </c>
      <c r="N68" s="203">
        <f ca="1">IF($F69=-1,0,IF(N$13&lt;=$M68,IF(ISERROR(MATCH(N$13,OFFSET($M68,1,0,ROW($M$92)-ROW($M68)-1),0)),ROW($M$92)-ROW($M68)-1,MATCH(N$13,OFFSET($M68,1,0,ROW($M$92)-ROW($M68)-1),0)-1),0))</f>
        <v>2</v>
      </c>
      <c r="O68" s="203">
        <f ca="1">IF($F69=-1,0,IF(O$13&lt;=$M68,IF(ISERROR(MATCH(O$13,OFFSET($M68,1,0,ROW($M$92)-ROW($M68)-1),0)),ROW($M$92)-ROW($M68)-1,MATCH(O$13,OFFSET($M68,1,0,ROW($M$92)-ROW($M68)-1),0)-1),0))</f>
        <v>0</v>
      </c>
      <c r="P68" s="203">
        <f ca="1">IF($F69=-1,0,IF(P$13&lt;=$M68,IF(ISERROR(MATCH(P$13,OFFSET($M68,1,0,ROW($M$92)-ROW($M68)-1),0)),ROW($M$92)-ROW($M68)-1,MATCH(P$13,OFFSET($M68,1,0,ROW($M$92)-ROW($M68)-1),0)-1),0))</f>
        <v>0</v>
      </c>
      <c r="Q68" s="203">
        <f ca="1">IF($F69=-1,0,IF(Q$13&lt;=$M68,IF(ISERROR(MATCH(Q$13,OFFSET($M68,1,0,ROW($M$92)-ROW($M68)-1),0)),ROW($M$92)-ROW($M68)-1,MATCH(Q$13,OFFSET($M68,1,0,ROW($M$92)-ROW($M68)-1),0)-1),0))</f>
        <v>0</v>
      </c>
      <c r="R68" s="203">
        <f t="shared" ref="R68" ca="1" si="113">MIN(OFFSET(M68,0,1,,M68))</f>
        <v>2</v>
      </c>
      <c r="S68" s="204">
        <f ca="1">IF($F69=0,OFFSET(ORÇAMENTO!X$15,$F68,0),IF($F69&lt;&gt;-1,OFFSET(QCI!$O$13,$F69,0),""))</f>
        <v>0</v>
      </c>
      <c r="T68" s="205" t="s">
        <v>266</v>
      </c>
      <c r="U68" s="198" t="e">
        <f ca="1">IF(AND($R68=2,ACOMPANHAMENTO="BM"),ROUND(U69,4),U70/$S68)</f>
        <v>#DIV/0!</v>
      </c>
      <c r="V68" s="198" t="e">
        <f ca="1">IF(AND($R68=2,ACOMPANHAMENTO="BM"),ROUND(V69,4),V70/$S68)</f>
        <v>#DIV/0!</v>
      </c>
      <c r="W68" s="198" t="e">
        <f ca="1">IF(AND($R68=2,ACOMPANHAMENTO="BM"),ROUND(W69,4),W70/$S68)</f>
        <v>#DIV/0!</v>
      </c>
      <c r="X68" s="198" t="e">
        <f ca="1">IF(AND($R68=2,ACOMPANHAMENTO="BM"),ROUND(X69,4),X70/$S68)</f>
        <v>#DIV/0!</v>
      </c>
      <c r="Y68" s="198" t="e">
        <f ca="1">IF(AND($R68=2,ACOMPANHAMENTO="BM"),ROUND(Y69,4),Y70/$S68)</f>
        <v>#DIV/0!</v>
      </c>
      <c r="Z68" s="198" t="e">
        <f ca="1">IF(AND($R68=2,ACOMPANHAMENTO="BM"),ROUND(Z69,4),Z70/$S68)</f>
        <v>#DIV/0!</v>
      </c>
      <c r="AA68" s="198" t="e">
        <f ca="1">IF(AND($R68=2,ACOMPANHAMENTO="BM"),ROUND(AA69,4),AA70/$S68)</f>
        <v>#DIV/0!</v>
      </c>
      <c r="AB68" s="198" t="e">
        <f ca="1">IF(AND($R68=2,ACOMPANHAMENTO="BM"),ROUND(AB69,4),AB70/$S68)</f>
        <v>#DIV/0!</v>
      </c>
      <c r="AC68" s="198" t="e">
        <f ca="1">IF(AND($R68=2,ACOMPANHAMENTO="BM"),ROUND(AC69,4),AC70/$S68)</f>
        <v>#DIV/0!</v>
      </c>
      <c r="AD68" s="198" t="e">
        <f ca="1">IF(AND($R68=2,ACOMPANHAMENTO="BM"),ROUND(AD69,4),AD70/$S68)</f>
        <v>#DIV/0!</v>
      </c>
      <c r="AE68" s="198" t="e">
        <f ca="1">IF(AND($R68=2,ACOMPANHAMENTO="BM"),ROUND(AE69,4),AE70/$S68)</f>
        <v>#DIV/0!</v>
      </c>
      <c r="AF68" s="198" t="e">
        <f ca="1">IF(AND($R68=2,ACOMPANHAMENTO="BM"),ROUND(AF69,4),AF70/$S68)</f>
        <v>#DIV/0!</v>
      </c>
      <c r="AG68" s="577"/>
    </row>
    <row r="69" spans="1:33" ht="12.75" hidden="1" customHeight="1" x14ac:dyDescent="0.2">
      <c r="E69" s="646"/>
      <c r="F69" s="195">
        <f ca="1">IF(ISERROR(F68),IF(1+COUNTIF($M$13:OFFSET(M68,-1,0),1)&lt;=MAX(QCI!$D$13:$D$24),1+COUNTIF($M$13:OFFSET(M68,-1,0),1),-1),0)</f>
        <v>9</v>
      </c>
      <c r="G69" s="195" t="str">
        <f ca="1">IF(ACOMPANHAMENTO="BM",OFFSET(G69,-1,0),"")</f>
        <v/>
      </c>
      <c r="H69" s="206" t="str">
        <f ca="1">IF(OR(S68=0,S68=""),"vazia",IF(AND(OR(ACOMPANHAMENTO="PLE",$R68&lt;&gt;2),$F69=0),"calculada","--&gt;"))</f>
        <v>vazia</v>
      </c>
      <c r="I69" s="207"/>
      <c r="J69" s="208" t="str">
        <f t="shared" ref="J69" ca="1" si="114">IF(AND(H68&lt;&gt;0,ISNUMBER(H68)),"PREENCHA ESTA LINHA --&gt;","")</f>
        <v/>
      </c>
      <c r="K69" s="208"/>
      <c r="L69" s="208"/>
      <c r="M69" s="209"/>
      <c r="N69" s="209"/>
      <c r="O69" s="209"/>
      <c r="P69" s="209"/>
      <c r="Q69" s="209"/>
      <c r="R69" s="209"/>
      <c r="S69" s="210"/>
      <c r="T69" s="211"/>
      <c r="U69" s="646"/>
      <c r="V69" s="646"/>
      <c r="W69" s="646"/>
      <c r="X69" s="646"/>
      <c r="Y69" s="646"/>
      <c r="Z69" s="646"/>
      <c r="AA69" s="646"/>
      <c r="AB69" s="646"/>
      <c r="AC69" s="646"/>
      <c r="AD69" s="646"/>
      <c r="AE69" s="646"/>
      <c r="AF69" s="646"/>
      <c r="AG69" s="577"/>
    </row>
    <row r="70" spans="1:33" ht="12.75" hidden="1" customHeight="1" x14ac:dyDescent="0.2">
      <c r="D70" s="576"/>
      <c r="E70" s="212">
        <f ca="1">IF($R68=2,
         IF(AND(ACOMPANHAMENTO="PLE",ISNUMBER($F68)),
                SUMIF((OFFSET(CÁLCULO!$AM$15:$AW$15,$F68,0,OFFSET(ORÇAMENTO!$D$15,CRONO!$F68,0))),CRONO!E$12,OFFSET(CÁLCULO!$AB$15:$AL$15,$F68,0,OFFSET(ORÇAMENTO!$D$15,CRONO!$F68,0)))
                +IF(AND($F70&lt;&gt;"",$F70&lt;&gt;0),
                        SUMIF(CÁLCULO!$AM$15:$AW$89,CRONO!E$12,CÁLCULO!$AB$15:$AL$89)/(ORÇAMENTO!$X$15-CÁLCULO.TotalAdmLocal)*CRONO!$F70,
                        0),
                 E69*$S68),
          SUMIF(OFFSET($S70,1,0,$R68-2),($M68+1)&amp;"$",OFFSET(E70,1,0,$R68-2)))</f>
        <v>0</v>
      </c>
      <c r="F70" s="195" t="str">
        <f ca="1">IF(OR($R68&lt;&gt;2,AUTOEVENTO&lt;&gt;"manual",$F69&gt;0),"",
        IF(Import.TipoArredondamento="Tradicional",
              SUMIF(OFFSET(CÁLCULO!$M$15,CRONO!$F68,0,OFFSET(ORÇAMENTO!$D$15,CRONO!$F68,0)),1,OFFSET(ORÇAMENTO!$X$15,CRONO!$F68,0,OFFSET(ORÇAMENTO!$D$15,CRONO!$F68,0))),
              0))</f>
        <v/>
      </c>
      <c r="H70" s="213"/>
      <c r="S70" s="214" t="str">
        <f t="shared" ref="S70" ca="1" si="115">M68&amp;"$"</f>
        <v>1$</v>
      </c>
      <c r="T70" s="215"/>
      <c r="U70" s="212">
        <f ca="1">IF($R68=2,
         IF(AND(ACOMPANHAMENTO="PLE",ISNUMBER($F68)),
                SUMIF((OFFSET(CÁLCULO!$AM$15:$AW$15,$F68,0,OFFSET(ORÇAMENTO!$D$15,CRONO!$F68,0))),CRONO!U$12,OFFSET(CÁLCULO!$AB$15:$AL$15,$F68,0,OFFSET(ORÇAMENTO!$D$15,CRONO!$F68,0)))
                +IF(AND($F70&lt;&gt;"",$F70&lt;&gt;0),
                        SUMIF(CÁLCULO!$AM$15:$AW$89,CRONO!U$12,CÁLCULO!$AB$15:$AL$89)/(ORÇAMENTO!$X$15-CÁLCULO.TotalAdmLocal)*CRONO!$F70,
                        0),
                 U69*$S68),
          SUMIF(OFFSET($S70,1,0,$R68-2),($M68+1)&amp;"$",OFFSET(U70,1,0,$R68-2)))</f>
        <v>0</v>
      </c>
      <c r="V70" s="212">
        <f ca="1">IF($R68=2,
         IF(AND(ACOMPANHAMENTO="PLE",ISNUMBER($F68)),
                SUMIF((OFFSET(CÁLCULO!$AM$15:$AW$15,$F68,0,OFFSET(ORÇAMENTO!$D$15,CRONO!$F68,0))),CRONO!V$12,OFFSET(CÁLCULO!$AB$15:$AL$15,$F68,0,OFFSET(ORÇAMENTO!$D$15,CRONO!$F68,0)))
                +IF(AND($F70&lt;&gt;"",$F70&lt;&gt;0),
                        SUMIF(CÁLCULO!$AM$15:$AW$89,CRONO!V$12,CÁLCULO!$AB$15:$AL$89)/(ORÇAMENTO!$X$15-CÁLCULO.TotalAdmLocal)*CRONO!$F70,
                        0),
                 V69*$S68),
          SUMIF(OFFSET($S70,1,0,$R68-2),($M68+1)&amp;"$",OFFSET(V70,1,0,$R68-2)))</f>
        <v>0</v>
      </c>
      <c r="W70" s="212">
        <f ca="1">IF($R68=2,
         IF(AND(ACOMPANHAMENTO="PLE",ISNUMBER($F68)),
                SUMIF((OFFSET(CÁLCULO!$AM$15:$AW$15,$F68,0,OFFSET(ORÇAMENTO!$D$15,CRONO!$F68,0))),CRONO!W$12,OFFSET(CÁLCULO!$AB$15:$AL$15,$F68,0,OFFSET(ORÇAMENTO!$D$15,CRONO!$F68,0)))
                +IF(AND($F70&lt;&gt;"",$F70&lt;&gt;0),
                        SUMIF(CÁLCULO!$AM$15:$AW$89,CRONO!W$12,CÁLCULO!$AB$15:$AL$89)/(ORÇAMENTO!$X$15-CÁLCULO.TotalAdmLocal)*CRONO!$F70,
                        0),
                 W69*$S68),
          SUMIF(OFFSET($S70,1,0,$R68-2),($M68+1)&amp;"$",OFFSET(W70,1,0,$R68-2)))</f>
        <v>0</v>
      </c>
      <c r="X70" s="212">
        <f ca="1">IF($R68=2,
         IF(AND(ACOMPANHAMENTO="PLE",ISNUMBER($F68)),
                SUMIF((OFFSET(CÁLCULO!$AM$15:$AW$15,$F68,0,OFFSET(ORÇAMENTO!$D$15,CRONO!$F68,0))),CRONO!X$12,OFFSET(CÁLCULO!$AB$15:$AL$15,$F68,0,OFFSET(ORÇAMENTO!$D$15,CRONO!$F68,0)))
                +IF(AND($F70&lt;&gt;"",$F70&lt;&gt;0),
                        SUMIF(CÁLCULO!$AM$15:$AW$89,CRONO!X$12,CÁLCULO!$AB$15:$AL$89)/(ORÇAMENTO!$X$15-CÁLCULO.TotalAdmLocal)*CRONO!$F70,
                        0),
                 X69*$S68),
          SUMIF(OFFSET($S70,1,0,$R68-2),($M68+1)&amp;"$",OFFSET(X70,1,0,$R68-2)))</f>
        <v>0</v>
      </c>
      <c r="Y70" s="212">
        <f ca="1">IF($R68=2,
         IF(AND(ACOMPANHAMENTO="PLE",ISNUMBER($F68)),
                SUMIF((OFFSET(CÁLCULO!$AM$15:$AW$15,$F68,0,OFFSET(ORÇAMENTO!$D$15,CRONO!$F68,0))),CRONO!Y$12,OFFSET(CÁLCULO!$AB$15:$AL$15,$F68,0,OFFSET(ORÇAMENTO!$D$15,CRONO!$F68,0)))
                +IF(AND($F70&lt;&gt;"",$F70&lt;&gt;0),
                        SUMIF(CÁLCULO!$AM$15:$AW$89,CRONO!Y$12,CÁLCULO!$AB$15:$AL$89)/(ORÇAMENTO!$X$15-CÁLCULO.TotalAdmLocal)*CRONO!$F70,
                        0),
                 Y69*$S68),
          SUMIF(OFFSET($S70,1,0,$R68-2),($M68+1)&amp;"$",OFFSET(Y70,1,0,$R68-2)))</f>
        <v>0</v>
      </c>
      <c r="Z70" s="212">
        <f ca="1">IF($R68=2,
         IF(AND(ACOMPANHAMENTO="PLE",ISNUMBER($F68)),
                SUMIF((OFFSET(CÁLCULO!$AM$15:$AW$15,$F68,0,OFFSET(ORÇAMENTO!$D$15,CRONO!$F68,0))),CRONO!Z$12,OFFSET(CÁLCULO!$AB$15:$AL$15,$F68,0,OFFSET(ORÇAMENTO!$D$15,CRONO!$F68,0)))
                +IF(AND($F70&lt;&gt;"",$F70&lt;&gt;0),
                        SUMIF(CÁLCULO!$AM$15:$AW$89,CRONO!Z$12,CÁLCULO!$AB$15:$AL$89)/(ORÇAMENTO!$X$15-CÁLCULO.TotalAdmLocal)*CRONO!$F70,
                        0),
                 Z69*$S68),
          SUMIF(OFFSET($S70,1,0,$R68-2),($M68+1)&amp;"$",OFFSET(Z70,1,0,$R68-2)))</f>
        <v>0</v>
      </c>
      <c r="AA70" s="212">
        <f ca="1">IF($R68=2,
         IF(AND(ACOMPANHAMENTO="PLE",ISNUMBER($F68)),
                SUMIF((OFFSET(CÁLCULO!$AM$15:$AW$15,$F68,0,OFFSET(ORÇAMENTO!$D$15,CRONO!$F68,0))),CRONO!AA$12,OFFSET(CÁLCULO!$AB$15:$AL$15,$F68,0,OFFSET(ORÇAMENTO!$D$15,CRONO!$F68,0)))
                +IF(AND($F70&lt;&gt;"",$F70&lt;&gt;0),
                        SUMIF(CÁLCULO!$AM$15:$AW$89,CRONO!AA$12,CÁLCULO!$AB$15:$AL$89)/(ORÇAMENTO!$X$15-CÁLCULO.TotalAdmLocal)*CRONO!$F70,
                        0),
                 AA69*$S68),
          SUMIF(OFFSET($S70,1,0,$R68-2),($M68+1)&amp;"$",OFFSET(AA70,1,0,$R68-2)))</f>
        <v>0</v>
      </c>
      <c r="AB70" s="212">
        <f ca="1">IF($R68=2,
         IF(AND(ACOMPANHAMENTO="PLE",ISNUMBER($F68)),
                SUMIF((OFFSET(CÁLCULO!$AM$15:$AW$15,$F68,0,OFFSET(ORÇAMENTO!$D$15,CRONO!$F68,0))),CRONO!AB$12,OFFSET(CÁLCULO!$AB$15:$AL$15,$F68,0,OFFSET(ORÇAMENTO!$D$15,CRONO!$F68,0)))
                +IF(AND($F70&lt;&gt;"",$F70&lt;&gt;0),
                        SUMIF(CÁLCULO!$AM$15:$AW$89,CRONO!AB$12,CÁLCULO!$AB$15:$AL$89)/(ORÇAMENTO!$X$15-CÁLCULO.TotalAdmLocal)*CRONO!$F70,
                        0),
                 AB69*$S68),
          SUMIF(OFFSET($S70,1,0,$R68-2),($M68+1)&amp;"$",OFFSET(AB70,1,0,$R68-2)))</f>
        <v>0</v>
      </c>
      <c r="AC70" s="212">
        <f ca="1">IF($R68=2,
         IF(AND(ACOMPANHAMENTO="PLE",ISNUMBER($F68)),
                SUMIF((OFFSET(CÁLCULO!$AM$15:$AW$15,$F68,0,OFFSET(ORÇAMENTO!$D$15,CRONO!$F68,0))),CRONO!AC$12,OFFSET(CÁLCULO!$AB$15:$AL$15,$F68,0,OFFSET(ORÇAMENTO!$D$15,CRONO!$F68,0)))
                +IF(AND($F70&lt;&gt;"",$F70&lt;&gt;0),
                        SUMIF(CÁLCULO!$AM$15:$AW$89,CRONO!AC$12,CÁLCULO!$AB$15:$AL$89)/(ORÇAMENTO!$X$15-CÁLCULO.TotalAdmLocal)*CRONO!$F70,
                        0),
                 AC69*$S68),
          SUMIF(OFFSET($S70,1,0,$R68-2),($M68+1)&amp;"$",OFFSET(AC70,1,0,$R68-2)))</f>
        <v>0</v>
      </c>
      <c r="AD70" s="212">
        <f ca="1">IF($R68=2,
         IF(AND(ACOMPANHAMENTO="PLE",ISNUMBER($F68)),
                SUMIF((OFFSET(CÁLCULO!$AM$15:$AW$15,$F68,0,OFFSET(ORÇAMENTO!$D$15,CRONO!$F68,0))),CRONO!AD$12,OFFSET(CÁLCULO!$AB$15:$AL$15,$F68,0,OFFSET(ORÇAMENTO!$D$15,CRONO!$F68,0)))
                +IF(AND($F70&lt;&gt;"",$F70&lt;&gt;0),
                        SUMIF(CÁLCULO!$AM$15:$AW$89,CRONO!AD$12,CÁLCULO!$AB$15:$AL$89)/(ORÇAMENTO!$X$15-CÁLCULO.TotalAdmLocal)*CRONO!$F70,
                        0),
                 AD69*$S68),
          SUMIF(OFFSET($S70,1,0,$R68-2),($M68+1)&amp;"$",OFFSET(AD70,1,0,$R68-2)))</f>
        <v>0</v>
      </c>
      <c r="AE70" s="212">
        <f ca="1">IF($R68=2,
         IF(AND(ACOMPANHAMENTO="PLE",ISNUMBER($F68)),
                SUMIF((OFFSET(CÁLCULO!$AM$15:$AW$15,$F68,0,OFFSET(ORÇAMENTO!$D$15,CRONO!$F68,0))),CRONO!AE$12,OFFSET(CÁLCULO!$AB$15:$AL$15,$F68,0,OFFSET(ORÇAMENTO!$D$15,CRONO!$F68,0)))
                +IF(AND($F70&lt;&gt;"",$F70&lt;&gt;0),
                        SUMIF(CÁLCULO!$AM$15:$AW$89,CRONO!AE$12,CÁLCULO!$AB$15:$AL$89)/(ORÇAMENTO!$X$15-CÁLCULO.TotalAdmLocal)*CRONO!$F70,
                        0),
                 AE69*$S68),
          SUMIF(OFFSET($S70,1,0,$R68-2),($M68+1)&amp;"$",OFFSET(AE70,1,0,$R68-2)))</f>
        <v>0</v>
      </c>
      <c r="AF70" s="212">
        <f ca="1">IF($R68=2,
         IF(AND(ACOMPANHAMENTO="PLE",ISNUMBER($F68)),
                SUMIF((OFFSET(CÁLCULO!$AM$15:$AW$15,$F68,0,OFFSET(ORÇAMENTO!$D$15,CRONO!$F68,0))),CRONO!AF$12,OFFSET(CÁLCULO!$AB$15:$AL$15,$F68,0,OFFSET(ORÇAMENTO!$D$15,CRONO!$F68,0)))
                +IF(AND($F70&lt;&gt;"",$F70&lt;&gt;0),
                        SUMIF(CÁLCULO!$AM$15:$AW$89,CRONO!AF$12,CÁLCULO!$AB$15:$AL$89)/(ORÇAMENTO!$X$15-CÁLCULO.TotalAdmLocal)*CRONO!$F70,
                        0),
                 AF69*$S68),
          SUMIF(OFFSET($S70,1,0,$R68-2),($M68+1)&amp;"$",OFFSET(AF70,1,0,$R68-2)))</f>
        <v>0</v>
      </c>
      <c r="AG70" s="577"/>
    </row>
    <row r="71" spans="1:33" hidden="1" x14ac:dyDescent="0.2">
      <c r="A71" s="196" t="str">
        <f t="shared" ref="A71" ca="1" si="116">IF($M71&gt;1,CONCATENATE($I71," ",$J71),"")</f>
        <v/>
      </c>
      <c r="B71" s="195">
        <f t="shared" ref="B71" ca="1" si="117">OFFSET(B71,-3,0)+1</f>
        <v>20</v>
      </c>
      <c r="C71" s="195">
        <f ca="1">IF($R71&lt;&gt;2,0,IF($S71=0,1,IF(F72&gt;0,OFFSET(QCI!$M$13,SUBSTITUTE(F72,".",""),0),OFFSET(ORÇAMENTO!$AA$15,CRONO!$F71,0))/$S71))</f>
        <v>1</v>
      </c>
      <c r="D71" s="195">
        <f ca="1">IF($R71&lt;&gt;2,0,IF($S71=0,1,IF(F72&gt;0,OFFSET(QCI!$N$13,SUBSTITUTE(F72,".",""),0),OFFSET(ORÇAMENTO!$AB$15,CRONO!$F71,0))/$S71))</f>
        <v>1</v>
      </c>
      <c r="E71" s="198" t="e">
        <f ca="1">IF(AND($R71=2,ACOMPANHAMENTO="BM"),ROUND(E72,4),E73/$S71)</f>
        <v>#DIV/0!</v>
      </c>
      <c r="F71" s="195" t="e">
        <f ca="1">IF(B71&lt;=ORÇAMENTO.MáximoListaCrono,MATCH(B71,ORÇAMENTO.ListaCrono,0),NA())</f>
        <v>#N/A</v>
      </c>
      <c r="G71" s="195" t="str">
        <f t="shared" ref="G71" ca="1" si="118">IF(AND($F72&lt;&gt;-1,$S71&gt;0),"F","")</f>
        <v/>
      </c>
      <c r="H71" s="199" t="str">
        <f ca="1">IF(OR(S71=0,S71=""),"Linha",IF(AND(OR(ACOMPANHAMENTO="PLE",$R71&lt;&gt;2),$F72=0),"Linha",ROUND(1-SUM(U71:AG71),4)))</f>
        <v>Linha</v>
      </c>
      <c r="I71" s="200">
        <f ca="1">IF($F72=0,OFFSET(ORÇAMENTO!O$15,$F71,0),IF($F72&lt;&gt;-1,OFFSET(QCI!$D$13,$F72,0),""))</f>
        <v>10</v>
      </c>
      <c r="J71" s="201" t="str">
        <f ca="1">IF($F72=0,OFFSET(ORÇAMENTO!R$15,$F71,0),IF($F72&lt;&gt;-1,OFFSET(QCI!$G$13,$F72,0),""))</f>
        <v/>
      </c>
      <c r="K71" s="201"/>
      <c r="L71" s="201"/>
      <c r="M71" s="202">
        <f ca="1">IF($F72=0,OFFSET(ORÇAMENTO!C$15,$F71,0),1)</f>
        <v>1</v>
      </c>
      <c r="N71" s="203">
        <f ca="1">IF($F72=-1,0,IF(N$13&lt;=$M71,IF(ISERROR(MATCH(N$13,OFFSET($M71,1,0,ROW($M$92)-ROW($M71)-1),0)),ROW($M$92)-ROW($M71)-1,MATCH(N$13,OFFSET($M71,1,0,ROW($M$92)-ROW($M71)-1),0)-1),0))</f>
        <v>2</v>
      </c>
      <c r="O71" s="203">
        <f ca="1">IF($F72=-1,0,IF(O$13&lt;=$M71,IF(ISERROR(MATCH(O$13,OFFSET($M71,1,0,ROW($M$92)-ROW($M71)-1),0)),ROW($M$92)-ROW($M71)-1,MATCH(O$13,OFFSET($M71,1,0,ROW($M$92)-ROW($M71)-1),0)-1),0))</f>
        <v>0</v>
      </c>
      <c r="P71" s="203">
        <f ca="1">IF($F72=-1,0,IF(P$13&lt;=$M71,IF(ISERROR(MATCH(P$13,OFFSET($M71,1,0,ROW($M$92)-ROW($M71)-1),0)),ROW($M$92)-ROW($M71)-1,MATCH(P$13,OFFSET($M71,1,0,ROW($M$92)-ROW($M71)-1),0)-1),0))</f>
        <v>0</v>
      </c>
      <c r="Q71" s="203">
        <f ca="1">IF($F72=-1,0,IF(Q$13&lt;=$M71,IF(ISERROR(MATCH(Q$13,OFFSET($M71,1,0,ROW($M$92)-ROW($M71)-1),0)),ROW($M$92)-ROW($M71)-1,MATCH(Q$13,OFFSET($M71,1,0,ROW($M$92)-ROW($M71)-1),0)-1),0))</f>
        <v>0</v>
      </c>
      <c r="R71" s="203">
        <f t="shared" ref="R71" ca="1" si="119">MIN(OFFSET(M71,0,1,,M71))</f>
        <v>2</v>
      </c>
      <c r="S71" s="204">
        <f ca="1">IF($F72=0,OFFSET(ORÇAMENTO!X$15,$F71,0),IF($F72&lt;&gt;-1,OFFSET(QCI!$O$13,$F72,0),""))</f>
        <v>0</v>
      </c>
      <c r="T71" s="205" t="s">
        <v>266</v>
      </c>
      <c r="U71" s="198" t="e">
        <f ca="1">IF(AND($R71=2,ACOMPANHAMENTO="BM"),ROUND(U72,4),U73/$S71)</f>
        <v>#DIV/0!</v>
      </c>
      <c r="V71" s="198" t="e">
        <f ca="1">IF(AND($R71=2,ACOMPANHAMENTO="BM"),ROUND(V72,4),V73/$S71)</f>
        <v>#DIV/0!</v>
      </c>
      <c r="W71" s="198" t="e">
        <f ca="1">IF(AND($R71=2,ACOMPANHAMENTO="BM"),ROUND(W72,4),W73/$S71)</f>
        <v>#DIV/0!</v>
      </c>
      <c r="X71" s="198" t="e">
        <f ca="1">IF(AND($R71=2,ACOMPANHAMENTO="BM"),ROUND(X72,4),X73/$S71)</f>
        <v>#DIV/0!</v>
      </c>
      <c r="Y71" s="198" t="e">
        <f ca="1">IF(AND($R71=2,ACOMPANHAMENTO="BM"),ROUND(Y72,4),Y73/$S71)</f>
        <v>#DIV/0!</v>
      </c>
      <c r="Z71" s="198" t="e">
        <f ca="1">IF(AND($R71=2,ACOMPANHAMENTO="BM"),ROUND(Z72,4),Z73/$S71)</f>
        <v>#DIV/0!</v>
      </c>
      <c r="AA71" s="198" t="e">
        <f ca="1">IF(AND($R71=2,ACOMPANHAMENTO="BM"),ROUND(AA72,4),AA73/$S71)</f>
        <v>#DIV/0!</v>
      </c>
      <c r="AB71" s="198" t="e">
        <f ca="1">IF(AND($R71=2,ACOMPANHAMENTO="BM"),ROUND(AB72,4),AB73/$S71)</f>
        <v>#DIV/0!</v>
      </c>
      <c r="AC71" s="198" t="e">
        <f ca="1">IF(AND($R71=2,ACOMPANHAMENTO="BM"),ROUND(AC72,4),AC73/$S71)</f>
        <v>#DIV/0!</v>
      </c>
      <c r="AD71" s="198" t="e">
        <f ca="1">IF(AND($R71=2,ACOMPANHAMENTO="BM"),ROUND(AD72,4),AD73/$S71)</f>
        <v>#DIV/0!</v>
      </c>
      <c r="AE71" s="198" t="e">
        <f ca="1">IF(AND($R71=2,ACOMPANHAMENTO="BM"),ROUND(AE72,4),AE73/$S71)</f>
        <v>#DIV/0!</v>
      </c>
      <c r="AF71" s="198" t="e">
        <f ca="1">IF(AND($R71=2,ACOMPANHAMENTO="BM"),ROUND(AF72,4),AF73/$S71)</f>
        <v>#DIV/0!</v>
      </c>
      <c r="AG71" s="577"/>
    </row>
    <row r="72" spans="1:33" ht="12.75" hidden="1" customHeight="1" x14ac:dyDescent="0.2">
      <c r="E72" s="646"/>
      <c r="F72" s="195">
        <f ca="1">IF(ISERROR(F71),IF(1+COUNTIF($M$13:OFFSET(M71,-1,0),1)&lt;=MAX(QCI!$D$13:$D$24),1+COUNTIF($M$13:OFFSET(M71,-1,0),1),-1),0)</f>
        <v>10</v>
      </c>
      <c r="G72" s="195" t="str">
        <f ca="1">IF(ACOMPANHAMENTO="BM",OFFSET(G72,-1,0),"")</f>
        <v/>
      </c>
      <c r="H72" s="206" t="str">
        <f ca="1">IF(OR(S71=0,S71=""),"vazia",IF(AND(OR(ACOMPANHAMENTO="PLE",$R71&lt;&gt;2),$F72=0),"calculada","--&gt;"))</f>
        <v>vazia</v>
      </c>
      <c r="I72" s="207"/>
      <c r="J72" s="208" t="str">
        <f t="shared" ref="J72" ca="1" si="120">IF(AND(H71&lt;&gt;0,ISNUMBER(H71)),"PREENCHA ESTA LINHA --&gt;","")</f>
        <v/>
      </c>
      <c r="K72" s="208"/>
      <c r="L72" s="208"/>
      <c r="M72" s="209"/>
      <c r="N72" s="209"/>
      <c r="O72" s="209"/>
      <c r="P72" s="209"/>
      <c r="Q72" s="209"/>
      <c r="R72" s="209"/>
      <c r="S72" s="210"/>
      <c r="T72" s="211"/>
      <c r="U72" s="646"/>
      <c r="V72" s="646"/>
      <c r="W72" s="646"/>
      <c r="X72" s="646"/>
      <c r="Y72" s="646"/>
      <c r="Z72" s="646"/>
      <c r="AA72" s="646"/>
      <c r="AB72" s="646"/>
      <c r="AC72" s="646"/>
      <c r="AD72" s="646"/>
      <c r="AE72" s="646"/>
      <c r="AF72" s="646"/>
      <c r="AG72" s="577"/>
    </row>
    <row r="73" spans="1:33" ht="12.75" hidden="1" customHeight="1" x14ac:dyDescent="0.2">
      <c r="D73" s="576"/>
      <c r="E73" s="212">
        <f ca="1">IF($R71=2,
         IF(AND(ACOMPANHAMENTO="PLE",ISNUMBER($F71)),
                SUMIF((OFFSET(CÁLCULO!$AM$15:$AW$15,$F71,0,OFFSET(ORÇAMENTO!$D$15,CRONO!$F71,0))),CRONO!E$12,OFFSET(CÁLCULO!$AB$15:$AL$15,$F71,0,OFFSET(ORÇAMENTO!$D$15,CRONO!$F71,0)))
                +IF(AND($F73&lt;&gt;"",$F73&lt;&gt;0),
                        SUMIF(CÁLCULO!$AM$15:$AW$89,CRONO!E$12,CÁLCULO!$AB$15:$AL$89)/(ORÇAMENTO!$X$15-CÁLCULO.TotalAdmLocal)*CRONO!$F73,
                        0),
                 E72*$S71),
          SUMIF(OFFSET($S73,1,0,$R71-2),($M71+1)&amp;"$",OFFSET(E73,1,0,$R71-2)))</f>
        <v>0</v>
      </c>
      <c r="F73" s="195" t="str">
        <f ca="1">IF(OR($R71&lt;&gt;2,AUTOEVENTO&lt;&gt;"manual",$F72&gt;0),"",
        IF(Import.TipoArredondamento="Tradicional",
              SUMIF(OFFSET(CÁLCULO!$M$15,CRONO!$F71,0,OFFSET(ORÇAMENTO!$D$15,CRONO!$F71,0)),1,OFFSET(ORÇAMENTO!$X$15,CRONO!$F71,0,OFFSET(ORÇAMENTO!$D$15,CRONO!$F71,0))),
              0))</f>
        <v/>
      </c>
      <c r="H73" s="213"/>
      <c r="S73" s="214" t="str">
        <f t="shared" ref="S73" ca="1" si="121">M71&amp;"$"</f>
        <v>1$</v>
      </c>
      <c r="T73" s="215"/>
      <c r="U73" s="212">
        <f ca="1">IF($R71=2,
         IF(AND(ACOMPANHAMENTO="PLE",ISNUMBER($F71)),
                SUMIF((OFFSET(CÁLCULO!$AM$15:$AW$15,$F71,0,OFFSET(ORÇAMENTO!$D$15,CRONO!$F71,0))),CRONO!U$12,OFFSET(CÁLCULO!$AB$15:$AL$15,$F71,0,OFFSET(ORÇAMENTO!$D$15,CRONO!$F71,0)))
                +IF(AND($F73&lt;&gt;"",$F73&lt;&gt;0),
                        SUMIF(CÁLCULO!$AM$15:$AW$89,CRONO!U$12,CÁLCULO!$AB$15:$AL$89)/(ORÇAMENTO!$X$15-CÁLCULO.TotalAdmLocal)*CRONO!$F73,
                        0),
                 U72*$S71),
          SUMIF(OFFSET($S73,1,0,$R71-2),($M71+1)&amp;"$",OFFSET(U73,1,0,$R71-2)))</f>
        <v>0</v>
      </c>
      <c r="V73" s="212">
        <f ca="1">IF($R71=2,
         IF(AND(ACOMPANHAMENTO="PLE",ISNUMBER($F71)),
                SUMIF((OFFSET(CÁLCULO!$AM$15:$AW$15,$F71,0,OFFSET(ORÇAMENTO!$D$15,CRONO!$F71,0))),CRONO!V$12,OFFSET(CÁLCULO!$AB$15:$AL$15,$F71,0,OFFSET(ORÇAMENTO!$D$15,CRONO!$F71,0)))
                +IF(AND($F73&lt;&gt;"",$F73&lt;&gt;0),
                        SUMIF(CÁLCULO!$AM$15:$AW$89,CRONO!V$12,CÁLCULO!$AB$15:$AL$89)/(ORÇAMENTO!$X$15-CÁLCULO.TotalAdmLocal)*CRONO!$F73,
                        0),
                 V72*$S71),
          SUMIF(OFFSET($S73,1,0,$R71-2),($M71+1)&amp;"$",OFFSET(V73,1,0,$R71-2)))</f>
        <v>0</v>
      </c>
      <c r="W73" s="212">
        <f ca="1">IF($R71=2,
         IF(AND(ACOMPANHAMENTO="PLE",ISNUMBER($F71)),
                SUMIF((OFFSET(CÁLCULO!$AM$15:$AW$15,$F71,0,OFFSET(ORÇAMENTO!$D$15,CRONO!$F71,0))),CRONO!W$12,OFFSET(CÁLCULO!$AB$15:$AL$15,$F71,0,OFFSET(ORÇAMENTO!$D$15,CRONO!$F71,0)))
                +IF(AND($F73&lt;&gt;"",$F73&lt;&gt;0),
                        SUMIF(CÁLCULO!$AM$15:$AW$89,CRONO!W$12,CÁLCULO!$AB$15:$AL$89)/(ORÇAMENTO!$X$15-CÁLCULO.TotalAdmLocal)*CRONO!$F73,
                        0),
                 W72*$S71),
          SUMIF(OFFSET($S73,1,0,$R71-2),($M71+1)&amp;"$",OFFSET(W73,1,0,$R71-2)))</f>
        <v>0</v>
      </c>
      <c r="X73" s="212">
        <f ca="1">IF($R71=2,
         IF(AND(ACOMPANHAMENTO="PLE",ISNUMBER($F71)),
                SUMIF((OFFSET(CÁLCULO!$AM$15:$AW$15,$F71,0,OFFSET(ORÇAMENTO!$D$15,CRONO!$F71,0))),CRONO!X$12,OFFSET(CÁLCULO!$AB$15:$AL$15,$F71,0,OFFSET(ORÇAMENTO!$D$15,CRONO!$F71,0)))
                +IF(AND($F73&lt;&gt;"",$F73&lt;&gt;0),
                        SUMIF(CÁLCULO!$AM$15:$AW$89,CRONO!X$12,CÁLCULO!$AB$15:$AL$89)/(ORÇAMENTO!$X$15-CÁLCULO.TotalAdmLocal)*CRONO!$F73,
                        0),
                 X72*$S71),
          SUMIF(OFFSET($S73,1,0,$R71-2),($M71+1)&amp;"$",OFFSET(X73,1,0,$R71-2)))</f>
        <v>0</v>
      </c>
      <c r="Y73" s="212">
        <f ca="1">IF($R71=2,
         IF(AND(ACOMPANHAMENTO="PLE",ISNUMBER($F71)),
                SUMIF((OFFSET(CÁLCULO!$AM$15:$AW$15,$F71,0,OFFSET(ORÇAMENTO!$D$15,CRONO!$F71,0))),CRONO!Y$12,OFFSET(CÁLCULO!$AB$15:$AL$15,$F71,0,OFFSET(ORÇAMENTO!$D$15,CRONO!$F71,0)))
                +IF(AND($F73&lt;&gt;"",$F73&lt;&gt;0),
                        SUMIF(CÁLCULO!$AM$15:$AW$89,CRONO!Y$12,CÁLCULO!$AB$15:$AL$89)/(ORÇAMENTO!$X$15-CÁLCULO.TotalAdmLocal)*CRONO!$F73,
                        0),
                 Y72*$S71),
          SUMIF(OFFSET($S73,1,0,$R71-2),($M71+1)&amp;"$",OFFSET(Y73,1,0,$R71-2)))</f>
        <v>0</v>
      </c>
      <c r="Z73" s="212">
        <f ca="1">IF($R71=2,
         IF(AND(ACOMPANHAMENTO="PLE",ISNUMBER($F71)),
                SUMIF((OFFSET(CÁLCULO!$AM$15:$AW$15,$F71,0,OFFSET(ORÇAMENTO!$D$15,CRONO!$F71,0))),CRONO!Z$12,OFFSET(CÁLCULO!$AB$15:$AL$15,$F71,0,OFFSET(ORÇAMENTO!$D$15,CRONO!$F71,0)))
                +IF(AND($F73&lt;&gt;"",$F73&lt;&gt;0),
                        SUMIF(CÁLCULO!$AM$15:$AW$89,CRONO!Z$12,CÁLCULO!$AB$15:$AL$89)/(ORÇAMENTO!$X$15-CÁLCULO.TotalAdmLocal)*CRONO!$F73,
                        0),
                 Z72*$S71),
          SUMIF(OFFSET($S73,1,0,$R71-2),($M71+1)&amp;"$",OFFSET(Z73,1,0,$R71-2)))</f>
        <v>0</v>
      </c>
      <c r="AA73" s="212">
        <f ca="1">IF($R71=2,
         IF(AND(ACOMPANHAMENTO="PLE",ISNUMBER($F71)),
                SUMIF((OFFSET(CÁLCULO!$AM$15:$AW$15,$F71,0,OFFSET(ORÇAMENTO!$D$15,CRONO!$F71,0))),CRONO!AA$12,OFFSET(CÁLCULO!$AB$15:$AL$15,$F71,0,OFFSET(ORÇAMENTO!$D$15,CRONO!$F71,0)))
                +IF(AND($F73&lt;&gt;"",$F73&lt;&gt;0),
                        SUMIF(CÁLCULO!$AM$15:$AW$89,CRONO!AA$12,CÁLCULO!$AB$15:$AL$89)/(ORÇAMENTO!$X$15-CÁLCULO.TotalAdmLocal)*CRONO!$F73,
                        0),
                 AA72*$S71),
          SUMIF(OFFSET($S73,1,0,$R71-2),($M71+1)&amp;"$",OFFSET(AA73,1,0,$R71-2)))</f>
        <v>0</v>
      </c>
      <c r="AB73" s="212">
        <f ca="1">IF($R71=2,
         IF(AND(ACOMPANHAMENTO="PLE",ISNUMBER($F71)),
                SUMIF((OFFSET(CÁLCULO!$AM$15:$AW$15,$F71,0,OFFSET(ORÇAMENTO!$D$15,CRONO!$F71,0))),CRONO!AB$12,OFFSET(CÁLCULO!$AB$15:$AL$15,$F71,0,OFFSET(ORÇAMENTO!$D$15,CRONO!$F71,0)))
                +IF(AND($F73&lt;&gt;"",$F73&lt;&gt;0),
                        SUMIF(CÁLCULO!$AM$15:$AW$89,CRONO!AB$12,CÁLCULO!$AB$15:$AL$89)/(ORÇAMENTO!$X$15-CÁLCULO.TotalAdmLocal)*CRONO!$F73,
                        0),
                 AB72*$S71),
          SUMIF(OFFSET($S73,1,0,$R71-2),($M71+1)&amp;"$",OFFSET(AB73,1,0,$R71-2)))</f>
        <v>0</v>
      </c>
      <c r="AC73" s="212">
        <f ca="1">IF($R71=2,
         IF(AND(ACOMPANHAMENTO="PLE",ISNUMBER($F71)),
                SUMIF((OFFSET(CÁLCULO!$AM$15:$AW$15,$F71,0,OFFSET(ORÇAMENTO!$D$15,CRONO!$F71,0))),CRONO!AC$12,OFFSET(CÁLCULO!$AB$15:$AL$15,$F71,0,OFFSET(ORÇAMENTO!$D$15,CRONO!$F71,0)))
                +IF(AND($F73&lt;&gt;"",$F73&lt;&gt;0),
                        SUMIF(CÁLCULO!$AM$15:$AW$89,CRONO!AC$12,CÁLCULO!$AB$15:$AL$89)/(ORÇAMENTO!$X$15-CÁLCULO.TotalAdmLocal)*CRONO!$F73,
                        0),
                 AC72*$S71),
          SUMIF(OFFSET($S73,1,0,$R71-2),($M71+1)&amp;"$",OFFSET(AC73,1,0,$R71-2)))</f>
        <v>0</v>
      </c>
      <c r="AD73" s="212">
        <f ca="1">IF($R71=2,
         IF(AND(ACOMPANHAMENTO="PLE",ISNUMBER($F71)),
                SUMIF((OFFSET(CÁLCULO!$AM$15:$AW$15,$F71,0,OFFSET(ORÇAMENTO!$D$15,CRONO!$F71,0))),CRONO!AD$12,OFFSET(CÁLCULO!$AB$15:$AL$15,$F71,0,OFFSET(ORÇAMENTO!$D$15,CRONO!$F71,0)))
                +IF(AND($F73&lt;&gt;"",$F73&lt;&gt;0),
                        SUMIF(CÁLCULO!$AM$15:$AW$89,CRONO!AD$12,CÁLCULO!$AB$15:$AL$89)/(ORÇAMENTO!$X$15-CÁLCULO.TotalAdmLocal)*CRONO!$F73,
                        0),
                 AD72*$S71),
          SUMIF(OFFSET($S73,1,0,$R71-2),($M71+1)&amp;"$",OFFSET(AD73,1,0,$R71-2)))</f>
        <v>0</v>
      </c>
      <c r="AE73" s="212">
        <f ca="1">IF($R71=2,
         IF(AND(ACOMPANHAMENTO="PLE",ISNUMBER($F71)),
                SUMIF((OFFSET(CÁLCULO!$AM$15:$AW$15,$F71,0,OFFSET(ORÇAMENTO!$D$15,CRONO!$F71,0))),CRONO!AE$12,OFFSET(CÁLCULO!$AB$15:$AL$15,$F71,0,OFFSET(ORÇAMENTO!$D$15,CRONO!$F71,0)))
                +IF(AND($F73&lt;&gt;"",$F73&lt;&gt;0),
                        SUMIF(CÁLCULO!$AM$15:$AW$89,CRONO!AE$12,CÁLCULO!$AB$15:$AL$89)/(ORÇAMENTO!$X$15-CÁLCULO.TotalAdmLocal)*CRONO!$F73,
                        0),
                 AE72*$S71),
          SUMIF(OFFSET($S73,1,0,$R71-2),($M71+1)&amp;"$",OFFSET(AE73,1,0,$R71-2)))</f>
        <v>0</v>
      </c>
      <c r="AF73" s="212">
        <f ca="1">IF($R71=2,
         IF(AND(ACOMPANHAMENTO="PLE",ISNUMBER($F71)),
                SUMIF((OFFSET(CÁLCULO!$AM$15:$AW$15,$F71,0,OFFSET(ORÇAMENTO!$D$15,CRONO!$F71,0))),CRONO!AF$12,OFFSET(CÁLCULO!$AB$15:$AL$15,$F71,0,OFFSET(ORÇAMENTO!$D$15,CRONO!$F71,0)))
                +IF(AND($F73&lt;&gt;"",$F73&lt;&gt;0),
                        SUMIF(CÁLCULO!$AM$15:$AW$89,CRONO!AF$12,CÁLCULO!$AB$15:$AL$89)/(ORÇAMENTO!$X$15-CÁLCULO.TotalAdmLocal)*CRONO!$F73,
                        0),
                 AF72*$S71),
          SUMIF(OFFSET($S73,1,0,$R71-2),($M71+1)&amp;"$",OFFSET(AF73,1,0,$R71-2)))</f>
        <v>0</v>
      </c>
      <c r="AG73" s="577"/>
    </row>
    <row r="74" spans="1:33" hidden="1" x14ac:dyDescent="0.2">
      <c r="A74" s="196" t="str">
        <f t="shared" ref="A74" ca="1" si="122">IF($M74&gt;1,CONCATENATE($I74," ",$J74),"")</f>
        <v/>
      </c>
      <c r="B74" s="195">
        <f t="shared" ref="B74" ca="1" si="123">OFFSET(B74,-3,0)+1</f>
        <v>21</v>
      </c>
      <c r="C74" s="195">
        <f ca="1">IF($R74&lt;&gt;2,0,IF($S74=0,1,IF(F75&gt;0,OFFSET(QCI!$M$13,SUBSTITUTE(F75,".",""),0),OFFSET(ORÇAMENTO!$AA$15,CRONO!$F74,0))/$S74))</f>
        <v>0</v>
      </c>
      <c r="D74" s="195">
        <f ca="1">IF($R74&lt;&gt;2,0,IF($S74=0,1,IF(F75&gt;0,OFFSET(QCI!$N$13,SUBSTITUTE(F75,".",""),0),OFFSET(ORÇAMENTO!$AB$15,CRONO!$F74,0))/$S74))</f>
        <v>0</v>
      </c>
      <c r="E74" s="198" t="e">
        <f ca="1">IF(AND($R74=2,ACOMPANHAMENTO="BM"),ROUND(E75,4),E76/$S74)</f>
        <v>#VALUE!</v>
      </c>
      <c r="F74" s="195" t="e">
        <f ca="1">IF(B74&lt;=ORÇAMENTO.MáximoListaCrono,MATCH(B74,ORÇAMENTO.ListaCrono,0),NA())</f>
        <v>#N/A</v>
      </c>
      <c r="G74" s="195" t="str">
        <f t="shared" ref="G74" ca="1" si="124">IF(AND($F75&lt;&gt;-1,$S74&gt;0),"F","")</f>
        <v/>
      </c>
      <c r="H74" s="199" t="str">
        <f ca="1">IF(OR(S74=0,S74=""),"Linha",IF(AND(OR(ACOMPANHAMENTO="PLE",$R74&lt;&gt;2),$F75=0),"Linha",ROUND(1-SUM(U74:AG74),4)))</f>
        <v>Linha</v>
      </c>
      <c r="I74" s="200" t="str">
        <f ca="1">IF($F75=0,OFFSET(ORÇAMENTO!O$15,$F74,0),IF($F75&lt;&gt;-1,OFFSET(QCI!$D$13,$F75,0),""))</f>
        <v/>
      </c>
      <c r="J74" s="201" t="str">
        <f ca="1">IF($F75=0,OFFSET(ORÇAMENTO!R$15,$F74,0),IF($F75&lt;&gt;-1,OFFSET(QCI!$G$13,$F75,0),""))</f>
        <v/>
      </c>
      <c r="K74" s="201"/>
      <c r="L74" s="201"/>
      <c r="M74" s="202">
        <f ca="1">IF($F75=0,OFFSET(ORÇAMENTO!C$15,$F74,0),1)</f>
        <v>1</v>
      </c>
      <c r="N74" s="203">
        <f ca="1">IF($F75=-1,0,IF(N$13&lt;=$M74,IF(ISERROR(MATCH(N$13,OFFSET($M74,1,0,ROW($M$92)-ROW($M74)-1),0)),ROW($M$92)-ROW($M74)-1,MATCH(N$13,OFFSET($M74,1,0,ROW($M$92)-ROW($M74)-1),0)-1),0))</f>
        <v>0</v>
      </c>
      <c r="O74" s="203">
        <f ca="1">IF($F75=-1,0,IF(O$13&lt;=$M74,IF(ISERROR(MATCH(O$13,OFFSET($M74,1,0,ROW($M$92)-ROW($M74)-1),0)),ROW($M$92)-ROW($M74)-1,MATCH(O$13,OFFSET($M74,1,0,ROW($M$92)-ROW($M74)-1),0)-1),0))</f>
        <v>0</v>
      </c>
      <c r="P74" s="203">
        <f ca="1">IF($F75=-1,0,IF(P$13&lt;=$M74,IF(ISERROR(MATCH(P$13,OFFSET($M74,1,0,ROW($M$92)-ROW($M74)-1),0)),ROW($M$92)-ROW($M74)-1,MATCH(P$13,OFFSET($M74,1,0,ROW($M$92)-ROW($M74)-1),0)-1),0))</f>
        <v>0</v>
      </c>
      <c r="Q74" s="203">
        <f ca="1">IF($F75=-1,0,IF(Q$13&lt;=$M74,IF(ISERROR(MATCH(Q$13,OFFSET($M74,1,0,ROW($M$92)-ROW($M74)-1),0)),ROW($M$92)-ROW($M74)-1,MATCH(Q$13,OFFSET($M74,1,0,ROW($M$92)-ROW($M74)-1),0)-1),0))</f>
        <v>0</v>
      </c>
      <c r="R74" s="203">
        <f t="shared" ref="R74" ca="1" si="125">MIN(OFFSET(M74,0,1,,M74))</f>
        <v>0</v>
      </c>
      <c r="S74" s="204" t="str">
        <f ca="1">IF($F75=0,OFFSET(ORÇAMENTO!X$15,$F74,0),IF($F75&lt;&gt;-1,OFFSET(QCI!$O$13,$F75,0),""))</f>
        <v/>
      </c>
      <c r="T74" s="205" t="s">
        <v>266</v>
      </c>
      <c r="U74" s="198" t="e">
        <f ca="1">IF(AND($R74=2,ACOMPANHAMENTO="BM"),ROUND(U75,4),U76/$S74)</f>
        <v>#VALUE!</v>
      </c>
      <c r="V74" s="198" t="e">
        <f ca="1">IF(AND($R74=2,ACOMPANHAMENTO="BM"),ROUND(V75,4),V76/$S74)</f>
        <v>#VALUE!</v>
      </c>
      <c r="W74" s="198" t="e">
        <f ca="1">IF(AND($R74=2,ACOMPANHAMENTO="BM"),ROUND(W75,4),W76/$S74)</f>
        <v>#VALUE!</v>
      </c>
      <c r="X74" s="198" t="e">
        <f ca="1">IF(AND($R74=2,ACOMPANHAMENTO="BM"),ROUND(X75,4),X76/$S74)</f>
        <v>#VALUE!</v>
      </c>
      <c r="Y74" s="198" t="e">
        <f ca="1">IF(AND($R74=2,ACOMPANHAMENTO="BM"),ROUND(Y75,4),Y76/$S74)</f>
        <v>#VALUE!</v>
      </c>
      <c r="Z74" s="198" t="e">
        <f ca="1">IF(AND($R74=2,ACOMPANHAMENTO="BM"),ROUND(Z75,4),Z76/$S74)</f>
        <v>#VALUE!</v>
      </c>
      <c r="AA74" s="198" t="e">
        <f ca="1">IF(AND($R74=2,ACOMPANHAMENTO="BM"),ROUND(AA75,4),AA76/$S74)</f>
        <v>#VALUE!</v>
      </c>
      <c r="AB74" s="198" t="e">
        <f ca="1">IF(AND($R74=2,ACOMPANHAMENTO="BM"),ROUND(AB75,4),AB76/$S74)</f>
        <v>#VALUE!</v>
      </c>
      <c r="AC74" s="198" t="e">
        <f ca="1">IF(AND($R74=2,ACOMPANHAMENTO="BM"),ROUND(AC75,4),AC76/$S74)</f>
        <v>#VALUE!</v>
      </c>
      <c r="AD74" s="198" t="e">
        <f ca="1">IF(AND($R74=2,ACOMPANHAMENTO="BM"),ROUND(AD75,4),AD76/$S74)</f>
        <v>#VALUE!</v>
      </c>
      <c r="AE74" s="198" t="e">
        <f ca="1">IF(AND($R74=2,ACOMPANHAMENTO="BM"),ROUND(AE75,4),AE76/$S74)</f>
        <v>#VALUE!</v>
      </c>
      <c r="AF74" s="198" t="e">
        <f ca="1">IF(AND($R74=2,ACOMPANHAMENTO="BM"),ROUND(AF75,4),AF76/$S74)</f>
        <v>#VALUE!</v>
      </c>
      <c r="AG74" s="577"/>
    </row>
    <row r="75" spans="1:33" ht="12.75" hidden="1" customHeight="1" x14ac:dyDescent="0.2">
      <c r="E75" s="646"/>
      <c r="F75" s="195">
        <f ca="1">IF(ISERROR(F74),IF(1+COUNTIF($M$13:OFFSET(M74,-1,0),1)&lt;=MAX(QCI!$D$13:$D$24),1+COUNTIF($M$13:OFFSET(M74,-1,0),1),-1),0)</f>
        <v>-1</v>
      </c>
      <c r="G75" s="195" t="str">
        <f ca="1">IF(ACOMPANHAMENTO="BM",OFFSET(G75,-1,0),"")</f>
        <v/>
      </c>
      <c r="H75" s="206" t="str">
        <f ca="1">IF(OR(S74=0,S74=""),"vazia",IF(AND(OR(ACOMPANHAMENTO="PLE",$R74&lt;&gt;2),$F75=0),"calculada","--&gt;"))</f>
        <v>vazia</v>
      </c>
      <c r="I75" s="207"/>
      <c r="J75" s="208" t="str">
        <f t="shared" ref="J75" ca="1" si="126">IF(AND(H74&lt;&gt;0,ISNUMBER(H74)),"PREENCHA ESTA LINHA --&gt;","")</f>
        <v/>
      </c>
      <c r="K75" s="208"/>
      <c r="L75" s="208"/>
      <c r="M75" s="209"/>
      <c r="N75" s="209"/>
      <c r="O75" s="209"/>
      <c r="P75" s="209"/>
      <c r="Q75" s="209"/>
      <c r="R75" s="209"/>
      <c r="S75" s="210"/>
      <c r="T75" s="211"/>
      <c r="U75" s="646"/>
      <c r="V75" s="646"/>
      <c r="W75" s="646"/>
      <c r="X75" s="646"/>
      <c r="Y75" s="646"/>
      <c r="Z75" s="646"/>
      <c r="AA75" s="646"/>
      <c r="AB75" s="646"/>
      <c r="AC75" s="646"/>
      <c r="AD75" s="646"/>
      <c r="AE75" s="646"/>
      <c r="AF75" s="646"/>
      <c r="AG75" s="577"/>
    </row>
    <row r="76" spans="1:33" ht="12.75" hidden="1" customHeight="1" x14ac:dyDescent="0.2">
      <c r="D76" s="576"/>
      <c r="E76" s="212">
        <f ca="1">IF($R74=2,
         IF(AND(ACOMPANHAMENTO="PLE",ISNUMBER($F74)),
                SUMIF((OFFSET(CÁLCULO!$AM$15:$AW$15,$F74,0,OFFSET(ORÇAMENTO!$D$15,CRONO!$F74,0))),CRONO!E$12,OFFSET(CÁLCULO!$AB$15:$AL$15,$F74,0,OFFSET(ORÇAMENTO!$D$15,CRONO!$F74,0)))
                +IF(AND($F76&lt;&gt;"",$F76&lt;&gt;0),
                        SUMIF(CÁLCULO!$AM$15:$AW$89,CRONO!E$12,CÁLCULO!$AB$15:$AL$89)/(ORÇAMENTO!$X$15-CÁLCULO.TotalAdmLocal)*CRONO!$F76,
                        0),
                 E75*$S74),
          SUMIF(OFFSET($S76,1,0,$R74-2),($M74+1)&amp;"$",OFFSET(E76,1,0,$R74-2)))</f>
        <v>0</v>
      </c>
      <c r="F76" s="195" t="str">
        <f ca="1">IF(OR($R74&lt;&gt;2,AUTOEVENTO&lt;&gt;"manual",$F75&gt;0),"",
        IF(Import.TipoArredondamento="Tradicional",
              SUMIF(OFFSET(CÁLCULO!$M$15,CRONO!$F74,0,OFFSET(ORÇAMENTO!$D$15,CRONO!$F74,0)),1,OFFSET(ORÇAMENTO!$X$15,CRONO!$F74,0,OFFSET(ORÇAMENTO!$D$15,CRONO!$F74,0))),
              0))</f>
        <v/>
      </c>
      <c r="H76" s="213"/>
      <c r="S76" s="214" t="str">
        <f t="shared" ref="S76" ca="1" si="127">M74&amp;"$"</f>
        <v>1$</v>
      </c>
      <c r="T76" s="215"/>
      <c r="U76" s="212">
        <f ca="1">IF($R74=2,
         IF(AND(ACOMPANHAMENTO="PLE",ISNUMBER($F74)),
                SUMIF((OFFSET(CÁLCULO!$AM$15:$AW$15,$F74,0,OFFSET(ORÇAMENTO!$D$15,CRONO!$F74,0))),CRONO!U$12,OFFSET(CÁLCULO!$AB$15:$AL$15,$F74,0,OFFSET(ORÇAMENTO!$D$15,CRONO!$F74,0)))
                +IF(AND($F76&lt;&gt;"",$F76&lt;&gt;0),
                        SUMIF(CÁLCULO!$AM$15:$AW$89,CRONO!U$12,CÁLCULO!$AB$15:$AL$89)/(ORÇAMENTO!$X$15-CÁLCULO.TotalAdmLocal)*CRONO!$F76,
                        0),
                 U75*$S74),
          SUMIF(OFFSET($S76,1,0,$R74-2),($M74+1)&amp;"$",OFFSET(U76,1,0,$R74-2)))</f>
        <v>0</v>
      </c>
      <c r="V76" s="212">
        <f ca="1">IF($R74=2,
         IF(AND(ACOMPANHAMENTO="PLE",ISNUMBER($F74)),
                SUMIF((OFFSET(CÁLCULO!$AM$15:$AW$15,$F74,0,OFFSET(ORÇAMENTO!$D$15,CRONO!$F74,0))),CRONO!V$12,OFFSET(CÁLCULO!$AB$15:$AL$15,$F74,0,OFFSET(ORÇAMENTO!$D$15,CRONO!$F74,0)))
                +IF(AND($F76&lt;&gt;"",$F76&lt;&gt;0),
                        SUMIF(CÁLCULO!$AM$15:$AW$89,CRONO!V$12,CÁLCULO!$AB$15:$AL$89)/(ORÇAMENTO!$X$15-CÁLCULO.TotalAdmLocal)*CRONO!$F76,
                        0),
                 V75*$S74),
          SUMIF(OFFSET($S76,1,0,$R74-2),($M74+1)&amp;"$",OFFSET(V76,1,0,$R74-2)))</f>
        <v>0</v>
      </c>
      <c r="W76" s="212">
        <f ca="1">IF($R74=2,
         IF(AND(ACOMPANHAMENTO="PLE",ISNUMBER($F74)),
                SUMIF((OFFSET(CÁLCULO!$AM$15:$AW$15,$F74,0,OFFSET(ORÇAMENTO!$D$15,CRONO!$F74,0))),CRONO!W$12,OFFSET(CÁLCULO!$AB$15:$AL$15,$F74,0,OFFSET(ORÇAMENTO!$D$15,CRONO!$F74,0)))
                +IF(AND($F76&lt;&gt;"",$F76&lt;&gt;0),
                        SUMIF(CÁLCULO!$AM$15:$AW$89,CRONO!W$12,CÁLCULO!$AB$15:$AL$89)/(ORÇAMENTO!$X$15-CÁLCULO.TotalAdmLocal)*CRONO!$F76,
                        0),
                 W75*$S74),
          SUMIF(OFFSET($S76,1,0,$R74-2),($M74+1)&amp;"$",OFFSET(W76,1,0,$R74-2)))</f>
        <v>0</v>
      </c>
      <c r="X76" s="212">
        <f ca="1">IF($R74=2,
         IF(AND(ACOMPANHAMENTO="PLE",ISNUMBER($F74)),
                SUMIF((OFFSET(CÁLCULO!$AM$15:$AW$15,$F74,0,OFFSET(ORÇAMENTO!$D$15,CRONO!$F74,0))),CRONO!X$12,OFFSET(CÁLCULO!$AB$15:$AL$15,$F74,0,OFFSET(ORÇAMENTO!$D$15,CRONO!$F74,0)))
                +IF(AND($F76&lt;&gt;"",$F76&lt;&gt;0),
                        SUMIF(CÁLCULO!$AM$15:$AW$89,CRONO!X$12,CÁLCULO!$AB$15:$AL$89)/(ORÇAMENTO!$X$15-CÁLCULO.TotalAdmLocal)*CRONO!$F76,
                        0),
                 X75*$S74),
          SUMIF(OFFSET($S76,1,0,$R74-2),($M74+1)&amp;"$",OFFSET(X76,1,0,$R74-2)))</f>
        <v>0</v>
      </c>
      <c r="Y76" s="212">
        <f ca="1">IF($R74=2,
         IF(AND(ACOMPANHAMENTO="PLE",ISNUMBER($F74)),
                SUMIF((OFFSET(CÁLCULO!$AM$15:$AW$15,$F74,0,OFFSET(ORÇAMENTO!$D$15,CRONO!$F74,0))),CRONO!Y$12,OFFSET(CÁLCULO!$AB$15:$AL$15,$F74,0,OFFSET(ORÇAMENTO!$D$15,CRONO!$F74,0)))
                +IF(AND($F76&lt;&gt;"",$F76&lt;&gt;0),
                        SUMIF(CÁLCULO!$AM$15:$AW$89,CRONO!Y$12,CÁLCULO!$AB$15:$AL$89)/(ORÇAMENTO!$X$15-CÁLCULO.TotalAdmLocal)*CRONO!$F76,
                        0),
                 Y75*$S74),
          SUMIF(OFFSET($S76,1,0,$R74-2),($M74+1)&amp;"$",OFFSET(Y76,1,0,$R74-2)))</f>
        <v>0</v>
      </c>
      <c r="Z76" s="212">
        <f ca="1">IF($R74=2,
         IF(AND(ACOMPANHAMENTO="PLE",ISNUMBER($F74)),
                SUMIF((OFFSET(CÁLCULO!$AM$15:$AW$15,$F74,0,OFFSET(ORÇAMENTO!$D$15,CRONO!$F74,0))),CRONO!Z$12,OFFSET(CÁLCULO!$AB$15:$AL$15,$F74,0,OFFSET(ORÇAMENTO!$D$15,CRONO!$F74,0)))
                +IF(AND($F76&lt;&gt;"",$F76&lt;&gt;0),
                        SUMIF(CÁLCULO!$AM$15:$AW$89,CRONO!Z$12,CÁLCULO!$AB$15:$AL$89)/(ORÇAMENTO!$X$15-CÁLCULO.TotalAdmLocal)*CRONO!$F76,
                        0),
                 Z75*$S74),
          SUMIF(OFFSET($S76,1,0,$R74-2),($M74+1)&amp;"$",OFFSET(Z76,1,0,$R74-2)))</f>
        <v>0</v>
      </c>
      <c r="AA76" s="212">
        <f ca="1">IF($R74=2,
         IF(AND(ACOMPANHAMENTO="PLE",ISNUMBER($F74)),
                SUMIF((OFFSET(CÁLCULO!$AM$15:$AW$15,$F74,0,OFFSET(ORÇAMENTO!$D$15,CRONO!$F74,0))),CRONO!AA$12,OFFSET(CÁLCULO!$AB$15:$AL$15,$F74,0,OFFSET(ORÇAMENTO!$D$15,CRONO!$F74,0)))
                +IF(AND($F76&lt;&gt;"",$F76&lt;&gt;0),
                        SUMIF(CÁLCULO!$AM$15:$AW$89,CRONO!AA$12,CÁLCULO!$AB$15:$AL$89)/(ORÇAMENTO!$X$15-CÁLCULO.TotalAdmLocal)*CRONO!$F76,
                        0),
                 AA75*$S74),
          SUMIF(OFFSET($S76,1,0,$R74-2),($M74+1)&amp;"$",OFFSET(AA76,1,0,$R74-2)))</f>
        <v>0</v>
      </c>
      <c r="AB76" s="212">
        <f ca="1">IF($R74=2,
         IF(AND(ACOMPANHAMENTO="PLE",ISNUMBER($F74)),
                SUMIF((OFFSET(CÁLCULO!$AM$15:$AW$15,$F74,0,OFFSET(ORÇAMENTO!$D$15,CRONO!$F74,0))),CRONO!AB$12,OFFSET(CÁLCULO!$AB$15:$AL$15,$F74,0,OFFSET(ORÇAMENTO!$D$15,CRONO!$F74,0)))
                +IF(AND($F76&lt;&gt;"",$F76&lt;&gt;0),
                        SUMIF(CÁLCULO!$AM$15:$AW$89,CRONO!AB$12,CÁLCULO!$AB$15:$AL$89)/(ORÇAMENTO!$X$15-CÁLCULO.TotalAdmLocal)*CRONO!$F76,
                        0),
                 AB75*$S74),
          SUMIF(OFFSET($S76,1,0,$R74-2),($M74+1)&amp;"$",OFFSET(AB76,1,0,$R74-2)))</f>
        <v>0</v>
      </c>
      <c r="AC76" s="212">
        <f ca="1">IF($R74=2,
         IF(AND(ACOMPANHAMENTO="PLE",ISNUMBER($F74)),
                SUMIF((OFFSET(CÁLCULO!$AM$15:$AW$15,$F74,0,OFFSET(ORÇAMENTO!$D$15,CRONO!$F74,0))),CRONO!AC$12,OFFSET(CÁLCULO!$AB$15:$AL$15,$F74,0,OFFSET(ORÇAMENTO!$D$15,CRONO!$F74,0)))
                +IF(AND($F76&lt;&gt;"",$F76&lt;&gt;0),
                        SUMIF(CÁLCULO!$AM$15:$AW$89,CRONO!AC$12,CÁLCULO!$AB$15:$AL$89)/(ORÇAMENTO!$X$15-CÁLCULO.TotalAdmLocal)*CRONO!$F76,
                        0),
                 AC75*$S74),
          SUMIF(OFFSET($S76,1,0,$R74-2),($M74+1)&amp;"$",OFFSET(AC76,1,0,$R74-2)))</f>
        <v>0</v>
      </c>
      <c r="AD76" s="212">
        <f ca="1">IF($R74=2,
         IF(AND(ACOMPANHAMENTO="PLE",ISNUMBER($F74)),
                SUMIF((OFFSET(CÁLCULO!$AM$15:$AW$15,$F74,0,OFFSET(ORÇAMENTO!$D$15,CRONO!$F74,0))),CRONO!AD$12,OFFSET(CÁLCULO!$AB$15:$AL$15,$F74,0,OFFSET(ORÇAMENTO!$D$15,CRONO!$F74,0)))
                +IF(AND($F76&lt;&gt;"",$F76&lt;&gt;0),
                        SUMIF(CÁLCULO!$AM$15:$AW$89,CRONO!AD$12,CÁLCULO!$AB$15:$AL$89)/(ORÇAMENTO!$X$15-CÁLCULO.TotalAdmLocal)*CRONO!$F76,
                        0),
                 AD75*$S74),
          SUMIF(OFFSET($S76,1,0,$R74-2),($M74+1)&amp;"$",OFFSET(AD76,1,0,$R74-2)))</f>
        <v>0</v>
      </c>
      <c r="AE76" s="212">
        <f ca="1">IF($R74=2,
         IF(AND(ACOMPANHAMENTO="PLE",ISNUMBER($F74)),
                SUMIF((OFFSET(CÁLCULO!$AM$15:$AW$15,$F74,0,OFFSET(ORÇAMENTO!$D$15,CRONO!$F74,0))),CRONO!AE$12,OFFSET(CÁLCULO!$AB$15:$AL$15,$F74,0,OFFSET(ORÇAMENTO!$D$15,CRONO!$F74,0)))
                +IF(AND($F76&lt;&gt;"",$F76&lt;&gt;0),
                        SUMIF(CÁLCULO!$AM$15:$AW$89,CRONO!AE$12,CÁLCULO!$AB$15:$AL$89)/(ORÇAMENTO!$X$15-CÁLCULO.TotalAdmLocal)*CRONO!$F76,
                        0),
                 AE75*$S74),
          SUMIF(OFFSET($S76,1,0,$R74-2),($M74+1)&amp;"$",OFFSET(AE76,1,0,$R74-2)))</f>
        <v>0</v>
      </c>
      <c r="AF76" s="212">
        <f ca="1">IF($R74=2,
         IF(AND(ACOMPANHAMENTO="PLE",ISNUMBER($F74)),
                SUMIF((OFFSET(CÁLCULO!$AM$15:$AW$15,$F74,0,OFFSET(ORÇAMENTO!$D$15,CRONO!$F74,0))),CRONO!AF$12,OFFSET(CÁLCULO!$AB$15:$AL$15,$F74,0,OFFSET(ORÇAMENTO!$D$15,CRONO!$F74,0)))
                +IF(AND($F76&lt;&gt;"",$F76&lt;&gt;0),
                        SUMIF(CÁLCULO!$AM$15:$AW$89,CRONO!AF$12,CÁLCULO!$AB$15:$AL$89)/(ORÇAMENTO!$X$15-CÁLCULO.TotalAdmLocal)*CRONO!$F76,
                        0),
                 AF75*$S74),
          SUMIF(OFFSET($S76,1,0,$R74-2),($M74+1)&amp;"$",OFFSET(AF76,1,0,$R74-2)))</f>
        <v>0</v>
      </c>
      <c r="AG76" s="577"/>
    </row>
    <row r="77" spans="1:33" hidden="1" x14ac:dyDescent="0.2">
      <c r="A77" s="196" t="str">
        <f ca="1">IF($M77&gt;1,CONCATENATE($I77," ",$J77),"")</f>
        <v/>
      </c>
      <c r="B77" s="195">
        <f ca="1">OFFSET(B77,-3,0)+1</f>
        <v>22</v>
      </c>
      <c r="C77" s="195">
        <f ca="1">IF($R77&lt;&gt;2,0,IF($S77=0,1,IF(F78&gt;0,OFFSET(QCI!$M$13,SUBSTITUTE(F78,".",""),0),OFFSET(ORÇAMENTO!$AA$15,CRONO!$F77,0))/$S77))</f>
        <v>0</v>
      </c>
      <c r="D77" s="195">
        <f ca="1">IF($R77&lt;&gt;2,0,IF($S77=0,1,IF(F78&gt;0,OFFSET(QCI!$N$13,SUBSTITUTE(F78,".",""),0),OFFSET(ORÇAMENTO!$AB$15,CRONO!$F77,0))/$S77))</f>
        <v>0</v>
      </c>
      <c r="E77" s="198" t="e">
        <f ca="1">IF(AND($R77=2,ACOMPANHAMENTO="BM"),ROUND(E78,4),E79/$S77)</f>
        <v>#VALUE!</v>
      </c>
      <c r="F77" s="195" t="e">
        <f ca="1">IF(B77&lt;=ORÇAMENTO.MáximoListaCrono,MATCH(B77,ORÇAMENTO.ListaCrono,0),NA())</f>
        <v>#N/A</v>
      </c>
      <c r="G77" s="195" t="str">
        <f ca="1">IF(AND($F78&lt;&gt;-1,$S77&gt;0),"F","")</f>
        <v/>
      </c>
      <c r="H77" s="199" t="str">
        <f ca="1">IF(OR(S77=0,S77=""),"Linha",IF(AND(OR(ACOMPANHAMENTO="PLE",$R77&lt;&gt;2),$F78=0),"Linha",ROUND(1-SUM(U77:AG77),4)))</f>
        <v>Linha</v>
      </c>
      <c r="I77" s="200" t="str">
        <f ca="1">IF($F78=0,OFFSET(ORÇAMENTO!O$15,$F77,0),IF($F78&lt;&gt;-1,OFFSET(QCI!$D$13,$F78,0),""))</f>
        <v/>
      </c>
      <c r="J77" s="201" t="str">
        <f ca="1">IF($F78=0,OFFSET(ORÇAMENTO!R$15,$F77,0),IF($F78&lt;&gt;-1,OFFSET(QCI!$G$13,$F78,0),""))</f>
        <v/>
      </c>
      <c r="K77" s="201"/>
      <c r="L77" s="201"/>
      <c r="M77" s="202">
        <f ca="1">IF($F78=0,OFFSET(ORÇAMENTO!C$15,$F77,0),1)</f>
        <v>1</v>
      </c>
      <c r="N77" s="203">
        <f ca="1">IF($F78=-1,0,IF(N$13&lt;=$M77,IF(ISERROR(MATCH(N$13,OFFSET($M77,1,0,ROW($M$92)-ROW($M77)-1),0)),ROW($M$92)-ROW($M77)-1,MATCH(N$13,OFFSET($M77,1,0,ROW($M$92)-ROW($M77)-1),0)-1),0))</f>
        <v>0</v>
      </c>
      <c r="O77" s="203">
        <f ca="1">IF($F78=-1,0,IF(O$13&lt;=$M77,IF(ISERROR(MATCH(O$13,OFFSET($M77,1,0,ROW($M$92)-ROW($M77)-1),0)),ROW($M$92)-ROW($M77)-1,MATCH(O$13,OFFSET($M77,1,0,ROW($M$92)-ROW($M77)-1),0)-1),0))</f>
        <v>0</v>
      </c>
      <c r="P77" s="203">
        <f ca="1">IF($F78=-1,0,IF(P$13&lt;=$M77,IF(ISERROR(MATCH(P$13,OFFSET($M77,1,0,ROW($M$92)-ROW($M77)-1),0)),ROW($M$92)-ROW($M77)-1,MATCH(P$13,OFFSET($M77,1,0,ROW($M$92)-ROW($M77)-1),0)-1),0))</f>
        <v>0</v>
      </c>
      <c r="Q77" s="203">
        <f ca="1">IF($F78=-1,0,IF(Q$13&lt;=$M77,IF(ISERROR(MATCH(Q$13,OFFSET($M77,1,0,ROW($M$92)-ROW($M77)-1),0)),ROW($M$92)-ROW($M77)-1,MATCH(Q$13,OFFSET($M77,1,0,ROW($M$92)-ROW($M77)-1),0)-1),0))</f>
        <v>0</v>
      </c>
      <c r="R77" s="203">
        <f ca="1">MIN(OFFSET(M77,0,1,,M77))</f>
        <v>0</v>
      </c>
      <c r="S77" s="204" t="str">
        <f ca="1">IF($F78=0,OFFSET(ORÇAMENTO!X$15,$F77,0),IF($F78&lt;&gt;-1,OFFSET(QCI!$O$13,$F78,0),""))</f>
        <v/>
      </c>
      <c r="T77" s="205" t="s">
        <v>266</v>
      </c>
      <c r="U77" s="198" t="e">
        <f ca="1">IF(AND($R77=2,ACOMPANHAMENTO="BM"),ROUND(U78,4),U79/$S77)</f>
        <v>#VALUE!</v>
      </c>
      <c r="V77" s="198" t="e">
        <f ca="1">IF(AND($R77=2,ACOMPANHAMENTO="BM"),ROUND(V78,4),V79/$S77)</f>
        <v>#VALUE!</v>
      </c>
      <c r="W77" s="198" t="e">
        <f ca="1">IF(AND($R77=2,ACOMPANHAMENTO="BM"),ROUND(W78,4),W79/$S77)</f>
        <v>#VALUE!</v>
      </c>
      <c r="X77" s="198" t="e">
        <f ca="1">IF(AND($R77=2,ACOMPANHAMENTO="BM"),ROUND(X78,4),X79/$S77)</f>
        <v>#VALUE!</v>
      </c>
      <c r="Y77" s="198" t="e">
        <f ca="1">IF(AND($R77=2,ACOMPANHAMENTO="BM"),ROUND(Y78,4),Y79/$S77)</f>
        <v>#VALUE!</v>
      </c>
      <c r="Z77" s="198" t="e">
        <f ca="1">IF(AND($R77=2,ACOMPANHAMENTO="BM"),ROUND(Z78,4),Z79/$S77)</f>
        <v>#VALUE!</v>
      </c>
      <c r="AA77" s="198" t="e">
        <f ca="1">IF(AND($R77=2,ACOMPANHAMENTO="BM"),ROUND(AA78,4),AA79/$S77)</f>
        <v>#VALUE!</v>
      </c>
      <c r="AB77" s="198" t="e">
        <f ca="1">IF(AND($R77=2,ACOMPANHAMENTO="BM"),ROUND(AB78,4),AB79/$S77)</f>
        <v>#VALUE!</v>
      </c>
      <c r="AC77" s="198" t="e">
        <f ca="1">IF(AND($R77=2,ACOMPANHAMENTO="BM"),ROUND(AC78,4),AC79/$S77)</f>
        <v>#VALUE!</v>
      </c>
      <c r="AD77" s="198" t="e">
        <f ca="1">IF(AND($R77=2,ACOMPANHAMENTO="BM"),ROUND(AD78,4),AD79/$S77)</f>
        <v>#VALUE!</v>
      </c>
      <c r="AE77" s="198" t="e">
        <f ca="1">IF(AND($R77=2,ACOMPANHAMENTO="BM"),ROUND(AE78,4),AE79/$S77)</f>
        <v>#VALUE!</v>
      </c>
      <c r="AF77" s="198" t="e">
        <f ca="1">IF(AND($R77=2,ACOMPANHAMENTO="BM"),ROUND(AF78,4),AF79/$S77)</f>
        <v>#VALUE!</v>
      </c>
      <c r="AG77" s="577"/>
    </row>
    <row r="78" spans="1:33" ht="12.75" hidden="1" customHeight="1" x14ac:dyDescent="0.2">
      <c r="E78" s="646"/>
      <c r="F78" s="195">
        <f ca="1">IF(ISERROR(F77),IF(1+COUNTIF($M$13:OFFSET(M77,-1,0),1)&lt;=MAX(QCI!$D$13:$D$24),1+COUNTIF($M$13:OFFSET(M77,-1,0),1),-1),0)</f>
        <v>-1</v>
      </c>
      <c r="G78" s="195" t="str">
        <f ca="1">IF(ACOMPANHAMENTO="BM",OFFSET(G78,-1,0),"")</f>
        <v/>
      </c>
      <c r="H78" s="206" t="str">
        <f ca="1">IF(OR(S77=0,S77=""),"vazia",IF(AND(OR(ACOMPANHAMENTO="PLE",$R77&lt;&gt;2),$F78=0),"calculada","--&gt;"))</f>
        <v>vazia</v>
      </c>
      <c r="I78" s="207"/>
      <c r="J78" s="208" t="str">
        <f ca="1">IF(AND(H77&lt;&gt;0,ISNUMBER(H77)),"PREENCHA ESTA LINHA --&gt;","")</f>
        <v/>
      </c>
      <c r="K78" s="208"/>
      <c r="L78" s="208"/>
      <c r="M78" s="209"/>
      <c r="N78" s="209"/>
      <c r="O78" s="209"/>
      <c r="P78" s="209"/>
      <c r="Q78" s="209"/>
      <c r="R78" s="209"/>
      <c r="S78" s="210"/>
      <c r="T78" s="211"/>
      <c r="U78" s="646"/>
      <c r="V78" s="646"/>
      <c r="W78" s="646"/>
      <c r="X78" s="646"/>
      <c r="Y78" s="646"/>
      <c r="Z78" s="646"/>
      <c r="AA78" s="646"/>
      <c r="AB78" s="646"/>
      <c r="AC78" s="646"/>
      <c r="AD78" s="646"/>
      <c r="AE78" s="646"/>
      <c r="AF78" s="646"/>
      <c r="AG78" s="577"/>
    </row>
    <row r="79" spans="1:33" ht="12.75" hidden="1" customHeight="1" x14ac:dyDescent="0.2">
      <c r="D79" s="576"/>
      <c r="E79" s="212">
        <f ca="1">IF($R77=2,
         IF(AND(ACOMPANHAMENTO="PLE",ISNUMBER($F77)),
                SUMIF((OFFSET(CÁLCULO!$AM$15:$AW$15,$F77,0,OFFSET(ORÇAMENTO!$D$15,CRONO!$F77,0))),CRONO!E$12,OFFSET(CÁLCULO!$AB$15:$AL$15,$F77,0,OFFSET(ORÇAMENTO!$D$15,CRONO!$F77,0)))
                +IF(AND($F79&lt;&gt;"",$F79&lt;&gt;0),
                        SUMIF(CÁLCULO!$AM$15:$AW$89,CRONO!E$12,CÁLCULO!$AB$15:$AL$89)/(ORÇAMENTO!$X$15-CÁLCULO.TotalAdmLocal)*CRONO!$F79,
                        0),
                 E78*$S77),
          SUMIF(OFFSET($S79,1,0,$R77-2),($M77+1)&amp;"$",OFFSET(E79,1,0,$R77-2)))</f>
        <v>0</v>
      </c>
      <c r="F79" s="195" t="str">
        <f ca="1">IF(OR($R77&lt;&gt;2,AUTOEVENTO&lt;&gt;"manual",$F78&gt;0),"",
        IF(Import.TipoArredondamento="Tradicional",
              SUMIF(OFFSET(CÁLCULO!$M$15,CRONO!$F77,0,OFFSET(ORÇAMENTO!$D$15,CRONO!$F77,0)),1,OFFSET(ORÇAMENTO!$X$15,CRONO!$F77,0,OFFSET(ORÇAMENTO!$D$15,CRONO!$F77,0))),
              0))</f>
        <v/>
      </c>
      <c r="H79" s="213"/>
      <c r="S79" s="214" t="str">
        <f ca="1">M77&amp;"$"</f>
        <v>1$</v>
      </c>
      <c r="T79" s="215"/>
      <c r="U79" s="212">
        <f ca="1">IF($R77=2,
         IF(AND(ACOMPANHAMENTO="PLE",ISNUMBER($F77)),
                SUMIF((OFFSET(CÁLCULO!$AM$15:$AW$15,$F77,0,OFFSET(ORÇAMENTO!$D$15,CRONO!$F77,0))),CRONO!U$12,OFFSET(CÁLCULO!$AB$15:$AL$15,$F77,0,OFFSET(ORÇAMENTO!$D$15,CRONO!$F77,0)))
                +IF(AND($F79&lt;&gt;"",$F79&lt;&gt;0),
                        SUMIF(CÁLCULO!$AM$15:$AW$89,CRONO!U$12,CÁLCULO!$AB$15:$AL$89)/(ORÇAMENTO!$X$15-CÁLCULO.TotalAdmLocal)*CRONO!$F79,
                        0),
                 U78*$S77),
          SUMIF(OFFSET($S79,1,0,$R77-2),($M77+1)&amp;"$",OFFSET(U79,1,0,$R77-2)))</f>
        <v>0</v>
      </c>
      <c r="V79" s="212">
        <f ca="1">IF($R77=2,
         IF(AND(ACOMPANHAMENTO="PLE",ISNUMBER($F77)),
                SUMIF((OFFSET(CÁLCULO!$AM$15:$AW$15,$F77,0,OFFSET(ORÇAMENTO!$D$15,CRONO!$F77,0))),CRONO!V$12,OFFSET(CÁLCULO!$AB$15:$AL$15,$F77,0,OFFSET(ORÇAMENTO!$D$15,CRONO!$F77,0)))
                +IF(AND($F79&lt;&gt;"",$F79&lt;&gt;0),
                        SUMIF(CÁLCULO!$AM$15:$AW$89,CRONO!V$12,CÁLCULO!$AB$15:$AL$89)/(ORÇAMENTO!$X$15-CÁLCULO.TotalAdmLocal)*CRONO!$F79,
                        0),
                 V78*$S77),
          SUMIF(OFFSET($S79,1,0,$R77-2),($M77+1)&amp;"$",OFFSET(V79,1,0,$R77-2)))</f>
        <v>0</v>
      </c>
      <c r="W79" s="212">
        <f ca="1">IF($R77=2,
         IF(AND(ACOMPANHAMENTO="PLE",ISNUMBER($F77)),
                SUMIF((OFFSET(CÁLCULO!$AM$15:$AW$15,$F77,0,OFFSET(ORÇAMENTO!$D$15,CRONO!$F77,0))),CRONO!W$12,OFFSET(CÁLCULO!$AB$15:$AL$15,$F77,0,OFFSET(ORÇAMENTO!$D$15,CRONO!$F77,0)))
                +IF(AND($F79&lt;&gt;"",$F79&lt;&gt;0),
                        SUMIF(CÁLCULO!$AM$15:$AW$89,CRONO!W$12,CÁLCULO!$AB$15:$AL$89)/(ORÇAMENTO!$X$15-CÁLCULO.TotalAdmLocal)*CRONO!$F79,
                        0),
                 W78*$S77),
          SUMIF(OFFSET($S79,1,0,$R77-2),($M77+1)&amp;"$",OFFSET(W79,1,0,$R77-2)))</f>
        <v>0</v>
      </c>
      <c r="X79" s="212">
        <f ca="1">IF($R77=2,
         IF(AND(ACOMPANHAMENTO="PLE",ISNUMBER($F77)),
                SUMIF((OFFSET(CÁLCULO!$AM$15:$AW$15,$F77,0,OFFSET(ORÇAMENTO!$D$15,CRONO!$F77,0))),CRONO!X$12,OFFSET(CÁLCULO!$AB$15:$AL$15,$F77,0,OFFSET(ORÇAMENTO!$D$15,CRONO!$F77,0)))
                +IF(AND($F79&lt;&gt;"",$F79&lt;&gt;0),
                        SUMIF(CÁLCULO!$AM$15:$AW$89,CRONO!X$12,CÁLCULO!$AB$15:$AL$89)/(ORÇAMENTO!$X$15-CÁLCULO.TotalAdmLocal)*CRONO!$F79,
                        0),
                 X78*$S77),
          SUMIF(OFFSET($S79,1,0,$R77-2),($M77+1)&amp;"$",OFFSET(X79,1,0,$R77-2)))</f>
        <v>0</v>
      </c>
      <c r="Y79" s="212">
        <f ca="1">IF($R77=2,
         IF(AND(ACOMPANHAMENTO="PLE",ISNUMBER($F77)),
                SUMIF((OFFSET(CÁLCULO!$AM$15:$AW$15,$F77,0,OFFSET(ORÇAMENTO!$D$15,CRONO!$F77,0))),CRONO!Y$12,OFFSET(CÁLCULO!$AB$15:$AL$15,$F77,0,OFFSET(ORÇAMENTO!$D$15,CRONO!$F77,0)))
                +IF(AND($F79&lt;&gt;"",$F79&lt;&gt;0),
                        SUMIF(CÁLCULO!$AM$15:$AW$89,CRONO!Y$12,CÁLCULO!$AB$15:$AL$89)/(ORÇAMENTO!$X$15-CÁLCULO.TotalAdmLocal)*CRONO!$F79,
                        0),
                 Y78*$S77),
          SUMIF(OFFSET($S79,1,0,$R77-2),($M77+1)&amp;"$",OFFSET(Y79,1,0,$R77-2)))</f>
        <v>0</v>
      </c>
      <c r="Z79" s="212">
        <f ca="1">IF($R77=2,
         IF(AND(ACOMPANHAMENTO="PLE",ISNUMBER($F77)),
                SUMIF((OFFSET(CÁLCULO!$AM$15:$AW$15,$F77,0,OFFSET(ORÇAMENTO!$D$15,CRONO!$F77,0))),CRONO!Z$12,OFFSET(CÁLCULO!$AB$15:$AL$15,$F77,0,OFFSET(ORÇAMENTO!$D$15,CRONO!$F77,0)))
                +IF(AND($F79&lt;&gt;"",$F79&lt;&gt;0),
                        SUMIF(CÁLCULO!$AM$15:$AW$89,CRONO!Z$12,CÁLCULO!$AB$15:$AL$89)/(ORÇAMENTO!$X$15-CÁLCULO.TotalAdmLocal)*CRONO!$F79,
                        0),
                 Z78*$S77),
          SUMIF(OFFSET($S79,1,0,$R77-2),($M77+1)&amp;"$",OFFSET(Z79,1,0,$R77-2)))</f>
        <v>0</v>
      </c>
      <c r="AA79" s="212">
        <f ca="1">IF($R77=2,
         IF(AND(ACOMPANHAMENTO="PLE",ISNUMBER($F77)),
                SUMIF((OFFSET(CÁLCULO!$AM$15:$AW$15,$F77,0,OFFSET(ORÇAMENTO!$D$15,CRONO!$F77,0))),CRONO!AA$12,OFFSET(CÁLCULO!$AB$15:$AL$15,$F77,0,OFFSET(ORÇAMENTO!$D$15,CRONO!$F77,0)))
                +IF(AND($F79&lt;&gt;"",$F79&lt;&gt;0),
                        SUMIF(CÁLCULO!$AM$15:$AW$89,CRONO!AA$12,CÁLCULO!$AB$15:$AL$89)/(ORÇAMENTO!$X$15-CÁLCULO.TotalAdmLocal)*CRONO!$F79,
                        0),
                 AA78*$S77),
          SUMIF(OFFSET($S79,1,0,$R77-2),($M77+1)&amp;"$",OFFSET(AA79,1,0,$R77-2)))</f>
        <v>0</v>
      </c>
      <c r="AB79" s="212">
        <f ca="1">IF($R77=2,
         IF(AND(ACOMPANHAMENTO="PLE",ISNUMBER($F77)),
                SUMIF((OFFSET(CÁLCULO!$AM$15:$AW$15,$F77,0,OFFSET(ORÇAMENTO!$D$15,CRONO!$F77,0))),CRONO!AB$12,OFFSET(CÁLCULO!$AB$15:$AL$15,$F77,0,OFFSET(ORÇAMENTO!$D$15,CRONO!$F77,0)))
                +IF(AND($F79&lt;&gt;"",$F79&lt;&gt;0),
                        SUMIF(CÁLCULO!$AM$15:$AW$89,CRONO!AB$12,CÁLCULO!$AB$15:$AL$89)/(ORÇAMENTO!$X$15-CÁLCULO.TotalAdmLocal)*CRONO!$F79,
                        0),
                 AB78*$S77),
          SUMIF(OFFSET($S79,1,0,$R77-2),($M77+1)&amp;"$",OFFSET(AB79,1,0,$R77-2)))</f>
        <v>0</v>
      </c>
      <c r="AC79" s="212">
        <f ca="1">IF($R77=2,
         IF(AND(ACOMPANHAMENTO="PLE",ISNUMBER($F77)),
                SUMIF((OFFSET(CÁLCULO!$AM$15:$AW$15,$F77,0,OFFSET(ORÇAMENTO!$D$15,CRONO!$F77,0))),CRONO!AC$12,OFFSET(CÁLCULO!$AB$15:$AL$15,$F77,0,OFFSET(ORÇAMENTO!$D$15,CRONO!$F77,0)))
                +IF(AND($F79&lt;&gt;"",$F79&lt;&gt;0),
                        SUMIF(CÁLCULO!$AM$15:$AW$89,CRONO!AC$12,CÁLCULO!$AB$15:$AL$89)/(ORÇAMENTO!$X$15-CÁLCULO.TotalAdmLocal)*CRONO!$F79,
                        0),
                 AC78*$S77),
          SUMIF(OFFSET($S79,1,0,$R77-2),($M77+1)&amp;"$",OFFSET(AC79,1,0,$R77-2)))</f>
        <v>0</v>
      </c>
      <c r="AD79" s="212">
        <f ca="1">IF($R77=2,
         IF(AND(ACOMPANHAMENTO="PLE",ISNUMBER($F77)),
                SUMIF((OFFSET(CÁLCULO!$AM$15:$AW$15,$F77,0,OFFSET(ORÇAMENTO!$D$15,CRONO!$F77,0))),CRONO!AD$12,OFFSET(CÁLCULO!$AB$15:$AL$15,$F77,0,OFFSET(ORÇAMENTO!$D$15,CRONO!$F77,0)))
                +IF(AND($F79&lt;&gt;"",$F79&lt;&gt;0),
                        SUMIF(CÁLCULO!$AM$15:$AW$89,CRONO!AD$12,CÁLCULO!$AB$15:$AL$89)/(ORÇAMENTO!$X$15-CÁLCULO.TotalAdmLocal)*CRONO!$F79,
                        0),
                 AD78*$S77),
          SUMIF(OFFSET($S79,1,0,$R77-2),($M77+1)&amp;"$",OFFSET(AD79,1,0,$R77-2)))</f>
        <v>0</v>
      </c>
      <c r="AE79" s="212">
        <f ca="1">IF($R77=2,
         IF(AND(ACOMPANHAMENTO="PLE",ISNUMBER($F77)),
                SUMIF((OFFSET(CÁLCULO!$AM$15:$AW$15,$F77,0,OFFSET(ORÇAMENTO!$D$15,CRONO!$F77,0))),CRONO!AE$12,OFFSET(CÁLCULO!$AB$15:$AL$15,$F77,0,OFFSET(ORÇAMENTO!$D$15,CRONO!$F77,0)))
                +IF(AND($F79&lt;&gt;"",$F79&lt;&gt;0),
                        SUMIF(CÁLCULO!$AM$15:$AW$89,CRONO!AE$12,CÁLCULO!$AB$15:$AL$89)/(ORÇAMENTO!$X$15-CÁLCULO.TotalAdmLocal)*CRONO!$F79,
                        0),
                 AE78*$S77),
          SUMIF(OFFSET($S79,1,0,$R77-2),($M77+1)&amp;"$",OFFSET(AE79,1,0,$R77-2)))</f>
        <v>0</v>
      </c>
      <c r="AF79" s="212">
        <f ca="1">IF($R77=2,
         IF(AND(ACOMPANHAMENTO="PLE",ISNUMBER($F77)),
                SUMIF((OFFSET(CÁLCULO!$AM$15:$AW$15,$F77,0,OFFSET(ORÇAMENTO!$D$15,CRONO!$F77,0))),CRONO!AF$12,OFFSET(CÁLCULO!$AB$15:$AL$15,$F77,0,OFFSET(ORÇAMENTO!$D$15,CRONO!$F77,0)))
                +IF(AND($F79&lt;&gt;"",$F79&lt;&gt;0),
                        SUMIF(CÁLCULO!$AM$15:$AW$89,CRONO!AF$12,CÁLCULO!$AB$15:$AL$89)/(ORÇAMENTO!$X$15-CÁLCULO.TotalAdmLocal)*CRONO!$F79,
                        0),
                 AF78*$S77),
          SUMIF(OFFSET($S79,1,0,$R77-2),($M77+1)&amp;"$",OFFSET(AF79,1,0,$R77-2)))</f>
        <v>0</v>
      </c>
      <c r="AG79" s="577"/>
    </row>
    <row r="80" spans="1:33" hidden="1" x14ac:dyDescent="0.2">
      <c r="A80" s="196" t="str">
        <f t="shared" ref="A80" ca="1" si="128">IF($M80&gt;1,CONCATENATE($I80," ",$J80),"")</f>
        <v/>
      </c>
      <c r="B80" s="195">
        <f t="shared" ref="B80" ca="1" si="129">OFFSET(B80,-3,0)+1</f>
        <v>23</v>
      </c>
      <c r="C80" s="195">
        <f ca="1">IF($R80&lt;&gt;2,0,IF($S80=0,1,IF(F81&gt;0,OFFSET(QCI!$M$13,SUBSTITUTE(F81,".",""),0),OFFSET(ORÇAMENTO!$AA$15,CRONO!$F80,0))/$S80))</f>
        <v>0</v>
      </c>
      <c r="D80" s="195">
        <f ca="1">IF($R80&lt;&gt;2,0,IF($S80=0,1,IF(F81&gt;0,OFFSET(QCI!$N$13,SUBSTITUTE(F81,".",""),0),OFFSET(ORÇAMENTO!$AB$15,CRONO!$F80,0))/$S80))</f>
        <v>0</v>
      </c>
      <c r="E80" s="198" t="e">
        <f ca="1">IF(AND($R80=2,ACOMPANHAMENTO="BM"),ROUND(E81,4),E82/$S80)</f>
        <v>#VALUE!</v>
      </c>
      <c r="F80" s="195" t="e">
        <f ca="1">IF(B80&lt;=ORÇAMENTO.MáximoListaCrono,MATCH(B80,ORÇAMENTO.ListaCrono,0),NA())</f>
        <v>#N/A</v>
      </c>
      <c r="G80" s="195" t="str">
        <f t="shared" ref="G80" ca="1" si="130">IF(AND($F81&lt;&gt;-1,$S80&gt;0),"F","")</f>
        <v/>
      </c>
      <c r="H80" s="199" t="str">
        <f ca="1">IF(OR(S80=0,S80=""),"Linha",IF(AND(OR(ACOMPANHAMENTO="PLE",$R80&lt;&gt;2),$F81=0),"Linha",ROUND(1-SUM(U80:AG80),4)))</f>
        <v>Linha</v>
      </c>
      <c r="I80" s="200" t="str">
        <f ca="1">IF($F81=0,OFFSET(ORÇAMENTO!O$15,$F80,0),IF($F81&lt;&gt;-1,OFFSET(QCI!$D$13,$F81,0),""))</f>
        <v/>
      </c>
      <c r="J80" s="201" t="str">
        <f ca="1">IF($F81=0,OFFSET(ORÇAMENTO!R$15,$F80,0),IF($F81&lt;&gt;-1,OFFSET(QCI!$G$13,$F81,0),""))</f>
        <v/>
      </c>
      <c r="K80" s="201"/>
      <c r="L80" s="201"/>
      <c r="M80" s="202">
        <f ca="1">IF($F81=0,OFFSET(ORÇAMENTO!C$15,$F80,0),1)</f>
        <v>1</v>
      </c>
      <c r="N80" s="203">
        <f ca="1">IF($F81=-1,0,IF(N$13&lt;=$M80,IF(ISERROR(MATCH(N$13,OFFSET($M80,1,0,ROW($M$92)-ROW($M80)-1),0)),ROW($M$92)-ROW($M80)-1,MATCH(N$13,OFFSET($M80,1,0,ROW($M$92)-ROW($M80)-1),0)-1),0))</f>
        <v>0</v>
      </c>
      <c r="O80" s="203">
        <f ca="1">IF($F81=-1,0,IF(O$13&lt;=$M80,IF(ISERROR(MATCH(O$13,OFFSET($M80,1,0,ROW($M$92)-ROW($M80)-1),0)),ROW($M$92)-ROW($M80)-1,MATCH(O$13,OFFSET($M80,1,0,ROW($M$92)-ROW($M80)-1),0)-1),0))</f>
        <v>0</v>
      </c>
      <c r="P80" s="203">
        <f ca="1">IF($F81=-1,0,IF(P$13&lt;=$M80,IF(ISERROR(MATCH(P$13,OFFSET($M80,1,0,ROW($M$92)-ROW($M80)-1),0)),ROW($M$92)-ROW($M80)-1,MATCH(P$13,OFFSET($M80,1,0,ROW($M$92)-ROW($M80)-1),0)-1),0))</f>
        <v>0</v>
      </c>
      <c r="Q80" s="203">
        <f ca="1">IF($F81=-1,0,IF(Q$13&lt;=$M80,IF(ISERROR(MATCH(Q$13,OFFSET($M80,1,0,ROW($M$92)-ROW($M80)-1),0)),ROW($M$92)-ROW($M80)-1,MATCH(Q$13,OFFSET($M80,1,0,ROW($M$92)-ROW($M80)-1),0)-1),0))</f>
        <v>0</v>
      </c>
      <c r="R80" s="203">
        <f t="shared" ref="R80" ca="1" si="131">MIN(OFFSET(M80,0,1,,M80))</f>
        <v>0</v>
      </c>
      <c r="S80" s="204" t="str">
        <f ca="1">IF($F81=0,OFFSET(ORÇAMENTO!X$15,$F80,0),IF($F81&lt;&gt;-1,OFFSET(QCI!$O$13,$F81,0),""))</f>
        <v/>
      </c>
      <c r="T80" s="205" t="s">
        <v>266</v>
      </c>
      <c r="U80" s="198" t="e">
        <f ca="1">IF(AND($R80=2,ACOMPANHAMENTO="BM"),ROUND(U81,4),U82/$S80)</f>
        <v>#VALUE!</v>
      </c>
      <c r="V80" s="198" t="e">
        <f ca="1">IF(AND($R80=2,ACOMPANHAMENTO="BM"),ROUND(V81,4),V82/$S80)</f>
        <v>#VALUE!</v>
      </c>
      <c r="W80" s="198" t="e">
        <f ca="1">IF(AND($R80=2,ACOMPANHAMENTO="BM"),ROUND(W81,4),W82/$S80)</f>
        <v>#VALUE!</v>
      </c>
      <c r="X80" s="198" t="e">
        <f ca="1">IF(AND($R80=2,ACOMPANHAMENTO="BM"),ROUND(X81,4),X82/$S80)</f>
        <v>#VALUE!</v>
      </c>
      <c r="Y80" s="198" t="e">
        <f ca="1">IF(AND($R80=2,ACOMPANHAMENTO="BM"),ROUND(Y81,4),Y82/$S80)</f>
        <v>#VALUE!</v>
      </c>
      <c r="Z80" s="198" t="e">
        <f ca="1">IF(AND($R80=2,ACOMPANHAMENTO="BM"),ROUND(Z81,4),Z82/$S80)</f>
        <v>#VALUE!</v>
      </c>
      <c r="AA80" s="198" t="e">
        <f ca="1">IF(AND($R80=2,ACOMPANHAMENTO="BM"),ROUND(AA81,4),AA82/$S80)</f>
        <v>#VALUE!</v>
      </c>
      <c r="AB80" s="198" t="e">
        <f ca="1">IF(AND($R80=2,ACOMPANHAMENTO="BM"),ROUND(AB81,4),AB82/$S80)</f>
        <v>#VALUE!</v>
      </c>
      <c r="AC80" s="198" t="e">
        <f ca="1">IF(AND($R80=2,ACOMPANHAMENTO="BM"),ROUND(AC81,4),AC82/$S80)</f>
        <v>#VALUE!</v>
      </c>
      <c r="AD80" s="198" t="e">
        <f ca="1">IF(AND($R80=2,ACOMPANHAMENTO="BM"),ROUND(AD81,4),AD82/$S80)</f>
        <v>#VALUE!</v>
      </c>
      <c r="AE80" s="198" t="e">
        <f ca="1">IF(AND($R80=2,ACOMPANHAMENTO="BM"),ROUND(AE81,4),AE82/$S80)</f>
        <v>#VALUE!</v>
      </c>
      <c r="AF80" s="198" t="e">
        <f ca="1">IF(AND($R80=2,ACOMPANHAMENTO="BM"),ROUND(AF81,4),AF82/$S80)</f>
        <v>#VALUE!</v>
      </c>
      <c r="AG80" s="577"/>
    </row>
    <row r="81" spans="1:33" ht="12.75" hidden="1" customHeight="1" x14ac:dyDescent="0.2">
      <c r="E81" s="646"/>
      <c r="F81" s="195">
        <f ca="1">IF(ISERROR(F80),IF(1+COUNTIF($M$13:OFFSET(M80,-1,0),1)&lt;=MAX(QCI!$D$13:$D$24),1+COUNTIF($M$13:OFFSET(M80,-1,0),1),-1),0)</f>
        <v>-1</v>
      </c>
      <c r="G81" s="195" t="str">
        <f ca="1">IF(ACOMPANHAMENTO="BM",OFFSET(G81,-1,0),"")</f>
        <v/>
      </c>
      <c r="H81" s="206" t="str">
        <f ca="1">IF(OR(S80=0,S80=""),"vazia",IF(AND(OR(ACOMPANHAMENTO="PLE",$R80&lt;&gt;2),$F81=0),"calculada","--&gt;"))</f>
        <v>vazia</v>
      </c>
      <c r="I81" s="207"/>
      <c r="J81" s="208" t="str">
        <f t="shared" ref="J81" ca="1" si="132">IF(AND(H80&lt;&gt;0,ISNUMBER(H80)),"PREENCHA ESTA LINHA --&gt;","")</f>
        <v/>
      </c>
      <c r="K81" s="208"/>
      <c r="L81" s="208"/>
      <c r="M81" s="209"/>
      <c r="N81" s="209"/>
      <c r="O81" s="209"/>
      <c r="P81" s="209"/>
      <c r="Q81" s="209"/>
      <c r="R81" s="209"/>
      <c r="S81" s="210"/>
      <c r="T81" s="211"/>
      <c r="U81" s="646"/>
      <c r="V81" s="646"/>
      <c r="W81" s="646"/>
      <c r="X81" s="646"/>
      <c r="Y81" s="646"/>
      <c r="Z81" s="646"/>
      <c r="AA81" s="646"/>
      <c r="AB81" s="646"/>
      <c r="AC81" s="646"/>
      <c r="AD81" s="646"/>
      <c r="AE81" s="646"/>
      <c r="AF81" s="646"/>
      <c r="AG81" s="577"/>
    </row>
    <row r="82" spans="1:33" ht="12.75" hidden="1" customHeight="1" x14ac:dyDescent="0.2">
      <c r="D82" s="576"/>
      <c r="E82" s="212">
        <f ca="1">IF($R80=2,
         IF(AND(ACOMPANHAMENTO="PLE",ISNUMBER($F80)),
                SUMIF((OFFSET(CÁLCULO!$AM$15:$AW$15,$F80,0,OFFSET(ORÇAMENTO!$D$15,CRONO!$F80,0))),CRONO!E$12,OFFSET(CÁLCULO!$AB$15:$AL$15,$F80,0,OFFSET(ORÇAMENTO!$D$15,CRONO!$F80,0)))
                +IF(AND($F82&lt;&gt;"",$F82&lt;&gt;0),
                        SUMIF(CÁLCULO!$AM$15:$AW$89,CRONO!E$12,CÁLCULO!$AB$15:$AL$89)/(ORÇAMENTO!$X$15-CÁLCULO.TotalAdmLocal)*CRONO!$F82,
                        0),
                 E81*$S80),
          SUMIF(OFFSET($S82,1,0,$R80-2),($M80+1)&amp;"$",OFFSET(E82,1,0,$R80-2)))</f>
        <v>0</v>
      </c>
      <c r="F82" s="195" t="str">
        <f ca="1">IF(OR($R80&lt;&gt;2,AUTOEVENTO&lt;&gt;"manual",$F81&gt;0),"",
        IF(Import.TipoArredondamento="Tradicional",
              SUMIF(OFFSET(CÁLCULO!$M$15,CRONO!$F80,0,OFFSET(ORÇAMENTO!$D$15,CRONO!$F80,0)),1,OFFSET(ORÇAMENTO!$X$15,CRONO!$F80,0,OFFSET(ORÇAMENTO!$D$15,CRONO!$F80,0))),
              0))</f>
        <v/>
      </c>
      <c r="H82" s="213"/>
      <c r="S82" s="214" t="str">
        <f t="shared" ref="S82" ca="1" si="133">M80&amp;"$"</f>
        <v>1$</v>
      </c>
      <c r="T82" s="215"/>
      <c r="U82" s="212">
        <f ca="1">IF($R80=2,
         IF(AND(ACOMPANHAMENTO="PLE",ISNUMBER($F80)),
                SUMIF((OFFSET(CÁLCULO!$AM$15:$AW$15,$F80,0,OFFSET(ORÇAMENTO!$D$15,CRONO!$F80,0))),CRONO!U$12,OFFSET(CÁLCULO!$AB$15:$AL$15,$F80,0,OFFSET(ORÇAMENTO!$D$15,CRONO!$F80,0)))
                +IF(AND($F82&lt;&gt;"",$F82&lt;&gt;0),
                        SUMIF(CÁLCULO!$AM$15:$AW$89,CRONO!U$12,CÁLCULO!$AB$15:$AL$89)/(ORÇAMENTO!$X$15-CÁLCULO.TotalAdmLocal)*CRONO!$F82,
                        0),
                 U81*$S80),
          SUMIF(OFFSET($S82,1,0,$R80-2),($M80+1)&amp;"$",OFFSET(U82,1,0,$R80-2)))</f>
        <v>0</v>
      </c>
      <c r="V82" s="212">
        <f ca="1">IF($R80=2,
         IF(AND(ACOMPANHAMENTO="PLE",ISNUMBER($F80)),
                SUMIF((OFFSET(CÁLCULO!$AM$15:$AW$15,$F80,0,OFFSET(ORÇAMENTO!$D$15,CRONO!$F80,0))),CRONO!V$12,OFFSET(CÁLCULO!$AB$15:$AL$15,$F80,0,OFFSET(ORÇAMENTO!$D$15,CRONO!$F80,0)))
                +IF(AND($F82&lt;&gt;"",$F82&lt;&gt;0),
                        SUMIF(CÁLCULO!$AM$15:$AW$89,CRONO!V$12,CÁLCULO!$AB$15:$AL$89)/(ORÇAMENTO!$X$15-CÁLCULO.TotalAdmLocal)*CRONO!$F82,
                        0),
                 V81*$S80),
          SUMIF(OFFSET($S82,1,0,$R80-2),($M80+1)&amp;"$",OFFSET(V82,1,0,$R80-2)))</f>
        <v>0</v>
      </c>
      <c r="W82" s="212">
        <f ca="1">IF($R80=2,
         IF(AND(ACOMPANHAMENTO="PLE",ISNUMBER($F80)),
                SUMIF((OFFSET(CÁLCULO!$AM$15:$AW$15,$F80,0,OFFSET(ORÇAMENTO!$D$15,CRONO!$F80,0))),CRONO!W$12,OFFSET(CÁLCULO!$AB$15:$AL$15,$F80,0,OFFSET(ORÇAMENTO!$D$15,CRONO!$F80,0)))
                +IF(AND($F82&lt;&gt;"",$F82&lt;&gt;0),
                        SUMIF(CÁLCULO!$AM$15:$AW$89,CRONO!W$12,CÁLCULO!$AB$15:$AL$89)/(ORÇAMENTO!$X$15-CÁLCULO.TotalAdmLocal)*CRONO!$F82,
                        0),
                 W81*$S80),
          SUMIF(OFFSET($S82,1,0,$R80-2),($M80+1)&amp;"$",OFFSET(W82,1,0,$R80-2)))</f>
        <v>0</v>
      </c>
      <c r="X82" s="212">
        <f ca="1">IF($R80=2,
         IF(AND(ACOMPANHAMENTO="PLE",ISNUMBER($F80)),
                SUMIF((OFFSET(CÁLCULO!$AM$15:$AW$15,$F80,0,OFFSET(ORÇAMENTO!$D$15,CRONO!$F80,0))),CRONO!X$12,OFFSET(CÁLCULO!$AB$15:$AL$15,$F80,0,OFFSET(ORÇAMENTO!$D$15,CRONO!$F80,0)))
                +IF(AND($F82&lt;&gt;"",$F82&lt;&gt;0),
                        SUMIF(CÁLCULO!$AM$15:$AW$89,CRONO!X$12,CÁLCULO!$AB$15:$AL$89)/(ORÇAMENTO!$X$15-CÁLCULO.TotalAdmLocal)*CRONO!$F82,
                        0),
                 X81*$S80),
          SUMIF(OFFSET($S82,1,0,$R80-2),($M80+1)&amp;"$",OFFSET(X82,1,0,$R80-2)))</f>
        <v>0</v>
      </c>
      <c r="Y82" s="212">
        <f ca="1">IF($R80=2,
         IF(AND(ACOMPANHAMENTO="PLE",ISNUMBER($F80)),
                SUMIF((OFFSET(CÁLCULO!$AM$15:$AW$15,$F80,0,OFFSET(ORÇAMENTO!$D$15,CRONO!$F80,0))),CRONO!Y$12,OFFSET(CÁLCULO!$AB$15:$AL$15,$F80,0,OFFSET(ORÇAMENTO!$D$15,CRONO!$F80,0)))
                +IF(AND($F82&lt;&gt;"",$F82&lt;&gt;0),
                        SUMIF(CÁLCULO!$AM$15:$AW$89,CRONO!Y$12,CÁLCULO!$AB$15:$AL$89)/(ORÇAMENTO!$X$15-CÁLCULO.TotalAdmLocal)*CRONO!$F82,
                        0),
                 Y81*$S80),
          SUMIF(OFFSET($S82,1,0,$R80-2),($M80+1)&amp;"$",OFFSET(Y82,1,0,$R80-2)))</f>
        <v>0</v>
      </c>
      <c r="Z82" s="212">
        <f ca="1">IF($R80=2,
         IF(AND(ACOMPANHAMENTO="PLE",ISNUMBER($F80)),
                SUMIF((OFFSET(CÁLCULO!$AM$15:$AW$15,$F80,0,OFFSET(ORÇAMENTO!$D$15,CRONO!$F80,0))),CRONO!Z$12,OFFSET(CÁLCULO!$AB$15:$AL$15,$F80,0,OFFSET(ORÇAMENTO!$D$15,CRONO!$F80,0)))
                +IF(AND($F82&lt;&gt;"",$F82&lt;&gt;0),
                        SUMIF(CÁLCULO!$AM$15:$AW$89,CRONO!Z$12,CÁLCULO!$AB$15:$AL$89)/(ORÇAMENTO!$X$15-CÁLCULO.TotalAdmLocal)*CRONO!$F82,
                        0),
                 Z81*$S80),
          SUMIF(OFFSET($S82,1,0,$R80-2),($M80+1)&amp;"$",OFFSET(Z82,1,0,$R80-2)))</f>
        <v>0</v>
      </c>
      <c r="AA82" s="212">
        <f ca="1">IF($R80=2,
         IF(AND(ACOMPANHAMENTO="PLE",ISNUMBER($F80)),
                SUMIF((OFFSET(CÁLCULO!$AM$15:$AW$15,$F80,0,OFFSET(ORÇAMENTO!$D$15,CRONO!$F80,0))),CRONO!AA$12,OFFSET(CÁLCULO!$AB$15:$AL$15,$F80,0,OFFSET(ORÇAMENTO!$D$15,CRONO!$F80,0)))
                +IF(AND($F82&lt;&gt;"",$F82&lt;&gt;0),
                        SUMIF(CÁLCULO!$AM$15:$AW$89,CRONO!AA$12,CÁLCULO!$AB$15:$AL$89)/(ORÇAMENTO!$X$15-CÁLCULO.TotalAdmLocal)*CRONO!$F82,
                        0),
                 AA81*$S80),
          SUMIF(OFFSET($S82,1,0,$R80-2),($M80+1)&amp;"$",OFFSET(AA82,1,0,$R80-2)))</f>
        <v>0</v>
      </c>
      <c r="AB82" s="212">
        <f ca="1">IF($R80=2,
         IF(AND(ACOMPANHAMENTO="PLE",ISNUMBER($F80)),
                SUMIF((OFFSET(CÁLCULO!$AM$15:$AW$15,$F80,0,OFFSET(ORÇAMENTO!$D$15,CRONO!$F80,0))),CRONO!AB$12,OFFSET(CÁLCULO!$AB$15:$AL$15,$F80,0,OFFSET(ORÇAMENTO!$D$15,CRONO!$F80,0)))
                +IF(AND($F82&lt;&gt;"",$F82&lt;&gt;0),
                        SUMIF(CÁLCULO!$AM$15:$AW$89,CRONO!AB$12,CÁLCULO!$AB$15:$AL$89)/(ORÇAMENTO!$X$15-CÁLCULO.TotalAdmLocal)*CRONO!$F82,
                        0),
                 AB81*$S80),
          SUMIF(OFFSET($S82,1,0,$R80-2),($M80+1)&amp;"$",OFFSET(AB82,1,0,$R80-2)))</f>
        <v>0</v>
      </c>
      <c r="AC82" s="212">
        <f ca="1">IF($R80=2,
         IF(AND(ACOMPANHAMENTO="PLE",ISNUMBER($F80)),
                SUMIF((OFFSET(CÁLCULO!$AM$15:$AW$15,$F80,0,OFFSET(ORÇAMENTO!$D$15,CRONO!$F80,0))),CRONO!AC$12,OFFSET(CÁLCULO!$AB$15:$AL$15,$F80,0,OFFSET(ORÇAMENTO!$D$15,CRONO!$F80,0)))
                +IF(AND($F82&lt;&gt;"",$F82&lt;&gt;0),
                        SUMIF(CÁLCULO!$AM$15:$AW$89,CRONO!AC$12,CÁLCULO!$AB$15:$AL$89)/(ORÇAMENTO!$X$15-CÁLCULO.TotalAdmLocal)*CRONO!$F82,
                        0),
                 AC81*$S80),
          SUMIF(OFFSET($S82,1,0,$R80-2),($M80+1)&amp;"$",OFFSET(AC82,1,0,$R80-2)))</f>
        <v>0</v>
      </c>
      <c r="AD82" s="212">
        <f ca="1">IF($R80=2,
         IF(AND(ACOMPANHAMENTO="PLE",ISNUMBER($F80)),
                SUMIF((OFFSET(CÁLCULO!$AM$15:$AW$15,$F80,0,OFFSET(ORÇAMENTO!$D$15,CRONO!$F80,0))),CRONO!AD$12,OFFSET(CÁLCULO!$AB$15:$AL$15,$F80,0,OFFSET(ORÇAMENTO!$D$15,CRONO!$F80,0)))
                +IF(AND($F82&lt;&gt;"",$F82&lt;&gt;0),
                        SUMIF(CÁLCULO!$AM$15:$AW$89,CRONO!AD$12,CÁLCULO!$AB$15:$AL$89)/(ORÇAMENTO!$X$15-CÁLCULO.TotalAdmLocal)*CRONO!$F82,
                        0),
                 AD81*$S80),
          SUMIF(OFFSET($S82,1,0,$R80-2),($M80+1)&amp;"$",OFFSET(AD82,1,0,$R80-2)))</f>
        <v>0</v>
      </c>
      <c r="AE82" s="212">
        <f ca="1">IF($R80=2,
         IF(AND(ACOMPANHAMENTO="PLE",ISNUMBER($F80)),
                SUMIF((OFFSET(CÁLCULO!$AM$15:$AW$15,$F80,0,OFFSET(ORÇAMENTO!$D$15,CRONO!$F80,0))),CRONO!AE$12,OFFSET(CÁLCULO!$AB$15:$AL$15,$F80,0,OFFSET(ORÇAMENTO!$D$15,CRONO!$F80,0)))
                +IF(AND($F82&lt;&gt;"",$F82&lt;&gt;0),
                        SUMIF(CÁLCULO!$AM$15:$AW$89,CRONO!AE$12,CÁLCULO!$AB$15:$AL$89)/(ORÇAMENTO!$X$15-CÁLCULO.TotalAdmLocal)*CRONO!$F82,
                        0),
                 AE81*$S80),
          SUMIF(OFFSET($S82,1,0,$R80-2),($M80+1)&amp;"$",OFFSET(AE82,1,0,$R80-2)))</f>
        <v>0</v>
      </c>
      <c r="AF82" s="212">
        <f ca="1">IF($R80=2,
         IF(AND(ACOMPANHAMENTO="PLE",ISNUMBER($F80)),
                SUMIF((OFFSET(CÁLCULO!$AM$15:$AW$15,$F80,0,OFFSET(ORÇAMENTO!$D$15,CRONO!$F80,0))),CRONO!AF$12,OFFSET(CÁLCULO!$AB$15:$AL$15,$F80,0,OFFSET(ORÇAMENTO!$D$15,CRONO!$F80,0)))
                +IF(AND($F82&lt;&gt;"",$F82&lt;&gt;0),
                        SUMIF(CÁLCULO!$AM$15:$AW$89,CRONO!AF$12,CÁLCULO!$AB$15:$AL$89)/(ORÇAMENTO!$X$15-CÁLCULO.TotalAdmLocal)*CRONO!$F82,
                        0),
                 AF81*$S80),
          SUMIF(OFFSET($S82,1,0,$R80-2),($M80+1)&amp;"$",OFFSET(AF82,1,0,$R80-2)))</f>
        <v>0</v>
      </c>
      <c r="AG82" s="577"/>
    </row>
    <row r="83" spans="1:33" hidden="1" x14ac:dyDescent="0.2">
      <c r="A83" s="196" t="str">
        <f t="shared" ref="A83" ca="1" si="134">IF($M83&gt;1,CONCATENATE($I83," ",$J83),"")</f>
        <v/>
      </c>
      <c r="B83" s="195">
        <f t="shared" ref="B83" ca="1" si="135">OFFSET(B83,-3,0)+1</f>
        <v>24</v>
      </c>
      <c r="C83" s="195">
        <f ca="1">IF($R83&lt;&gt;2,0,IF($S83=0,1,IF(F84&gt;0,OFFSET(QCI!$M$13,SUBSTITUTE(F84,".",""),0),OFFSET(ORÇAMENTO!$AA$15,CRONO!$F83,0))/$S83))</f>
        <v>0</v>
      </c>
      <c r="D83" s="195">
        <f ca="1">IF($R83&lt;&gt;2,0,IF($S83=0,1,IF(F84&gt;0,OFFSET(QCI!$N$13,SUBSTITUTE(F84,".",""),0),OFFSET(ORÇAMENTO!$AB$15,CRONO!$F83,0))/$S83))</f>
        <v>0</v>
      </c>
      <c r="E83" s="198" t="e">
        <f ca="1">IF(AND($R83=2,ACOMPANHAMENTO="BM"),ROUND(E84,4),E85/$S83)</f>
        <v>#VALUE!</v>
      </c>
      <c r="F83" s="195" t="e">
        <f ca="1">IF(B83&lt;=ORÇAMENTO.MáximoListaCrono,MATCH(B83,ORÇAMENTO.ListaCrono,0),NA())</f>
        <v>#N/A</v>
      </c>
      <c r="G83" s="195" t="str">
        <f t="shared" ref="G83" ca="1" si="136">IF(AND($F84&lt;&gt;-1,$S83&gt;0),"F","")</f>
        <v/>
      </c>
      <c r="H83" s="199" t="str">
        <f ca="1">IF(OR(S83=0,S83=""),"Linha",IF(AND(OR(ACOMPANHAMENTO="PLE",$R83&lt;&gt;2),$F84=0),"Linha",ROUND(1-SUM(U83:AG83),4)))</f>
        <v>Linha</v>
      </c>
      <c r="I83" s="200" t="str">
        <f ca="1">IF($F84=0,OFFSET(ORÇAMENTO!O$15,$F83,0),IF($F84&lt;&gt;-1,OFFSET(QCI!$D$13,$F84,0),""))</f>
        <v/>
      </c>
      <c r="J83" s="201" t="str">
        <f ca="1">IF($F84=0,OFFSET(ORÇAMENTO!R$15,$F83,0),IF($F84&lt;&gt;-1,OFFSET(QCI!$G$13,$F84,0),""))</f>
        <v/>
      </c>
      <c r="K83" s="201"/>
      <c r="L83" s="201"/>
      <c r="M83" s="202">
        <f ca="1">IF($F84=0,OFFSET(ORÇAMENTO!C$15,$F83,0),1)</f>
        <v>1</v>
      </c>
      <c r="N83" s="203">
        <f ca="1">IF($F84=-1,0,IF(N$13&lt;=$M83,IF(ISERROR(MATCH(N$13,OFFSET($M83,1,0,ROW($M$92)-ROW($M83)-1),0)),ROW($M$92)-ROW($M83)-1,MATCH(N$13,OFFSET($M83,1,0,ROW($M$92)-ROW($M83)-1),0)-1),0))</f>
        <v>0</v>
      </c>
      <c r="O83" s="203">
        <f ca="1">IF($F84=-1,0,IF(O$13&lt;=$M83,IF(ISERROR(MATCH(O$13,OFFSET($M83,1,0,ROW($M$92)-ROW($M83)-1),0)),ROW($M$92)-ROW($M83)-1,MATCH(O$13,OFFSET($M83,1,0,ROW($M$92)-ROW($M83)-1),0)-1),0))</f>
        <v>0</v>
      </c>
      <c r="P83" s="203">
        <f ca="1">IF($F84=-1,0,IF(P$13&lt;=$M83,IF(ISERROR(MATCH(P$13,OFFSET($M83,1,0,ROW($M$92)-ROW($M83)-1),0)),ROW($M$92)-ROW($M83)-1,MATCH(P$13,OFFSET($M83,1,0,ROW($M$92)-ROW($M83)-1),0)-1),0))</f>
        <v>0</v>
      </c>
      <c r="Q83" s="203">
        <f ca="1">IF($F84=-1,0,IF(Q$13&lt;=$M83,IF(ISERROR(MATCH(Q$13,OFFSET($M83,1,0,ROW($M$92)-ROW($M83)-1),0)),ROW($M$92)-ROW($M83)-1,MATCH(Q$13,OFFSET($M83,1,0,ROW($M$92)-ROW($M83)-1),0)-1),0))</f>
        <v>0</v>
      </c>
      <c r="R83" s="203">
        <f t="shared" ref="R83" ca="1" si="137">MIN(OFFSET(M83,0,1,,M83))</f>
        <v>0</v>
      </c>
      <c r="S83" s="204" t="str">
        <f ca="1">IF($F84=0,OFFSET(ORÇAMENTO!X$15,$F83,0),IF($F84&lt;&gt;-1,OFFSET(QCI!$O$13,$F84,0),""))</f>
        <v/>
      </c>
      <c r="T83" s="205" t="s">
        <v>266</v>
      </c>
      <c r="U83" s="198" t="e">
        <f ca="1">IF(AND($R83=2,ACOMPANHAMENTO="BM"),ROUND(U84,4),U85/$S83)</f>
        <v>#VALUE!</v>
      </c>
      <c r="V83" s="198" t="e">
        <f ca="1">IF(AND($R83=2,ACOMPANHAMENTO="BM"),ROUND(V84,4),V85/$S83)</f>
        <v>#VALUE!</v>
      </c>
      <c r="W83" s="198" t="e">
        <f ca="1">IF(AND($R83=2,ACOMPANHAMENTO="BM"),ROUND(W84,4),W85/$S83)</f>
        <v>#VALUE!</v>
      </c>
      <c r="X83" s="198" t="e">
        <f ca="1">IF(AND($R83=2,ACOMPANHAMENTO="BM"),ROUND(X84,4),X85/$S83)</f>
        <v>#VALUE!</v>
      </c>
      <c r="Y83" s="198" t="e">
        <f ca="1">IF(AND($R83=2,ACOMPANHAMENTO="BM"),ROUND(Y84,4),Y85/$S83)</f>
        <v>#VALUE!</v>
      </c>
      <c r="Z83" s="198" t="e">
        <f ca="1">IF(AND($R83=2,ACOMPANHAMENTO="BM"),ROUND(Z84,4),Z85/$S83)</f>
        <v>#VALUE!</v>
      </c>
      <c r="AA83" s="198" t="e">
        <f ca="1">IF(AND($R83=2,ACOMPANHAMENTO="BM"),ROUND(AA84,4),AA85/$S83)</f>
        <v>#VALUE!</v>
      </c>
      <c r="AB83" s="198" t="e">
        <f ca="1">IF(AND($R83=2,ACOMPANHAMENTO="BM"),ROUND(AB84,4),AB85/$S83)</f>
        <v>#VALUE!</v>
      </c>
      <c r="AC83" s="198" t="e">
        <f ca="1">IF(AND($R83=2,ACOMPANHAMENTO="BM"),ROUND(AC84,4),AC85/$S83)</f>
        <v>#VALUE!</v>
      </c>
      <c r="AD83" s="198" t="e">
        <f ca="1">IF(AND($R83=2,ACOMPANHAMENTO="BM"),ROUND(AD84,4),AD85/$S83)</f>
        <v>#VALUE!</v>
      </c>
      <c r="AE83" s="198" t="e">
        <f ca="1">IF(AND($R83=2,ACOMPANHAMENTO="BM"),ROUND(AE84,4),AE85/$S83)</f>
        <v>#VALUE!</v>
      </c>
      <c r="AF83" s="198" t="e">
        <f ca="1">IF(AND($R83=2,ACOMPANHAMENTO="BM"),ROUND(AF84,4),AF85/$S83)</f>
        <v>#VALUE!</v>
      </c>
      <c r="AG83" s="577"/>
    </row>
    <row r="84" spans="1:33" ht="12.75" hidden="1" customHeight="1" x14ac:dyDescent="0.2">
      <c r="E84" s="646"/>
      <c r="F84" s="195">
        <f ca="1">IF(ISERROR(F83),IF(1+COUNTIF($M$13:OFFSET(M83,-1,0),1)&lt;=MAX(QCI!$D$13:$D$24),1+COUNTIF($M$13:OFFSET(M83,-1,0),1),-1),0)</f>
        <v>-1</v>
      </c>
      <c r="G84" s="195" t="str">
        <f ca="1">IF(ACOMPANHAMENTO="BM",OFFSET(G84,-1,0),"")</f>
        <v/>
      </c>
      <c r="H84" s="206" t="str">
        <f ca="1">IF(OR(S83=0,S83=""),"vazia",IF(AND(OR(ACOMPANHAMENTO="PLE",$R83&lt;&gt;2),$F84=0),"calculada","--&gt;"))</f>
        <v>vazia</v>
      </c>
      <c r="I84" s="207"/>
      <c r="J84" s="208" t="str">
        <f t="shared" ref="J84" ca="1" si="138">IF(AND(H83&lt;&gt;0,ISNUMBER(H83)),"PREENCHA ESTA LINHA --&gt;","")</f>
        <v/>
      </c>
      <c r="K84" s="208"/>
      <c r="L84" s="208"/>
      <c r="M84" s="209"/>
      <c r="N84" s="209"/>
      <c r="O84" s="209"/>
      <c r="P84" s="209"/>
      <c r="Q84" s="209"/>
      <c r="R84" s="209"/>
      <c r="S84" s="210"/>
      <c r="T84" s="211"/>
      <c r="U84" s="646"/>
      <c r="V84" s="646"/>
      <c r="W84" s="646"/>
      <c r="X84" s="646"/>
      <c r="Y84" s="646"/>
      <c r="Z84" s="646"/>
      <c r="AA84" s="646"/>
      <c r="AB84" s="646"/>
      <c r="AC84" s="646"/>
      <c r="AD84" s="646"/>
      <c r="AE84" s="646"/>
      <c r="AF84" s="646"/>
      <c r="AG84" s="577"/>
    </row>
    <row r="85" spans="1:33" ht="12.75" hidden="1" customHeight="1" x14ac:dyDescent="0.2">
      <c r="D85" s="576"/>
      <c r="E85" s="212">
        <f ca="1">IF($R83=2,
         IF(AND(ACOMPANHAMENTO="PLE",ISNUMBER($F83)),
                SUMIF((OFFSET(CÁLCULO!$AM$15:$AW$15,$F83,0,OFFSET(ORÇAMENTO!$D$15,CRONO!$F83,0))),CRONO!E$12,OFFSET(CÁLCULO!$AB$15:$AL$15,$F83,0,OFFSET(ORÇAMENTO!$D$15,CRONO!$F83,0)))
                +IF(AND($F85&lt;&gt;"",$F85&lt;&gt;0),
                        SUMIF(CÁLCULO!$AM$15:$AW$89,CRONO!E$12,CÁLCULO!$AB$15:$AL$89)/(ORÇAMENTO!$X$15-CÁLCULO.TotalAdmLocal)*CRONO!$F85,
                        0),
                 E84*$S83),
          SUMIF(OFFSET($S85,1,0,$R83-2),($M83+1)&amp;"$",OFFSET(E85,1,0,$R83-2)))</f>
        <v>0</v>
      </c>
      <c r="F85" s="195" t="str">
        <f ca="1">IF(OR($R83&lt;&gt;2,AUTOEVENTO&lt;&gt;"manual",$F84&gt;0),"",
        IF(Import.TipoArredondamento="Tradicional",
              SUMIF(OFFSET(CÁLCULO!$M$15,CRONO!$F83,0,OFFSET(ORÇAMENTO!$D$15,CRONO!$F83,0)),1,OFFSET(ORÇAMENTO!$X$15,CRONO!$F83,0,OFFSET(ORÇAMENTO!$D$15,CRONO!$F83,0))),
              0))</f>
        <v/>
      </c>
      <c r="H85" s="213"/>
      <c r="S85" s="214" t="str">
        <f t="shared" ref="S85" ca="1" si="139">M83&amp;"$"</f>
        <v>1$</v>
      </c>
      <c r="T85" s="215"/>
      <c r="U85" s="212">
        <f ca="1">IF($R83=2,
         IF(AND(ACOMPANHAMENTO="PLE",ISNUMBER($F83)),
                SUMIF((OFFSET(CÁLCULO!$AM$15:$AW$15,$F83,0,OFFSET(ORÇAMENTO!$D$15,CRONO!$F83,0))),CRONO!U$12,OFFSET(CÁLCULO!$AB$15:$AL$15,$F83,0,OFFSET(ORÇAMENTO!$D$15,CRONO!$F83,0)))
                +IF(AND($F85&lt;&gt;"",$F85&lt;&gt;0),
                        SUMIF(CÁLCULO!$AM$15:$AW$89,CRONO!U$12,CÁLCULO!$AB$15:$AL$89)/(ORÇAMENTO!$X$15-CÁLCULO.TotalAdmLocal)*CRONO!$F85,
                        0),
                 U84*$S83),
          SUMIF(OFFSET($S85,1,0,$R83-2),($M83+1)&amp;"$",OFFSET(U85,1,0,$R83-2)))</f>
        <v>0</v>
      </c>
      <c r="V85" s="212">
        <f ca="1">IF($R83=2,
         IF(AND(ACOMPANHAMENTO="PLE",ISNUMBER($F83)),
                SUMIF((OFFSET(CÁLCULO!$AM$15:$AW$15,$F83,0,OFFSET(ORÇAMENTO!$D$15,CRONO!$F83,0))),CRONO!V$12,OFFSET(CÁLCULO!$AB$15:$AL$15,$F83,0,OFFSET(ORÇAMENTO!$D$15,CRONO!$F83,0)))
                +IF(AND($F85&lt;&gt;"",$F85&lt;&gt;0),
                        SUMIF(CÁLCULO!$AM$15:$AW$89,CRONO!V$12,CÁLCULO!$AB$15:$AL$89)/(ORÇAMENTO!$X$15-CÁLCULO.TotalAdmLocal)*CRONO!$F85,
                        0),
                 V84*$S83),
          SUMIF(OFFSET($S85,1,0,$R83-2),($M83+1)&amp;"$",OFFSET(V85,1,0,$R83-2)))</f>
        <v>0</v>
      </c>
      <c r="W85" s="212">
        <f ca="1">IF($R83=2,
         IF(AND(ACOMPANHAMENTO="PLE",ISNUMBER($F83)),
                SUMIF((OFFSET(CÁLCULO!$AM$15:$AW$15,$F83,0,OFFSET(ORÇAMENTO!$D$15,CRONO!$F83,0))),CRONO!W$12,OFFSET(CÁLCULO!$AB$15:$AL$15,$F83,0,OFFSET(ORÇAMENTO!$D$15,CRONO!$F83,0)))
                +IF(AND($F85&lt;&gt;"",$F85&lt;&gt;0),
                        SUMIF(CÁLCULO!$AM$15:$AW$89,CRONO!W$12,CÁLCULO!$AB$15:$AL$89)/(ORÇAMENTO!$X$15-CÁLCULO.TotalAdmLocal)*CRONO!$F85,
                        0),
                 W84*$S83),
          SUMIF(OFFSET($S85,1,0,$R83-2),($M83+1)&amp;"$",OFFSET(W85,1,0,$R83-2)))</f>
        <v>0</v>
      </c>
      <c r="X85" s="212">
        <f ca="1">IF($R83=2,
         IF(AND(ACOMPANHAMENTO="PLE",ISNUMBER($F83)),
                SUMIF((OFFSET(CÁLCULO!$AM$15:$AW$15,$F83,0,OFFSET(ORÇAMENTO!$D$15,CRONO!$F83,0))),CRONO!X$12,OFFSET(CÁLCULO!$AB$15:$AL$15,$F83,0,OFFSET(ORÇAMENTO!$D$15,CRONO!$F83,0)))
                +IF(AND($F85&lt;&gt;"",$F85&lt;&gt;0),
                        SUMIF(CÁLCULO!$AM$15:$AW$89,CRONO!X$12,CÁLCULO!$AB$15:$AL$89)/(ORÇAMENTO!$X$15-CÁLCULO.TotalAdmLocal)*CRONO!$F85,
                        0),
                 X84*$S83),
          SUMIF(OFFSET($S85,1,0,$R83-2),($M83+1)&amp;"$",OFFSET(X85,1,0,$R83-2)))</f>
        <v>0</v>
      </c>
      <c r="Y85" s="212">
        <f ca="1">IF($R83=2,
         IF(AND(ACOMPANHAMENTO="PLE",ISNUMBER($F83)),
                SUMIF((OFFSET(CÁLCULO!$AM$15:$AW$15,$F83,0,OFFSET(ORÇAMENTO!$D$15,CRONO!$F83,0))),CRONO!Y$12,OFFSET(CÁLCULO!$AB$15:$AL$15,$F83,0,OFFSET(ORÇAMENTO!$D$15,CRONO!$F83,0)))
                +IF(AND($F85&lt;&gt;"",$F85&lt;&gt;0),
                        SUMIF(CÁLCULO!$AM$15:$AW$89,CRONO!Y$12,CÁLCULO!$AB$15:$AL$89)/(ORÇAMENTO!$X$15-CÁLCULO.TotalAdmLocal)*CRONO!$F85,
                        0),
                 Y84*$S83),
          SUMIF(OFFSET($S85,1,0,$R83-2),($M83+1)&amp;"$",OFFSET(Y85,1,0,$R83-2)))</f>
        <v>0</v>
      </c>
      <c r="Z85" s="212">
        <f ca="1">IF($R83=2,
         IF(AND(ACOMPANHAMENTO="PLE",ISNUMBER($F83)),
                SUMIF((OFFSET(CÁLCULO!$AM$15:$AW$15,$F83,0,OFFSET(ORÇAMENTO!$D$15,CRONO!$F83,0))),CRONO!Z$12,OFFSET(CÁLCULO!$AB$15:$AL$15,$F83,0,OFFSET(ORÇAMENTO!$D$15,CRONO!$F83,0)))
                +IF(AND($F85&lt;&gt;"",$F85&lt;&gt;0),
                        SUMIF(CÁLCULO!$AM$15:$AW$89,CRONO!Z$12,CÁLCULO!$AB$15:$AL$89)/(ORÇAMENTO!$X$15-CÁLCULO.TotalAdmLocal)*CRONO!$F85,
                        0),
                 Z84*$S83),
          SUMIF(OFFSET($S85,1,0,$R83-2),($M83+1)&amp;"$",OFFSET(Z85,1,0,$R83-2)))</f>
        <v>0</v>
      </c>
      <c r="AA85" s="212">
        <f ca="1">IF($R83=2,
         IF(AND(ACOMPANHAMENTO="PLE",ISNUMBER($F83)),
                SUMIF((OFFSET(CÁLCULO!$AM$15:$AW$15,$F83,0,OFFSET(ORÇAMENTO!$D$15,CRONO!$F83,0))),CRONO!AA$12,OFFSET(CÁLCULO!$AB$15:$AL$15,$F83,0,OFFSET(ORÇAMENTO!$D$15,CRONO!$F83,0)))
                +IF(AND($F85&lt;&gt;"",$F85&lt;&gt;0),
                        SUMIF(CÁLCULO!$AM$15:$AW$89,CRONO!AA$12,CÁLCULO!$AB$15:$AL$89)/(ORÇAMENTO!$X$15-CÁLCULO.TotalAdmLocal)*CRONO!$F85,
                        0),
                 AA84*$S83),
          SUMIF(OFFSET($S85,1,0,$R83-2),($M83+1)&amp;"$",OFFSET(AA85,1,0,$R83-2)))</f>
        <v>0</v>
      </c>
      <c r="AB85" s="212">
        <f ca="1">IF($R83=2,
         IF(AND(ACOMPANHAMENTO="PLE",ISNUMBER($F83)),
                SUMIF((OFFSET(CÁLCULO!$AM$15:$AW$15,$F83,0,OFFSET(ORÇAMENTO!$D$15,CRONO!$F83,0))),CRONO!AB$12,OFFSET(CÁLCULO!$AB$15:$AL$15,$F83,0,OFFSET(ORÇAMENTO!$D$15,CRONO!$F83,0)))
                +IF(AND($F85&lt;&gt;"",$F85&lt;&gt;0),
                        SUMIF(CÁLCULO!$AM$15:$AW$89,CRONO!AB$12,CÁLCULO!$AB$15:$AL$89)/(ORÇAMENTO!$X$15-CÁLCULO.TotalAdmLocal)*CRONO!$F85,
                        0),
                 AB84*$S83),
          SUMIF(OFFSET($S85,1,0,$R83-2),($M83+1)&amp;"$",OFFSET(AB85,1,0,$R83-2)))</f>
        <v>0</v>
      </c>
      <c r="AC85" s="212">
        <f ca="1">IF($R83=2,
         IF(AND(ACOMPANHAMENTO="PLE",ISNUMBER($F83)),
                SUMIF((OFFSET(CÁLCULO!$AM$15:$AW$15,$F83,0,OFFSET(ORÇAMENTO!$D$15,CRONO!$F83,0))),CRONO!AC$12,OFFSET(CÁLCULO!$AB$15:$AL$15,$F83,0,OFFSET(ORÇAMENTO!$D$15,CRONO!$F83,0)))
                +IF(AND($F85&lt;&gt;"",$F85&lt;&gt;0),
                        SUMIF(CÁLCULO!$AM$15:$AW$89,CRONO!AC$12,CÁLCULO!$AB$15:$AL$89)/(ORÇAMENTO!$X$15-CÁLCULO.TotalAdmLocal)*CRONO!$F85,
                        0),
                 AC84*$S83),
          SUMIF(OFFSET($S85,1,0,$R83-2),($M83+1)&amp;"$",OFFSET(AC85,1,0,$R83-2)))</f>
        <v>0</v>
      </c>
      <c r="AD85" s="212">
        <f ca="1">IF($R83=2,
         IF(AND(ACOMPANHAMENTO="PLE",ISNUMBER($F83)),
                SUMIF((OFFSET(CÁLCULO!$AM$15:$AW$15,$F83,0,OFFSET(ORÇAMENTO!$D$15,CRONO!$F83,0))),CRONO!AD$12,OFFSET(CÁLCULO!$AB$15:$AL$15,$F83,0,OFFSET(ORÇAMENTO!$D$15,CRONO!$F83,0)))
                +IF(AND($F85&lt;&gt;"",$F85&lt;&gt;0),
                        SUMIF(CÁLCULO!$AM$15:$AW$89,CRONO!AD$12,CÁLCULO!$AB$15:$AL$89)/(ORÇAMENTO!$X$15-CÁLCULO.TotalAdmLocal)*CRONO!$F85,
                        0),
                 AD84*$S83),
          SUMIF(OFFSET($S85,1,0,$R83-2),($M83+1)&amp;"$",OFFSET(AD85,1,0,$R83-2)))</f>
        <v>0</v>
      </c>
      <c r="AE85" s="212">
        <f ca="1">IF($R83=2,
         IF(AND(ACOMPANHAMENTO="PLE",ISNUMBER($F83)),
                SUMIF((OFFSET(CÁLCULO!$AM$15:$AW$15,$F83,0,OFFSET(ORÇAMENTO!$D$15,CRONO!$F83,0))),CRONO!AE$12,OFFSET(CÁLCULO!$AB$15:$AL$15,$F83,0,OFFSET(ORÇAMENTO!$D$15,CRONO!$F83,0)))
                +IF(AND($F85&lt;&gt;"",$F85&lt;&gt;0),
                        SUMIF(CÁLCULO!$AM$15:$AW$89,CRONO!AE$12,CÁLCULO!$AB$15:$AL$89)/(ORÇAMENTO!$X$15-CÁLCULO.TotalAdmLocal)*CRONO!$F85,
                        0),
                 AE84*$S83),
          SUMIF(OFFSET($S85,1,0,$R83-2),($M83+1)&amp;"$",OFFSET(AE85,1,0,$R83-2)))</f>
        <v>0</v>
      </c>
      <c r="AF85" s="212">
        <f ca="1">IF($R83=2,
         IF(AND(ACOMPANHAMENTO="PLE",ISNUMBER($F83)),
                SUMIF((OFFSET(CÁLCULO!$AM$15:$AW$15,$F83,0,OFFSET(ORÇAMENTO!$D$15,CRONO!$F83,0))),CRONO!AF$12,OFFSET(CÁLCULO!$AB$15:$AL$15,$F83,0,OFFSET(ORÇAMENTO!$D$15,CRONO!$F83,0)))
                +IF(AND($F85&lt;&gt;"",$F85&lt;&gt;0),
                        SUMIF(CÁLCULO!$AM$15:$AW$89,CRONO!AF$12,CÁLCULO!$AB$15:$AL$89)/(ORÇAMENTO!$X$15-CÁLCULO.TotalAdmLocal)*CRONO!$F85,
                        0),
                 AF84*$S83),
          SUMIF(OFFSET($S85,1,0,$R83-2),($M83+1)&amp;"$",OFFSET(AF85,1,0,$R83-2)))</f>
        <v>0</v>
      </c>
      <c r="AG85" s="577"/>
    </row>
    <row r="86" spans="1:33" hidden="1" x14ac:dyDescent="0.2">
      <c r="A86" s="196" t="str">
        <f t="shared" ref="A86" ca="1" si="140">IF($M86&gt;1,CONCATENATE($I86," ",$J86),"")</f>
        <v/>
      </c>
      <c r="B86" s="195">
        <f t="shared" ref="B86" ca="1" si="141">OFFSET(B86,-3,0)+1</f>
        <v>25</v>
      </c>
      <c r="C86" s="195">
        <f ca="1">IF($R86&lt;&gt;2,0,IF($S86=0,1,IF(F87&gt;0,OFFSET(QCI!$M$13,SUBSTITUTE(F87,".",""),0),OFFSET(ORÇAMENTO!$AA$15,CRONO!$F86,0))/$S86))</f>
        <v>0</v>
      </c>
      <c r="D86" s="195">
        <f ca="1">IF($R86&lt;&gt;2,0,IF($S86=0,1,IF(F87&gt;0,OFFSET(QCI!$N$13,SUBSTITUTE(F87,".",""),0),OFFSET(ORÇAMENTO!$AB$15,CRONO!$F86,0))/$S86))</f>
        <v>0</v>
      </c>
      <c r="E86" s="198" t="e">
        <f ca="1">IF(AND($R86=2,ACOMPANHAMENTO="BM"),ROUND(E87,4),E88/$S86)</f>
        <v>#VALUE!</v>
      </c>
      <c r="F86" s="195" t="e">
        <f ca="1">IF(B86&lt;=ORÇAMENTO.MáximoListaCrono,MATCH(B86,ORÇAMENTO.ListaCrono,0),NA())</f>
        <v>#N/A</v>
      </c>
      <c r="G86" s="195" t="str">
        <f t="shared" ref="G86" ca="1" si="142">IF(AND($F87&lt;&gt;-1,$S86&gt;0),"F","")</f>
        <v/>
      </c>
      <c r="H86" s="199" t="str">
        <f ca="1">IF(OR(S86=0,S86=""),"Linha",IF(AND(OR(ACOMPANHAMENTO="PLE",$R86&lt;&gt;2),$F87=0),"Linha",ROUND(1-SUM(U86:AG86),4)))</f>
        <v>Linha</v>
      </c>
      <c r="I86" s="200" t="str">
        <f ca="1">IF($F87=0,OFFSET(ORÇAMENTO!O$15,$F86,0),IF($F87&lt;&gt;-1,OFFSET(QCI!$D$13,$F87,0),""))</f>
        <v/>
      </c>
      <c r="J86" s="201" t="str">
        <f ca="1">IF($F87=0,OFFSET(ORÇAMENTO!R$15,$F86,0),IF($F87&lt;&gt;-1,OFFSET(QCI!$G$13,$F87,0),""))</f>
        <v/>
      </c>
      <c r="K86" s="201"/>
      <c r="L86" s="201"/>
      <c r="M86" s="202">
        <f ca="1">IF($F87=0,OFFSET(ORÇAMENTO!C$15,$F86,0),1)</f>
        <v>1</v>
      </c>
      <c r="N86" s="203">
        <f ca="1">IF($F87=-1,0,IF(N$13&lt;=$M86,IF(ISERROR(MATCH(N$13,OFFSET($M86,1,0,ROW($M$92)-ROW($M86)-1),0)),ROW($M$92)-ROW($M86)-1,MATCH(N$13,OFFSET($M86,1,0,ROW($M$92)-ROW($M86)-1),0)-1),0))</f>
        <v>0</v>
      </c>
      <c r="O86" s="203">
        <f ca="1">IF($F87=-1,0,IF(O$13&lt;=$M86,IF(ISERROR(MATCH(O$13,OFFSET($M86,1,0,ROW($M$92)-ROW($M86)-1),0)),ROW($M$92)-ROW($M86)-1,MATCH(O$13,OFFSET($M86,1,0,ROW($M$92)-ROW($M86)-1),0)-1),0))</f>
        <v>0</v>
      </c>
      <c r="P86" s="203">
        <f ca="1">IF($F87=-1,0,IF(P$13&lt;=$M86,IF(ISERROR(MATCH(P$13,OFFSET($M86,1,0,ROW($M$92)-ROW($M86)-1),0)),ROW($M$92)-ROW($M86)-1,MATCH(P$13,OFFSET($M86,1,0,ROW($M$92)-ROW($M86)-1),0)-1),0))</f>
        <v>0</v>
      </c>
      <c r="Q86" s="203">
        <f ca="1">IF($F87=-1,0,IF(Q$13&lt;=$M86,IF(ISERROR(MATCH(Q$13,OFFSET($M86,1,0,ROW($M$92)-ROW($M86)-1),0)),ROW($M$92)-ROW($M86)-1,MATCH(Q$13,OFFSET($M86,1,0,ROW($M$92)-ROW($M86)-1),0)-1),0))</f>
        <v>0</v>
      </c>
      <c r="R86" s="203">
        <f t="shared" ref="R86" ca="1" si="143">MIN(OFFSET(M86,0,1,,M86))</f>
        <v>0</v>
      </c>
      <c r="S86" s="204" t="str">
        <f ca="1">IF($F87=0,OFFSET(ORÇAMENTO!X$15,$F86,0),IF($F87&lt;&gt;-1,OFFSET(QCI!$O$13,$F87,0),""))</f>
        <v/>
      </c>
      <c r="T86" s="205" t="s">
        <v>266</v>
      </c>
      <c r="U86" s="198" t="e">
        <f ca="1">IF(AND($R86=2,ACOMPANHAMENTO="BM"),ROUND(U87,4),U88/$S86)</f>
        <v>#VALUE!</v>
      </c>
      <c r="V86" s="198" t="e">
        <f ca="1">IF(AND($R86=2,ACOMPANHAMENTO="BM"),ROUND(V87,4),V88/$S86)</f>
        <v>#VALUE!</v>
      </c>
      <c r="W86" s="198" t="e">
        <f ca="1">IF(AND($R86=2,ACOMPANHAMENTO="BM"),ROUND(W87,4),W88/$S86)</f>
        <v>#VALUE!</v>
      </c>
      <c r="X86" s="198" t="e">
        <f ca="1">IF(AND($R86=2,ACOMPANHAMENTO="BM"),ROUND(X87,4),X88/$S86)</f>
        <v>#VALUE!</v>
      </c>
      <c r="Y86" s="198" t="e">
        <f ca="1">IF(AND($R86=2,ACOMPANHAMENTO="BM"),ROUND(Y87,4),Y88/$S86)</f>
        <v>#VALUE!</v>
      </c>
      <c r="Z86" s="198" t="e">
        <f ca="1">IF(AND($R86=2,ACOMPANHAMENTO="BM"),ROUND(Z87,4),Z88/$S86)</f>
        <v>#VALUE!</v>
      </c>
      <c r="AA86" s="198" t="e">
        <f ca="1">IF(AND($R86=2,ACOMPANHAMENTO="BM"),ROUND(AA87,4),AA88/$S86)</f>
        <v>#VALUE!</v>
      </c>
      <c r="AB86" s="198" t="e">
        <f ca="1">IF(AND($R86=2,ACOMPANHAMENTO="BM"),ROUND(AB87,4),AB88/$S86)</f>
        <v>#VALUE!</v>
      </c>
      <c r="AC86" s="198" t="e">
        <f ca="1">IF(AND($R86=2,ACOMPANHAMENTO="BM"),ROUND(AC87,4),AC88/$S86)</f>
        <v>#VALUE!</v>
      </c>
      <c r="AD86" s="198" t="e">
        <f ca="1">IF(AND($R86=2,ACOMPANHAMENTO="BM"),ROUND(AD87,4),AD88/$S86)</f>
        <v>#VALUE!</v>
      </c>
      <c r="AE86" s="198" t="e">
        <f ca="1">IF(AND($R86=2,ACOMPANHAMENTO="BM"),ROUND(AE87,4),AE88/$S86)</f>
        <v>#VALUE!</v>
      </c>
      <c r="AF86" s="198" t="e">
        <f ca="1">IF(AND($R86=2,ACOMPANHAMENTO="BM"),ROUND(AF87,4),AF88/$S86)</f>
        <v>#VALUE!</v>
      </c>
      <c r="AG86" s="577"/>
    </row>
    <row r="87" spans="1:33" ht="12.75" hidden="1" customHeight="1" x14ac:dyDescent="0.2">
      <c r="E87" s="646"/>
      <c r="F87" s="195">
        <f ca="1">IF(ISERROR(F86),IF(1+COUNTIF($M$13:OFFSET(M86,-1,0),1)&lt;=MAX(QCI!$D$13:$D$24),1+COUNTIF($M$13:OFFSET(M86,-1,0),1),-1),0)</f>
        <v>-1</v>
      </c>
      <c r="G87" s="195" t="str">
        <f ca="1">IF(ACOMPANHAMENTO="BM",OFFSET(G87,-1,0),"")</f>
        <v/>
      </c>
      <c r="H87" s="206" t="str">
        <f ca="1">IF(OR(S86=0,S86=""),"vazia",IF(AND(OR(ACOMPANHAMENTO="PLE",$R86&lt;&gt;2),$F87=0),"calculada","--&gt;"))</f>
        <v>vazia</v>
      </c>
      <c r="I87" s="207"/>
      <c r="J87" s="208" t="str">
        <f t="shared" ref="J87" ca="1" si="144">IF(AND(H86&lt;&gt;0,ISNUMBER(H86)),"PREENCHA ESTA LINHA --&gt;","")</f>
        <v/>
      </c>
      <c r="K87" s="208"/>
      <c r="L87" s="208"/>
      <c r="M87" s="209"/>
      <c r="N87" s="209"/>
      <c r="O87" s="209"/>
      <c r="P87" s="209"/>
      <c r="Q87" s="209"/>
      <c r="R87" s="209"/>
      <c r="S87" s="210"/>
      <c r="T87" s="211"/>
      <c r="U87" s="646"/>
      <c r="V87" s="646"/>
      <c r="W87" s="646"/>
      <c r="X87" s="646"/>
      <c r="Y87" s="646"/>
      <c r="Z87" s="646"/>
      <c r="AA87" s="646"/>
      <c r="AB87" s="646"/>
      <c r="AC87" s="646"/>
      <c r="AD87" s="646"/>
      <c r="AE87" s="646"/>
      <c r="AF87" s="646"/>
      <c r="AG87" s="577"/>
    </row>
    <row r="88" spans="1:33" ht="12.75" hidden="1" customHeight="1" x14ac:dyDescent="0.2">
      <c r="D88" s="576"/>
      <c r="E88" s="212">
        <f ca="1">IF($R86=2,
         IF(AND(ACOMPANHAMENTO="PLE",ISNUMBER($F86)),
                SUMIF((OFFSET(CÁLCULO!$AM$15:$AW$15,$F86,0,OFFSET(ORÇAMENTO!$D$15,CRONO!$F86,0))),CRONO!E$12,OFFSET(CÁLCULO!$AB$15:$AL$15,$F86,0,OFFSET(ORÇAMENTO!$D$15,CRONO!$F86,0)))
                +IF(AND($F88&lt;&gt;"",$F88&lt;&gt;0),
                        SUMIF(CÁLCULO!$AM$15:$AW$89,CRONO!E$12,CÁLCULO!$AB$15:$AL$89)/(ORÇAMENTO!$X$15-CÁLCULO.TotalAdmLocal)*CRONO!$F88,
                        0),
                 E87*$S86),
          SUMIF(OFFSET($S88,1,0,$R86-2),($M86+1)&amp;"$",OFFSET(E88,1,0,$R86-2)))</f>
        <v>0</v>
      </c>
      <c r="F88" s="195" t="str">
        <f ca="1">IF(OR($R86&lt;&gt;2,AUTOEVENTO&lt;&gt;"manual",$F87&gt;0),"",
        IF(Import.TipoArredondamento="Tradicional",
              SUMIF(OFFSET(CÁLCULO!$M$15,CRONO!$F86,0,OFFSET(ORÇAMENTO!$D$15,CRONO!$F86,0)),1,OFFSET(ORÇAMENTO!$X$15,CRONO!$F86,0,OFFSET(ORÇAMENTO!$D$15,CRONO!$F86,0))),
              0))</f>
        <v/>
      </c>
      <c r="H88" s="213"/>
      <c r="S88" s="214" t="str">
        <f t="shared" ref="S88" ca="1" si="145">M86&amp;"$"</f>
        <v>1$</v>
      </c>
      <c r="T88" s="215"/>
      <c r="U88" s="212">
        <f ca="1">IF($R86=2,
         IF(AND(ACOMPANHAMENTO="PLE",ISNUMBER($F86)),
                SUMIF((OFFSET(CÁLCULO!$AM$15:$AW$15,$F86,0,OFFSET(ORÇAMENTO!$D$15,CRONO!$F86,0))),CRONO!U$12,OFFSET(CÁLCULO!$AB$15:$AL$15,$F86,0,OFFSET(ORÇAMENTO!$D$15,CRONO!$F86,0)))
                +IF(AND($F88&lt;&gt;"",$F88&lt;&gt;0),
                        SUMIF(CÁLCULO!$AM$15:$AW$89,CRONO!U$12,CÁLCULO!$AB$15:$AL$89)/(ORÇAMENTO!$X$15-CÁLCULO.TotalAdmLocal)*CRONO!$F88,
                        0),
                 U87*$S86),
          SUMIF(OFFSET($S88,1,0,$R86-2),($M86+1)&amp;"$",OFFSET(U88,1,0,$R86-2)))</f>
        <v>0</v>
      </c>
      <c r="V88" s="212">
        <f ca="1">IF($R86=2,
         IF(AND(ACOMPANHAMENTO="PLE",ISNUMBER($F86)),
                SUMIF((OFFSET(CÁLCULO!$AM$15:$AW$15,$F86,0,OFFSET(ORÇAMENTO!$D$15,CRONO!$F86,0))),CRONO!V$12,OFFSET(CÁLCULO!$AB$15:$AL$15,$F86,0,OFFSET(ORÇAMENTO!$D$15,CRONO!$F86,0)))
                +IF(AND($F88&lt;&gt;"",$F88&lt;&gt;0),
                        SUMIF(CÁLCULO!$AM$15:$AW$89,CRONO!V$12,CÁLCULO!$AB$15:$AL$89)/(ORÇAMENTO!$X$15-CÁLCULO.TotalAdmLocal)*CRONO!$F88,
                        0),
                 V87*$S86),
          SUMIF(OFFSET($S88,1,0,$R86-2),($M86+1)&amp;"$",OFFSET(V88,1,0,$R86-2)))</f>
        <v>0</v>
      </c>
      <c r="W88" s="212">
        <f ca="1">IF($R86=2,
         IF(AND(ACOMPANHAMENTO="PLE",ISNUMBER($F86)),
                SUMIF((OFFSET(CÁLCULO!$AM$15:$AW$15,$F86,0,OFFSET(ORÇAMENTO!$D$15,CRONO!$F86,0))),CRONO!W$12,OFFSET(CÁLCULO!$AB$15:$AL$15,$F86,0,OFFSET(ORÇAMENTO!$D$15,CRONO!$F86,0)))
                +IF(AND($F88&lt;&gt;"",$F88&lt;&gt;0),
                        SUMIF(CÁLCULO!$AM$15:$AW$89,CRONO!W$12,CÁLCULO!$AB$15:$AL$89)/(ORÇAMENTO!$X$15-CÁLCULO.TotalAdmLocal)*CRONO!$F88,
                        0),
                 W87*$S86),
          SUMIF(OFFSET($S88,1,0,$R86-2),($M86+1)&amp;"$",OFFSET(W88,1,0,$R86-2)))</f>
        <v>0</v>
      </c>
      <c r="X88" s="212">
        <f ca="1">IF($R86=2,
         IF(AND(ACOMPANHAMENTO="PLE",ISNUMBER($F86)),
                SUMIF((OFFSET(CÁLCULO!$AM$15:$AW$15,$F86,0,OFFSET(ORÇAMENTO!$D$15,CRONO!$F86,0))),CRONO!X$12,OFFSET(CÁLCULO!$AB$15:$AL$15,$F86,0,OFFSET(ORÇAMENTO!$D$15,CRONO!$F86,0)))
                +IF(AND($F88&lt;&gt;"",$F88&lt;&gt;0),
                        SUMIF(CÁLCULO!$AM$15:$AW$89,CRONO!X$12,CÁLCULO!$AB$15:$AL$89)/(ORÇAMENTO!$X$15-CÁLCULO.TotalAdmLocal)*CRONO!$F88,
                        0),
                 X87*$S86),
          SUMIF(OFFSET($S88,1,0,$R86-2),($M86+1)&amp;"$",OFFSET(X88,1,0,$R86-2)))</f>
        <v>0</v>
      </c>
      <c r="Y88" s="212">
        <f ca="1">IF($R86=2,
         IF(AND(ACOMPANHAMENTO="PLE",ISNUMBER($F86)),
                SUMIF((OFFSET(CÁLCULO!$AM$15:$AW$15,$F86,0,OFFSET(ORÇAMENTO!$D$15,CRONO!$F86,0))),CRONO!Y$12,OFFSET(CÁLCULO!$AB$15:$AL$15,$F86,0,OFFSET(ORÇAMENTO!$D$15,CRONO!$F86,0)))
                +IF(AND($F88&lt;&gt;"",$F88&lt;&gt;0),
                        SUMIF(CÁLCULO!$AM$15:$AW$89,CRONO!Y$12,CÁLCULO!$AB$15:$AL$89)/(ORÇAMENTO!$X$15-CÁLCULO.TotalAdmLocal)*CRONO!$F88,
                        0),
                 Y87*$S86),
          SUMIF(OFFSET($S88,1,0,$R86-2),($M86+1)&amp;"$",OFFSET(Y88,1,0,$R86-2)))</f>
        <v>0</v>
      </c>
      <c r="Z88" s="212">
        <f ca="1">IF($R86=2,
         IF(AND(ACOMPANHAMENTO="PLE",ISNUMBER($F86)),
                SUMIF((OFFSET(CÁLCULO!$AM$15:$AW$15,$F86,0,OFFSET(ORÇAMENTO!$D$15,CRONO!$F86,0))),CRONO!Z$12,OFFSET(CÁLCULO!$AB$15:$AL$15,$F86,0,OFFSET(ORÇAMENTO!$D$15,CRONO!$F86,0)))
                +IF(AND($F88&lt;&gt;"",$F88&lt;&gt;0),
                        SUMIF(CÁLCULO!$AM$15:$AW$89,CRONO!Z$12,CÁLCULO!$AB$15:$AL$89)/(ORÇAMENTO!$X$15-CÁLCULO.TotalAdmLocal)*CRONO!$F88,
                        0),
                 Z87*$S86),
          SUMIF(OFFSET($S88,1,0,$R86-2),($M86+1)&amp;"$",OFFSET(Z88,1,0,$R86-2)))</f>
        <v>0</v>
      </c>
      <c r="AA88" s="212">
        <f ca="1">IF($R86=2,
         IF(AND(ACOMPANHAMENTO="PLE",ISNUMBER($F86)),
                SUMIF((OFFSET(CÁLCULO!$AM$15:$AW$15,$F86,0,OFFSET(ORÇAMENTO!$D$15,CRONO!$F86,0))),CRONO!AA$12,OFFSET(CÁLCULO!$AB$15:$AL$15,$F86,0,OFFSET(ORÇAMENTO!$D$15,CRONO!$F86,0)))
                +IF(AND($F88&lt;&gt;"",$F88&lt;&gt;0),
                        SUMIF(CÁLCULO!$AM$15:$AW$89,CRONO!AA$12,CÁLCULO!$AB$15:$AL$89)/(ORÇAMENTO!$X$15-CÁLCULO.TotalAdmLocal)*CRONO!$F88,
                        0),
                 AA87*$S86),
          SUMIF(OFFSET($S88,1,0,$R86-2),($M86+1)&amp;"$",OFFSET(AA88,1,0,$R86-2)))</f>
        <v>0</v>
      </c>
      <c r="AB88" s="212">
        <f ca="1">IF($R86=2,
         IF(AND(ACOMPANHAMENTO="PLE",ISNUMBER($F86)),
                SUMIF((OFFSET(CÁLCULO!$AM$15:$AW$15,$F86,0,OFFSET(ORÇAMENTO!$D$15,CRONO!$F86,0))),CRONO!AB$12,OFFSET(CÁLCULO!$AB$15:$AL$15,$F86,0,OFFSET(ORÇAMENTO!$D$15,CRONO!$F86,0)))
                +IF(AND($F88&lt;&gt;"",$F88&lt;&gt;0),
                        SUMIF(CÁLCULO!$AM$15:$AW$89,CRONO!AB$12,CÁLCULO!$AB$15:$AL$89)/(ORÇAMENTO!$X$15-CÁLCULO.TotalAdmLocal)*CRONO!$F88,
                        0),
                 AB87*$S86),
          SUMIF(OFFSET($S88,1,0,$R86-2),($M86+1)&amp;"$",OFFSET(AB88,1,0,$R86-2)))</f>
        <v>0</v>
      </c>
      <c r="AC88" s="212">
        <f ca="1">IF($R86=2,
         IF(AND(ACOMPANHAMENTO="PLE",ISNUMBER($F86)),
                SUMIF((OFFSET(CÁLCULO!$AM$15:$AW$15,$F86,0,OFFSET(ORÇAMENTO!$D$15,CRONO!$F86,0))),CRONO!AC$12,OFFSET(CÁLCULO!$AB$15:$AL$15,$F86,0,OFFSET(ORÇAMENTO!$D$15,CRONO!$F86,0)))
                +IF(AND($F88&lt;&gt;"",$F88&lt;&gt;0),
                        SUMIF(CÁLCULO!$AM$15:$AW$89,CRONO!AC$12,CÁLCULO!$AB$15:$AL$89)/(ORÇAMENTO!$X$15-CÁLCULO.TotalAdmLocal)*CRONO!$F88,
                        0),
                 AC87*$S86),
          SUMIF(OFFSET($S88,1,0,$R86-2),($M86+1)&amp;"$",OFFSET(AC88,1,0,$R86-2)))</f>
        <v>0</v>
      </c>
      <c r="AD88" s="212">
        <f ca="1">IF($R86=2,
         IF(AND(ACOMPANHAMENTO="PLE",ISNUMBER($F86)),
                SUMIF((OFFSET(CÁLCULO!$AM$15:$AW$15,$F86,0,OFFSET(ORÇAMENTO!$D$15,CRONO!$F86,0))),CRONO!AD$12,OFFSET(CÁLCULO!$AB$15:$AL$15,$F86,0,OFFSET(ORÇAMENTO!$D$15,CRONO!$F86,0)))
                +IF(AND($F88&lt;&gt;"",$F88&lt;&gt;0),
                        SUMIF(CÁLCULO!$AM$15:$AW$89,CRONO!AD$12,CÁLCULO!$AB$15:$AL$89)/(ORÇAMENTO!$X$15-CÁLCULO.TotalAdmLocal)*CRONO!$F88,
                        0),
                 AD87*$S86),
          SUMIF(OFFSET($S88,1,0,$R86-2),($M86+1)&amp;"$",OFFSET(AD88,1,0,$R86-2)))</f>
        <v>0</v>
      </c>
      <c r="AE88" s="212">
        <f ca="1">IF($R86=2,
         IF(AND(ACOMPANHAMENTO="PLE",ISNUMBER($F86)),
                SUMIF((OFFSET(CÁLCULO!$AM$15:$AW$15,$F86,0,OFFSET(ORÇAMENTO!$D$15,CRONO!$F86,0))),CRONO!AE$12,OFFSET(CÁLCULO!$AB$15:$AL$15,$F86,0,OFFSET(ORÇAMENTO!$D$15,CRONO!$F86,0)))
                +IF(AND($F88&lt;&gt;"",$F88&lt;&gt;0),
                        SUMIF(CÁLCULO!$AM$15:$AW$89,CRONO!AE$12,CÁLCULO!$AB$15:$AL$89)/(ORÇAMENTO!$X$15-CÁLCULO.TotalAdmLocal)*CRONO!$F88,
                        0),
                 AE87*$S86),
          SUMIF(OFFSET($S88,1,0,$R86-2),($M86+1)&amp;"$",OFFSET(AE88,1,0,$R86-2)))</f>
        <v>0</v>
      </c>
      <c r="AF88" s="212">
        <f ca="1">IF($R86=2,
         IF(AND(ACOMPANHAMENTO="PLE",ISNUMBER($F86)),
                SUMIF((OFFSET(CÁLCULO!$AM$15:$AW$15,$F86,0,OFFSET(ORÇAMENTO!$D$15,CRONO!$F86,0))),CRONO!AF$12,OFFSET(CÁLCULO!$AB$15:$AL$15,$F86,0,OFFSET(ORÇAMENTO!$D$15,CRONO!$F86,0)))
                +IF(AND($F88&lt;&gt;"",$F88&lt;&gt;0),
                        SUMIF(CÁLCULO!$AM$15:$AW$89,CRONO!AF$12,CÁLCULO!$AB$15:$AL$89)/(ORÇAMENTO!$X$15-CÁLCULO.TotalAdmLocal)*CRONO!$F88,
                        0),
                 AF87*$S86),
          SUMIF(OFFSET($S88,1,0,$R86-2),($M86+1)&amp;"$",OFFSET(AF88,1,0,$R86-2)))</f>
        <v>0</v>
      </c>
      <c r="AG88" s="577"/>
    </row>
    <row r="89" spans="1:33" hidden="1" x14ac:dyDescent="0.2">
      <c r="A89" s="196" t="str">
        <f ca="1">IF($M89&gt;1,CONCATENATE($I89," ",$J89),"")</f>
        <v/>
      </c>
      <c r="B89" s="195">
        <f ca="1">OFFSET(B89,-3,0)+1</f>
        <v>26</v>
      </c>
      <c r="C89" s="195">
        <f ca="1">IF($R89&lt;&gt;2,0,IF($S89=0,1,IF(F90&gt;0,OFFSET(QCI!$M$13,SUBSTITUTE(F90,".",""),0),OFFSET(ORÇAMENTO!$AA$15,CRONO!$F89,0))/$S89))</f>
        <v>0</v>
      </c>
      <c r="D89" s="195">
        <f ca="1">IF($R89&lt;&gt;2,0,IF($S89=0,1,IF(F90&gt;0,OFFSET(QCI!$N$13,SUBSTITUTE(F90,".",""),0),OFFSET(ORÇAMENTO!$AB$15,CRONO!$F89,0))/$S89))</f>
        <v>0</v>
      </c>
      <c r="E89" s="198" t="e">
        <f ca="1">IF(AND($R89=2,ACOMPANHAMENTO="BM"),ROUND(E90,4),E91/$S89)</f>
        <v>#VALUE!</v>
      </c>
      <c r="F89" s="195" t="e">
        <f ca="1">IF(B89&lt;=ORÇAMENTO.MáximoListaCrono,MATCH(B89,ORÇAMENTO.ListaCrono,0),NA())</f>
        <v>#N/A</v>
      </c>
      <c r="G89" s="195" t="str">
        <f ca="1">IF(AND($F90&lt;&gt;-1,$S89&gt;0),"F","")</f>
        <v/>
      </c>
      <c r="H89" s="199" t="str">
        <f ca="1">IF(OR(S89=0,S89=""),"Linha",IF(AND(OR(ACOMPANHAMENTO="PLE",$R89&lt;&gt;2),$F90=0),"Linha",ROUND(1-SUM(U89:AG89),4)))</f>
        <v>Linha</v>
      </c>
      <c r="I89" s="200" t="str">
        <f ca="1">IF($F90=0,OFFSET(ORÇAMENTO!O$15,$F89,0),IF($F90&lt;&gt;-1,OFFSET(QCI!$D$13,$F90,0),""))</f>
        <v/>
      </c>
      <c r="J89" s="201" t="str">
        <f ca="1">IF($F90=0,OFFSET(ORÇAMENTO!R$15,$F89,0),IF($F90&lt;&gt;-1,OFFSET(QCI!$G$13,$F90,0),""))</f>
        <v/>
      </c>
      <c r="K89" s="201"/>
      <c r="L89" s="201"/>
      <c r="M89" s="202">
        <f ca="1">IF($F90=0,OFFSET(ORÇAMENTO!C$15,$F89,0),1)</f>
        <v>1</v>
      </c>
      <c r="N89" s="203">
        <f ca="1">IF($F90=-1,0,IF(N$13&lt;=$M89,IF(ISERROR(MATCH(N$13,OFFSET($M89,1,0,ROW($M$92)-ROW($M89)-1),0)),ROW($M$92)-ROW($M89)-1,MATCH(N$13,OFFSET($M89,1,0,ROW($M$92)-ROW($M89)-1),0)-1),0))</f>
        <v>0</v>
      </c>
      <c r="O89" s="203">
        <f ca="1">IF($F90=-1,0,IF(O$13&lt;=$M89,IF(ISERROR(MATCH(O$13,OFFSET($M89,1,0,ROW($M$92)-ROW($M89)-1),0)),ROW($M$92)-ROW($M89)-1,MATCH(O$13,OFFSET($M89,1,0,ROW($M$92)-ROW($M89)-1),0)-1),0))</f>
        <v>0</v>
      </c>
      <c r="P89" s="203">
        <f ca="1">IF($F90=-1,0,IF(P$13&lt;=$M89,IF(ISERROR(MATCH(P$13,OFFSET($M89,1,0,ROW($M$92)-ROW($M89)-1),0)),ROW($M$92)-ROW($M89)-1,MATCH(P$13,OFFSET($M89,1,0,ROW($M$92)-ROW($M89)-1),0)-1),0))</f>
        <v>0</v>
      </c>
      <c r="Q89" s="203">
        <f ca="1">IF($F90=-1,0,IF(Q$13&lt;=$M89,IF(ISERROR(MATCH(Q$13,OFFSET($M89,1,0,ROW($M$92)-ROW($M89)-1),0)),ROW($M$92)-ROW($M89)-1,MATCH(Q$13,OFFSET($M89,1,0,ROW($M$92)-ROW($M89)-1),0)-1),0))</f>
        <v>0</v>
      </c>
      <c r="R89" s="203">
        <f ca="1">MIN(OFFSET(M89,0,1,,M89))</f>
        <v>0</v>
      </c>
      <c r="S89" s="204" t="str">
        <f ca="1">IF($F90=0,OFFSET(ORÇAMENTO!X$15,$F89,0),IF($F90&lt;&gt;-1,OFFSET(QCI!$O$13,$F90,0),""))</f>
        <v/>
      </c>
      <c r="T89" s="205" t="s">
        <v>266</v>
      </c>
      <c r="U89" s="198" t="e">
        <f ca="1">IF(AND($R89=2,ACOMPANHAMENTO="BM"),ROUND(U90,4),U91/$S89)</f>
        <v>#VALUE!</v>
      </c>
      <c r="V89" s="198" t="e">
        <f ca="1">IF(AND($R89=2,ACOMPANHAMENTO="BM"),ROUND(V90,4),V91/$S89)</f>
        <v>#VALUE!</v>
      </c>
      <c r="W89" s="198" t="e">
        <f ca="1">IF(AND($R89=2,ACOMPANHAMENTO="BM"),ROUND(W90,4),W91/$S89)</f>
        <v>#VALUE!</v>
      </c>
      <c r="X89" s="198" t="e">
        <f ca="1">IF(AND($R89=2,ACOMPANHAMENTO="BM"),ROUND(X90,4),X91/$S89)</f>
        <v>#VALUE!</v>
      </c>
      <c r="Y89" s="198" t="e">
        <f ca="1">IF(AND($R89=2,ACOMPANHAMENTO="BM"),ROUND(Y90,4),Y91/$S89)</f>
        <v>#VALUE!</v>
      </c>
      <c r="Z89" s="198" t="e">
        <f ca="1">IF(AND($R89=2,ACOMPANHAMENTO="BM"),ROUND(Z90,4),Z91/$S89)</f>
        <v>#VALUE!</v>
      </c>
      <c r="AA89" s="198" t="e">
        <f ca="1">IF(AND($R89=2,ACOMPANHAMENTO="BM"),ROUND(AA90,4),AA91/$S89)</f>
        <v>#VALUE!</v>
      </c>
      <c r="AB89" s="198" t="e">
        <f ca="1">IF(AND($R89=2,ACOMPANHAMENTO="BM"),ROUND(AB90,4),AB91/$S89)</f>
        <v>#VALUE!</v>
      </c>
      <c r="AC89" s="198" t="e">
        <f ca="1">IF(AND($R89=2,ACOMPANHAMENTO="BM"),ROUND(AC90,4),AC91/$S89)</f>
        <v>#VALUE!</v>
      </c>
      <c r="AD89" s="198" t="e">
        <f ca="1">IF(AND($R89=2,ACOMPANHAMENTO="BM"),ROUND(AD90,4),AD91/$S89)</f>
        <v>#VALUE!</v>
      </c>
      <c r="AE89" s="198" t="e">
        <f ca="1">IF(AND($R89=2,ACOMPANHAMENTO="BM"),ROUND(AE90,4),AE91/$S89)</f>
        <v>#VALUE!</v>
      </c>
      <c r="AF89" s="198" t="e">
        <f ca="1">IF(AND($R89=2,ACOMPANHAMENTO="BM"),ROUND(AF90,4),AF91/$S89)</f>
        <v>#VALUE!</v>
      </c>
      <c r="AG89" s="577"/>
    </row>
    <row r="90" spans="1:33" ht="12.75" hidden="1" customHeight="1" x14ac:dyDescent="0.2">
      <c r="E90" s="646"/>
      <c r="F90" s="195">
        <f ca="1">IF(ISERROR(F89),IF(1+COUNTIF($M$13:OFFSET(M89,-1,0),1)&lt;=MAX(QCI!$D$13:$D$24),1+COUNTIF($M$13:OFFSET(M89,-1,0),1),-1),0)</f>
        <v>-1</v>
      </c>
      <c r="G90" s="195" t="str">
        <f ca="1">IF(ACOMPANHAMENTO="BM",OFFSET(G90,-1,0),"")</f>
        <v/>
      </c>
      <c r="H90" s="206" t="str">
        <f ca="1">IF(OR(S89=0,S89=""),"vazia",IF(AND(OR(ACOMPANHAMENTO="PLE",$R89&lt;&gt;2),$F90=0),"calculada","--&gt;"))</f>
        <v>vazia</v>
      </c>
      <c r="I90" s="207"/>
      <c r="J90" s="208" t="str">
        <f ca="1">IF(AND(H89&lt;&gt;0,ISNUMBER(H89)),"PREENCHA ESTA LINHA --&gt;","")</f>
        <v/>
      </c>
      <c r="K90" s="208"/>
      <c r="L90" s="208"/>
      <c r="M90" s="209"/>
      <c r="N90" s="209"/>
      <c r="O90" s="209"/>
      <c r="P90" s="209"/>
      <c r="Q90" s="209"/>
      <c r="R90" s="209"/>
      <c r="S90" s="210"/>
      <c r="T90" s="211"/>
      <c r="U90" s="646"/>
      <c r="V90" s="646"/>
      <c r="W90" s="646"/>
      <c r="X90" s="646"/>
      <c r="Y90" s="646"/>
      <c r="Z90" s="646"/>
      <c r="AA90" s="646"/>
      <c r="AB90" s="646"/>
      <c r="AC90" s="646"/>
      <c r="AD90" s="646"/>
      <c r="AE90" s="646"/>
      <c r="AF90" s="646"/>
      <c r="AG90" s="577"/>
    </row>
    <row r="91" spans="1:33" ht="12.75" hidden="1" customHeight="1" x14ac:dyDescent="0.2">
      <c r="D91" s="576"/>
      <c r="E91" s="212">
        <f ca="1">IF($R89=2,
         IF(AND(ACOMPANHAMENTO="PLE",ISNUMBER($F89)),
                SUMIF((OFFSET(CÁLCULO!$AM$15:$AW$15,$F89,0,OFFSET(ORÇAMENTO!$D$15,CRONO!$F89,0))),CRONO!E$12,OFFSET(CÁLCULO!$AB$15:$AL$15,$F89,0,OFFSET(ORÇAMENTO!$D$15,CRONO!$F89,0)))
                +IF(AND($F91&lt;&gt;"",$F91&lt;&gt;0),
                        SUMIF(CÁLCULO!$AM$15:$AW$89,CRONO!E$12,CÁLCULO!$AB$15:$AL$89)/(ORÇAMENTO!$X$15-CÁLCULO.TotalAdmLocal)*CRONO!$F91,
                        0),
                 E90*$S89),
          SUMIF(OFFSET($S91,1,0,$R89-2),($M89+1)&amp;"$",OFFSET(E91,1,0,$R89-2)))</f>
        <v>0</v>
      </c>
      <c r="F91" s="195" t="str">
        <f ca="1">IF(OR($R89&lt;&gt;2,AUTOEVENTO&lt;&gt;"manual",$F90&gt;0),"",
        IF(Import.TipoArredondamento="Tradicional",
              SUMIF(OFFSET(CÁLCULO!$M$15,CRONO!$F89,0,OFFSET(ORÇAMENTO!$D$15,CRONO!$F89,0)),1,OFFSET(ORÇAMENTO!$X$15,CRONO!$F89,0,OFFSET(ORÇAMENTO!$D$15,CRONO!$F89,0))),
              0))</f>
        <v/>
      </c>
      <c r="H91" s="213"/>
      <c r="S91" s="214" t="str">
        <f ca="1">M89&amp;"$"</f>
        <v>1$</v>
      </c>
      <c r="T91" s="215"/>
      <c r="U91" s="212">
        <f ca="1">IF($R89=2,
         IF(AND(ACOMPANHAMENTO="PLE",ISNUMBER($F89)),
                SUMIF((OFFSET(CÁLCULO!$AM$15:$AW$15,$F89,0,OFFSET(ORÇAMENTO!$D$15,CRONO!$F89,0))),CRONO!U$12,OFFSET(CÁLCULO!$AB$15:$AL$15,$F89,0,OFFSET(ORÇAMENTO!$D$15,CRONO!$F89,0)))
                +IF(AND($F91&lt;&gt;"",$F91&lt;&gt;0),
                        SUMIF(CÁLCULO!$AM$15:$AW$89,CRONO!U$12,CÁLCULO!$AB$15:$AL$89)/(ORÇAMENTO!$X$15-CÁLCULO.TotalAdmLocal)*CRONO!$F91,
                        0),
                 U90*$S89),
          SUMIF(OFFSET($S91,1,0,$R89-2),($M89+1)&amp;"$",OFFSET(U91,1,0,$R89-2)))</f>
        <v>0</v>
      </c>
      <c r="V91" s="212">
        <f ca="1">IF($R89=2,
         IF(AND(ACOMPANHAMENTO="PLE",ISNUMBER($F89)),
                SUMIF((OFFSET(CÁLCULO!$AM$15:$AW$15,$F89,0,OFFSET(ORÇAMENTO!$D$15,CRONO!$F89,0))),CRONO!V$12,OFFSET(CÁLCULO!$AB$15:$AL$15,$F89,0,OFFSET(ORÇAMENTO!$D$15,CRONO!$F89,0)))
                +IF(AND($F91&lt;&gt;"",$F91&lt;&gt;0),
                        SUMIF(CÁLCULO!$AM$15:$AW$89,CRONO!V$12,CÁLCULO!$AB$15:$AL$89)/(ORÇAMENTO!$X$15-CÁLCULO.TotalAdmLocal)*CRONO!$F91,
                        0),
                 V90*$S89),
          SUMIF(OFFSET($S91,1,0,$R89-2),($M89+1)&amp;"$",OFFSET(V91,1,0,$R89-2)))</f>
        <v>0</v>
      </c>
      <c r="W91" s="212">
        <f ca="1">IF($R89=2,
         IF(AND(ACOMPANHAMENTO="PLE",ISNUMBER($F89)),
                SUMIF((OFFSET(CÁLCULO!$AM$15:$AW$15,$F89,0,OFFSET(ORÇAMENTO!$D$15,CRONO!$F89,0))),CRONO!W$12,OFFSET(CÁLCULO!$AB$15:$AL$15,$F89,0,OFFSET(ORÇAMENTO!$D$15,CRONO!$F89,0)))
                +IF(AND($F91&lt;&gt;"",$F91&lt;&gt;0),
                        SUMIF(CÁLCULO!$AM$15:$AW$89,CRONO!W$12,CÁLCULO!$AB$15:$AL$89)/(ORÇAMENTO!$X$15-CÁLCULO.TotalAdmLocal)*CRONO!$F91,
                        0),
                 W90*$S89),
          SUMIF(OFFSET($S91,1,0,$R89-2),($M89+1)&amp;"$",OFFSET(W91,1,0,$R89-2)))</f>
        <v>0</v>
      </c>
      <c r="X91" s="212">
        <f ca="1">IF($R89=2,
         IF(AND(ACOMPANHAMENTO="PLE",ISNUMBER($F89)),
                SUMIF((OFFSET(CÁLCULO!$AM$15:$AW$15,$F89,0,OFFSET(ORÇAMENTO!$D$15,CRONO!$F89,0))),CRONO!X$12,OFFSET(CÁLCULO!$AB$15:$AL$15,$F89,0,OFFSET(ORÇAMENTO!$D$15,CRONO!$F89,0)))
                +IF(AND($F91&lt;&gt;"",$F91&lt;&gt;0),
                        SUMIF(CÁLCULO!$AM$15:$AW$89,CRONO!X$12,CÁLCULO!$AB$15:$AL$89)/(ORÇAMENTO!$X$15-CÁLCULO.TotalAdmLocal)*CRONO!$F91,
                        0),
                 X90*$S89),
          SUMIF(OFFSET($S91,1,0,$R89-2),($M89+1)&amp;"$",OFFSET(X91,1,0,$R89-2)))</f>
        <v>0</v>
      </c>
      <c r="Y91" s="212">
        <f ca="1">IF($R89=2,
         IF(AND(ACOMPANHAMENTO="PLE",ISNUMBER($F89)),
                SUMIF((OFFSET(CÁLCULO!$AM$15:$AW$15,$F89,0,OFFSET(ORÇAMENTO!$D$15,CRONO!$F89,0))),CRONO!Y$12,OFFSET(CÁLCULO!$AB$15:$AL$15,$F89,0,OFFSET(ORÇAMENTO!$D$15,CRONO!$F89,0)))
                +IF(AND($F91&lt;&gt;"",$F91&lt;&gt;0),
                        SUMIF(CÁLCULO!$AM$15:$AW$89,CRONO!Y$12,CÁLCULO!$AB$15:$AL$89)/(ORÇAMENTO!$X$15-CÁLCULO.TotalAdmLocal)*CRONO!$F91,
                        0),
                 Y90*$S89),
          SUMIF(OFFSET($S91,1,0,$R89-2),($M89+1)&amp;"$",OFFSET(Y91,1,0,$R89-2)))</f>
        <v>0</v>
      </c>
      <c r="Z91" s="212">
        <f ca="1">IF($R89=2,
         IF(AND(ACOMPANHAMENTO="PLE",ISNUMBER($F89)),
                SUMIF((OFFSET(CÁLCULO!$AM$15:$AW$15,$F89,0,OFFSET(ORÇAMENTO!$D$15,CRONO!$F89,0))),CRONO!Z$12,OFFSET(CÁLCULO!$AB$15:$AL$15,$F89,0,OFFSET(ORÇAMENTO!$D$15,CRONO!$F89,0)))
                +IF(AND($F91&lt;&gt;"",$F91&lt;&gt;0),
                        SUMIF(CÁLCULO!$AM$15:$AW$89,CRONO!Z$12,CÁLCULO!$AB$15:$AL$89)/(ORÇAMENTO!$X$15-CÁLCULO.TotalAdmLocal)*CRONO!$F91,
                        0),
                 Z90*$S89),
          SUMIF(OFFSET($S91,1,0,$R89-2),($M89+1)&amp;"$",OFFSET(Z91,1,0,$R89-2)))</f>
        <v>0</v>
      </c>
      <c r="AA91" s="212">
        <f ca="1">IF($R89=2,
         IF(AND(ACOMPANHAMENTO="PLE",ISNUMBER($F89)),
                SUMIF((OFFSET(CÁLCULO!$AM$15:$AW$15,$F89,0,OFFSET(ORÇAMENTO!$D$15,CRONO!$F89,0))),CRONO!AA$12,OFFSET(CÁLCULO!$AB$15:$AL$15,$F89,0,OFFSET(ORÇAMENTO!$D$15,CRONO!$F89,0)))
                +IF(AND($F91&lt;&gt;"",$F91&lt;&gt;0),
                        SUMIF(CÁLCULO!$AM$15:$AW$89,CRONO!AA$12,CÁLCULO!$AB$15:$AL$89)/(ORÇAMENTO!$X$15-CÁLCULO.TotalAdmLocal)*CRONO!$F91,
                        0),
                 AA90*$S89),
          SUMIF(OFFSET($S91,1,0,$R89-2),($M89+1)&amp;"$",OFFSET(AA91,1,0,$R89-2)))</f>
        <v>0</v>
      </c>
      <c r="AB91" s="212">
        <f ca="1">IF($R89=2,
         IF(AND(ACOMPANHAMENTO="PLE",ISNUMBER($F89)),
                SUMIF((OFFSET(CÁLCULO!$AM$15:$AW$15,$F89,0,OFFSET(ORÇAMENTO!$D$15,CRONO!$F89,0))),CRONO!AB$12,OFFSET(CÁLCULO!$AB$15:$AL$15,$F89,0,OFFSET(ORÇAMENTO!$D$15,CRONO!$F89,0)))
                +IF(AND($F91&lt;&gt;"",$F91&lt;&gt;0),
                        SUMIF(CÁLCULO!$AM$15:$AW$89,CRONO!AB$12,CÁLCULO!$AB$15:$AL$89)/(ORÇAMENTO!$X$15-CÁLCULO.TotalAdmLocal)*CRONO!$F91,
                        0),
                 AB90*$S89),
          SUMIF(OFFSET($S91,1,0,$R89-2),($M89+1)&amp;"$",OFFSET(AB91,1,0,$R89-2)))</f>
        <v>0</v>
      </c>
      <c r="AC91" s="212">
        <f ca="1">IF($R89=2,
         IF(AND(ACOMPANHAMENTO="PLE",ISNUMBER($F89)),
                SUMIF((OFFSET(CÁLCULO!$AM$15:$AW$15,$F89,0,OFFSET(ORÇAMENTO!$D$15,CRONO!$F89,0))),CRONO!AC$12,OFFSET(CÁLCULO!$AB$15:$AL$15,$F89,0,OFFSET(ORÇAMENTO!$D$15,CRONO!$F89,0)))
                +IF(AND($F91&lt;&gt;"",$F91&lt;&gt;0),
                        SUMIF(CÁLCULO!$AM$15:$AW$89,CRONO!AC$12,CÁLCULO!$AB$15:$AL$89)/(ORÇAMENTO!$X$15-CÁLCULO.TotalAdmLocal)*CRONO!$F91,
                        0),
                 AC90*$S89),
          SUMIF(OFFSET($S91,1,0,$R89-2),($M89+1)&amp;"$",OFFSET(AC91,1,0,$R89-2)))</f>
        <v>0</v>
      </c>
      <c r="AD91" s="212">
        <f ca="1">IF($R89=2,
         IF(AND(ACOMPANHAMENTO="PLE",ISNUMBER($F89)),
                SUMIF((OFFSET(CÁLCULO!$AM$15:$AW$15,$F89,0,OFFSET(ORÇAMENTO!$D$15,CRONO!$F89,0))),CRONO!AD$12,OFFSET(CÁLCULO!$AB$15:$AL$15,$F89,0,OFFSET(ORÇAMENTO!$D$15,CRONO!$F89,0)))
                +IF(AND($F91&lt;&gt;"",$F91&lt;&gt;0),
                        SUMIF(CÁLCULO!$AM$15:$AW$89,CRONO!AD$12,CÁLCULO!$AB$15:$AL$89)/(ORÇAMENTO!$X$15-CÁLCULO.TotalAdmLocal)*CRONO!$F91,
                        0),
                 AD90*$S89),
          SUMIF(OFFSET($S91,1,0,$R89-2),($M89+1)&amp;"$",OFFSET(AD91,1,0,$R89-2)))</f>
        <v>0</v>
      </c>
      <c r="AE91" s="212">
        <f ca="1">IF($R89=2,
         IF(AND(ACOMPANHAMENTO="PLE",ISNUMBER($F89)),
                SUMIF((OFFSET(CÁLCULO!$AM$15:$AW$15,$F89,0,OFFSET(ORÇAMENTO!$D$15,CRONO!$F89,0))),CRONO!AE$12,OFFSET(CÁLCULO!$AB$15:$AL$15,$F89,0,OFFSET(ORÇAMENTO!$D$15,CRONO!$F89,0)))
                +IF(AND($F91&lt;&gt;"",$F91&lt;&gt;0),
                        SUMIF(CÁLCULO!$AM$15:$AW$89,CRONO!AE$12,CÁLCULO!$AB$15:$AL$89)/(ORÇAMENTO!$X$15-CÁLCULO.TotalAdmLocal)*CRONO!$F91,
                        0),
                 AE90*$S89),
          SUMIF(OFFSET($S91,1,0,$R89-2),($M89+1)&amp;"$",OFFSET(AE91,1,0,$R89-2)))</f>
        <v>0</v>
      </c>
      <c r="AF91" s="212">
        <f ca="1">IF($R89=2,
         IF(AND(ACOMPANHAMENTO="PLE",ISNUMBER($F89)),
                SUMIF((OFFSET(CÁLCULO!$AM$15:$AW$15,$F89,0,OFFSET(ORÇAMENTO!$D$15,CRONO!$F89,0))),CRONO!AF$12,OFFSET(CÁLCULO!$AB$15:$AL$15,$F89,0,OFFSET(ORÇAMENTO!$D$15,CRONO!$F89,0)))
                +IF(AND($F91&lt;&gt;"",$F91&lt;&gt;0),
                        SUMIF(CÁLCULO!$AM$15:$AW$89,CRONO!AF$12,CÁLCULO!$AB$15:$AL$89)/(ORÇAMENTO!$X$15-CÁLCULO.TotalAdmLocal)*CRONO!$F91,
                        0),
                 AF90*$S89),
          SUMIF(OFFSET($S91,1,0,$R89-2),($M89+1)&amp;"$",OFFSET(AF91,1,0,$R89-2)))</f>
        <v>0</v>
      </c>
      <c r="AG91" s="577"/>
    </row>
    <row r="92" spans="1:33" ht="5.0999999999999996" customHeight="1" x14ac:dyDescent="0.2">
      <c r="E92" s="457"/>
      <c r="G92" s="195" t="s">
        <v>244</v>
      </c>
      <c r="H92" s="458"/>
      <c r="I92" s="459"/>
      <c r="J92" s="460"/>
      <c r="K92" s="460"/>
      <c r="L92" s="460"/>
      <c r="M92" s="461" t="s">
        <v>277</v>
      </c>
      <c r="N92" s="461"/>
      <c r="O92" s="461"/>
      <c r="P92" s="461"/>
      <c r="Q92" s="461"/>
      <c r="R92" s="461"/>
      <c r="S92" s="462"/>
      <c r="T92" s="462"/>
      <c r="U92" s="460"/>
      <c r="V92" s="460"/>
      <c r="W92" s="460"/>
      <c r="X92" s="460"/>
      <c r="Y92" s="460"/>
      <c r="Z92" s="460"/>
      <c r="AA92" s="460"/>
      <c r="AB92" s="460"/>
      <c r="AC92" s="460"/>
      <c r="AD92" s="460"/>
      <c r="AE92" s="460"/>
      <c r="AF92" s="460"/>
      <c r="AG92" s="577"/>
    </row>
    <row r="93" spans="1:33" ht="12.75" customHeight="1" x14ac:dyDescent="0.2">
      <c r="E93" s="571" t="e">
        <f ca="1">E97/$R$93</f>
        <v>#DIV/0!</v>
      </c>
      <c r="G93" s="195" t="s">
        <v>244</v>
      </c>
      <c r="I93" s="750" t="str">
        <f ca="1">"Total:    R$ "&amp;TEXT(R93,"#.##0,00")</f>
        <v>Total:    R$ 0,00</v>
      </c>
      <c r="J93" s="750"/>
      <c r="K93" s="750"/>
      <c r="L93" s="237"/>
      <c r="R93" s="238">
        <f ca="1">SUMIF(M12:M92,1,S12:S92)</f>
        <v>0</v>
      </c>
      <c r="S93" s="239"/>
      <c r="T93" s="240" t="s">
        <v>278</v>
      </c>
      <c r="U93" s="571" t="e">
        <f t="shared" ref="U93:AF93" ca="1" si="146">ROUND(U97,2)/$R$93</f>
        <v>#DIV/0!</v>
      </c>
      <c r="V93" s="571" t="e">
        <f t="shared" ca="1" si="146"/>
        <v>#DIV/0!</v>
      </c>
      <c r="W93" s="571" t="e">
        <f t="shared" ca="1" si="146"/>
        <v>#DIV/0!</v>
      </c>
      <c r="X93" s="571" t="e">
        <f t="shared" ca="1" si="146"/>
        <v>#DIV/0!</v>
      </c>
      <c r="Y93" s="571" t="e">
        <f t="shared" ca="1" si="146"/>
        <v>#DIV/0!</v>
      </c>
      <c r="Z93" s="571" t="e">
        <f t="shared" ca="1" si="146"/>
        <v>#DIV/0!</v>
      </c>
      <c r="AA93" s="571" t="e">
        <f t="shared" ca="1" si="146"/>
        <v>#DIV/0!</v>
      </c>
      <c r="AB93" s="571" t="e">
        <f t="shared" ca="1" si="146"/>
        <v>#DIV/0!</v>
      </c>
      <c r="AC93" s="571" t="e">
        <f t="shared" ca="1" si="146"/>
        <v>#DIV/0!</v>
      </c>
      <c r="AD93" s="571" t="e">
        <f t="shared" ca="1" si="146"/>
        <v>#DIV/0!</v>
      </c>
      <c r="AE93" s="571" t="e">
        <f t="shared" ca="1" si="146"/>
        <v>#DIV/0!</v>
      </c>
      <c r="AF93" s="582" t="e">
        <f t="shared" ca="1" si="146"/>
        <v>#DIV/0!</v>
      </c>
      <c r="AG93" s="577"/>
    </row>
    <row r="94" spans="1:33" ht="15" customHeight="1" x14ac:dyDescent="0.2">
      <c r="E94" s="241">
        <f ca="1">ROUND(E99,2)-ROUND(D99,2)</f>
        <v>0</v>
      </c>
      <c r="G94" s="195" t="s">
        <v>244</v>
      </c>
      <c r="I94" s="750"/>
      <c r="J94" s="750"/>
      <c r="K94" s="750"/>
      <c r="L94" s="242"/>
      <c r="R94" s="238"/>
      <c r="S94" s="243"/>
      <c r="T94" s="244" t="str">
        <f>IF(import.recurso="FGTS","Financiamento:","Repasse:")</f>
        <v>Repasse:</v>
      </c>
      <c r="U94" s="241">
        <f ca="1">ROUND(U99,2)</f>
        <v>0</v>
      </c>
      <c r="V94" s="241">
        <f t="shared" ref="V94:AF94" ca="1" si="147">ROUND(V99,2)-ROUND(U99,2)</f>
        <v>0</v>
      </c>
      <c r="W94" s="241">
        <f t="shared" ca="1" si="147"/>
        <v>0</v>
      </c>
      <c r="X94" s="241">
        <f t="shared" ca="1" si="147"/>
        <v>0</v>
      </c>
      <c r="Y94" s="241">
        <f t="shared" ca="1" si="147"/>
        <v>0</v>
      </c>
      <c r="Z94" s="241">
        <f t="shared" ca="1" si="147"/>
        <v>0</v>
      </c>
      <c r="AA94" s="241">
        <f t="shared" ca="1" si="147"/>
        <v>0</v>
      </c>
      <c r="AB94" s="241">
        <f t="shared" ca="1" si="147"/>
        <v>0</v>
      </c>
      <c r="AC94" s="241">
        <f t="shared" ca="1" si="147"/>
        <v>0</v>
      </c>
      <c r="AD94" s="241">
        <f t="shared" ca="1" si="147"/>
        <v>0</v>
      </c>
      <c r="AE94" s="241">
        <f t="shared" ca="1" si="147"/>
        <v>0</v>
      </c>
      <c r="AF94" s="583">
        <f t="shared" ca="1" si="147"/>
        <v>0</v>
      </c>
      <c r="AG94" s="577"/>
    </row>
    <row r="95" spans="1:33" ht="12.75" customHeight="1" x14ac:dyDescent="0.2">
      <c r="E95" s="572">
        <f ca="1">ROUND(E100,2)-ROUND(D100,2)</f>
        <v>0</v>
      </c>
      <c r="G95" s="195" t="s">
        <v>244</v>
      </c>
      <c r="I95" s="245"/>
      <c r="L95" s="246" t="s">
        <v>279</v>
      </c>
      <c r="R95" s="238"/>
      <c r="S95" s="247"/>
      <c r="T95" s="248" t="s">
        <v>280</v>
      </c>
      <c r="U95" s="572">
        <f ca="1">ROUND(U100,2)</f>
        <v>0</v>
      </c>
      <c r="V95" s="572">
        <f t="shared" ref="V95:AF95" ca="1" si="148">ROUND(V100,2)-ROUND(U100,2)</f>
        <v>0</v>
      </c>
      <c r="W95" s="572">
        <f t="shared" ca="1" si="148"/>
        <v>0</v>
      </c>
      <c r="X95" s="572">
        <f t="shared" ca="1" si="148"/>
        <v>0</v>
      </c>
      <c r="Y95" s="572">
        <f t="shared" ca="1" si="148"/>
        <v>0</v>
      </c>
      <c r="Z95" s="572">
        <f t="shared" ca="1" si="148"/>
        <v>0</v>
      </c>
      <c r="AA95" s="572">
        <f t="shared" ca="1" si="148"/>
        <v>0</v>
      </c>
      <c r="AB95" s="572">
        <f t="shared" ca="1" si="148"/>
        <v>0</v>
      </c>
      <c r="AC95" s="572">
        <f t="shared" ca="1" si="148"/>
        <v>0</v>
      </c>
      <c r="AD95" s="572">
        <f t="shared" ca="1" si="148"/>
        <v>0</v>
      </c>
      <c r="AE95" s="572">
        <f t="shared" ca="1" si="148"/>
        <v>0</v>
      </c>
      <c r="AF95" s="584">
        <f t="shared" ca="1" si="148"/>
        <v>0</v>
      </c>
      <c r="AG95" s="577"/>
    </row>
    <row r="96" spans="1:33" x14ac:dyDescent="0.2">
      <c r="E96" s="249">
        <f ca="1">ROUND(E101,2)-ROUND(D101,2)</f>
        <v>0</v>
      </c>
      <c r="G96" s="195" t="s">
        <v>244</v>
      </c>
      <c r="I96" s="245"/>
      <c r="L96" s="246"/>
      <c r="R96" s="238"/>
      <c r="S96" s="250"/>
      <c r="T96" s="251" t="s">
        <v>281</v>
      </c>
      <c r="U96" s="249">
        <f ca="1">ROUND(U101,2)</f>
        <v>0</v>
      </c>
      <c r="V96" s="249">
        <f t="shared" ref="V96:AF96" ca="1" si="149">ROUND(V101,2)-ROUND(U101,2)</f>
        <v>0</v>
      </c>
      <c r="W96" s="249">
        <f t="shared" ca="1" si="149"/>
        <v>0</v>
      </c>
      <c r="X96" s="249">
        <f t="shared" ca="1" si="149"/>
        <v>0</v>
      </c>
      <c r="Y96" s="249">
        <f t="shared" ca="1" si="149"/>
        <v>0</v>
      </c>
      <c r="Z96" s="249">
        <f t="shared" ca="1" si="149"/>
        <v>0</v>
      </c>
      <c r="AA96" s="249">
        <f t="shared" ca="1" si="149"/>
        <v>0</v>
      </c>
      <c r="AB96" s="249">
        <f t="shared" ca="1" si="149"/>
        <v>0</v>
      </c>
      <c r="AC96" s="249">
        <f t="shared" ca="1" si="149"/>
        <v>0</v>
      </c>
      <c r="AD96" s="249">
        <f t="shared" ca="1" si="149"/>
        <v>0</v>
      </c>
      <c r="AE96" s="249">
        <f t="shared" ca="1" si="149"/>
        <v>0</v>
      </c>
      <c r="AF96" s="585">
        <f t="shared" ca="1" si="149"/>
        <v>0</v>
      </c>
      <c r="AG96" s="577"/>
    </row>
    <row r="97" spans="4:33" x14ac:dyDescent="0.2">
      <c r="E97" s="573">
        <f ca="1">ROUND(E102,2)-ROUND(D103,2)</f>
        <v>0</v>
      </c>
      <c r="G97" s="195" t="s">
        <v>244</v>
      </c>
      <c r="H97" s="579"/>
      <c r="L97" s="252"/>
      <c r="S97" s="253"/>
      <c r="T97" s="254" t="s">
        <v>282</v>
      </c>
      <c r="U97" s="573">
        <f ca="1">ROUND(U102,2)</f>
        <v>0</v>
      </c>
      <c r="V97" s="573">
        <f t="shared" ref="V97:AF97" ca="1" si="150">ROUND(V102,2)-ROUND(U102,2)</f>
        <v>0</v>
      </c>
      <c r="W97" s="573">
        <f t="shared" ca="1" si="150"/>
        <v>0</v>
      </c>
      <c r="X97" s="573">
        <f t="shared" ca="1" si="150"/>
        <v>0</v>
      </c>
      <c r="Y97" s="573">
        <f t="shared" ca="1" si="150"/>
        <v>0</v>
      </c>
      <c r="Z97" s="573">
        <f t="shared" ca="1" si="150"/>
        <v>0</v>
      </c>
      <c r="AA97" s="573">
        <f t="shared" ca="1" si="150"/>
        <v>0</v>
      </c>
      <c r="AB97" s="573">
        <f t="shared" ca="1" si="150"/>
        <v>0</v>
      </c>
      <c r="AC97" s="573">
        <f t="shared" ca="1" si="150"/>
        <v>0</v>
      </c>
      <c r="AD97" s="573">
        <f t="shared" ca="1" si="150"/>
        <v>0</v>
      </c>
      <c r="AE97" s="573">
        <f t="shared" ca="1" si="150"/>
        <v>0</v>
      </c>
      <c r="AF97" s="586">
        <f t="shared" ca="1" si="150"/>
        <v>0</v>
      </c>
      <c r="AG97" s="577"/>
    </row>
    <row r="98" spans="4:33" x14ac:dyDescent="0.2">
      <c r="E98" s="571" t="e">
        <f ca="1">ROUND(E102,2)/$R$93</f>
        <v>#DIV/0!</v>
      </c>
      <c r="G98" s="195" t="s">
        <v>244</v>
      </c>
      <c r="L98" s="237"/>
      <c r="S98" s="239"/>
      <c r="T98" s="240" t="s">
        <v>278</v>
      </c>
      <c r="U98" s="571" t="e">
        <f t="shared" ref="U98:AF98" ca="1" si="151">ROUND(U102,2)/$R$93</f>
        <v>#DIV/0!</v>
      </c>
      <c r="V98" s="571" t="e">
        <f t="shared" ca="1" si="151"/>
        <v>#DIV/0!</v>
      </c>
      <c r="W98" s="571" t="e">
        <f t="shared" ca="1" si="151"/>
        <v>#DIV/0!</v>
      </c>
      <c r="X98" s="571" t="e">
        <f t="shared" ca="1" si="151"/>
        <v>#DIV/0!</v>
      </c>
      <c r="Y98" s="571" t="e">
        <f t="shared" ca="1" si="151"/>
        <v>#DIV/0!</v>
      </c>
      <c r="Z98" s="571" t="e">
        <f t="shared" ca="1" si="151"/>
        <v>#DIV/0!</v>
      </c>
      <c r="AA98" s="571" t="e">
        <f t="shared" ca="1" si="151"/>
        <v>#DIV/0!</v>
      </c>
      <c r="AB98" s="571" t="e">
        <f t="shared" ca="1" si="151"/>
        <v>#DIV/0!</v>
      </c>
      <c r="AC98" s="571" t="e">
        <f t="shared" ca="1" si="151"/>
        <v>#DIV/0!</v>
      </c>
      <c r="AD98" s="571" t="e">
        <f t="shared" ca="1" si="151"/>
        <v>#DIV/0!</v>
      </c>
      <c r="AE98" s="571" t="e">
        <f t="shared" ca="1" si="151"/>
        <v>#DIV/0!</v>
      </c>
      <c r="AF98" s="582" t="e">
        <f t="shared" ca="1" si="151"/>
        <v>#DIV/0!</v>
      </c>
      <c r="AG98" s="577"/>
    </row>
    <row r="99" spans="4:33" x14ac:dyDescent="0.2">
      <c r="E99" s="241">
        <f ca="1">ROUND(E102-E101-E100,2)</f>
        <v>0</v>
      </c>
      <c r="G99" s="195" t="s">
        <v>244</v>
      </c>
      <c r="L99" s="242"/>
      <c r="S99" s="243"/>
      <c r="T99" s="244" t="str">
        <f>IF(import.recurso="FGTS","Financiamento:","Repasse:")</f>
        <v>Repasse:</v>
      </c>
      <c r="U99" s="241">
        <f t="shared" ref="U99:AF99" ca="1" si="152">ROUND(U102-U101-U100,2)</f>
        <v>0</v>
      </c>
      <c r="V99" s="241">
        <f t="shared" ca="1" si="152"/>
        <v>0</v>
      </c>
      <c r="W99" s="241">
        <f t="shared" ca="1" si="152"/>
        <v>0</v>
      </c>
      <c r="X99" s="241">
        <f t="shared" ca="1" si="152"/>
        <v>0</v>
      </c>
      <c r="Y99" s="241">
        <f t="shared" ca="1" si="152"/>
        <v>0</v>
      </c>
      <c r="Z99" s="241">
        <f t="shared" ca="1" si="152"/>
        <v>0</v>
      </c>
      <c r="AA99" s="241">
        <f t="shared" ca="1" si="152"/>
        <v>0</v>
      </c>
      <c r="AB99" s="241">
        <f t="shared" ca="1" si="152"/>
        <v>0</v>
      </c>
      <c r="AC99" s="241">
        <f t="shared" ca="1" si="152"/>
        <v>0</v>
      </c>
      <c r="AD99" s="241">
        <f t="shared" ca="1" si="152"/>
        <v>0</v>
      </c>
      <c r="AE99" s="241">
        <f t="shared" ca="1" si="152"/>
        <v>0</v>
      </c>
      <c r="AF99" s="583">
        <f t="shared" ca="1" si="152"/>
        <v>0</v>
      </c>
      <c r="AG99" s="577"/>
    </row>
    <row r="100" spans="4:33" x14ac:dyDescent="0.2">
      <c r="E100" s="572">
        <f t="array" aca="1" ref="E100" ca="1">D100+SUM((OFFSET($C$13,1,0):OFFSET($C$92,-3,0))*IF(ISNUMBER(OFFSET(E$11,5,0):OFFSET(E$92,-1,0)),OFFSET(E$11,5,0):OFFSET(E$92,-1,0),0))</f>
        <v>0</v>
      </c>
      <c r="G100" s="195" t="s">
        <v>244</v>
      </c>
      <c r="L100" s="246" t="s">
        <v>283</v>
      </c>
      <c r="S100" s="247"/>
      <c r="T100" s="248" t="s">
        <v>280</v>
      </c>
      <c r="U100" s="572" cm="1">
        <f t="array" aca="1" ref="U100" ca="1">SUM((OFFSET($C$13,1,0):OFFSET($C$92,-3,0))*IF(ISNUMBER(OFFSET(U$11,5,0):OFFSET(U$92,-1,0)),OFFSET(U$11,5,0):OFFSET(U$92,-1,0),0))</f>
        <v>0</v>
      </c>
      <c r="V100" s="572">
        <f t="array" aca="1" ref="V100" ca="1">U100+SUM((OFFSET($C$13,1,0):OFFSET($C$92,-3,0))*IF(ISNUMBER(OFFSET(V$11,5,0):OFFSET(V$92,-1,0)),OFFSET(V$11,5,0):OFFSET(V$92,-1,0),0))</f>
        <v>0</v>
      </c>
      <c r="W100" s="572">
        <f t="array" aca="1" ref="W100" ca="1">V100+SUM((OFFSET($C$13,1,0):OFFSET($C$92,-3,0))*IF(ISNUMBER(OFFSET(W$11,5,0):OFFSET(W$92,-1,0)),OFFSET(W$11,5,0):OFFSET(W$92,-1,0),0))</f>
        <v>0</v>
      </c>
      <c r="X100" s="572">
        <f t="array" aca="1" ref="X100" ca="1">W100+SUM((OFFSET($C$13,1,0):OFFSET($C$92,-3,0))*IF(ISNUMBER(OFFSET(X$11,5,0):OFFSET(X$92,-1,0)),OFFSET(X$11,5,0):OFFSET(X$92,-1,0),0))</f>
        <v>0</v>
      </c>
      <c r="Y100" s="572">
        <f t="array" aca="1" ref="Y100" ca="1">X100+SUM((OFFSET($C$13,1,0):OFFSET($C$92,-3,0))*IF(ISNUMBER(OFFSET(Y$11,5,0):OFFSET(Y$92,-1,0)),OFFSET(Y$11,5,0):OFFSET(Y$92,-1,0),0))</f>
        <v>0</v>
      </c>
      <c r="Z100" s="572">
        <f t="array" aca="1" ref="Z100" ca="1">Y100+SUM((OFFSET($C$13,1,0):OFFSET($C$92,-3,0))*IF(ISNUMBER(OFFSET(Z$11,5,0):OFFSET(Z$92,-1,0)),OFFSET(Z$11,5,0):OFFSET(Z$92,-1,0),0))</f>
        <v>0</v>
      </c>
      <c r="AA100" s="572">
        <f t="array" aca="1" ref="AA100" ca="1">Z100+SUM((OFFSET($C$13,1,0):OFFSET($C$92,-3,0))*IF(ISNUMBER(OFFSET(AA$11,5,0):OFFSET(AA$92,-1,0)),OFFSET(AA$11,5,0):OFFSET(AA$92,-1,0),0))</f>
        <v>0</v>
      </c>
      <c r="AB100" s="572">
        <f t="array" aca="1" ref="AB100" ca="1">AA100+SUM((OFFSET($C$13,1,0):OFFSET($C$92,-3,0))*IF(ISNUMBER(OFFSET(AB$11,5,0):OFFSET(AB$92,-1,0)),OFFSET(AB$11,5,0):OFFSET(AB$92,-1,0),0))</f>
        <v>0</v>
      </c>
      <c r="AC100" s="572">
        <f t="array" aca="1" ref="AC100" ca="1">AB100+SUM((OFFSET($C$13,1,0):OFFSET($C$92,-3,0))*IF(ISNUMBER(OFFSET(AC$11,5,0):OFFSET(AC$92,-1,0)),OFFSET(AC$11,5,0):OFFSET(AC$92,-1,0),0))</f>
        <v>0</v>
      </c>
      <c r="AD100" s="572">
        <f t="array" aca="1" ref="AD100" ca="1">AC100+SUM((OFFSET($C$13,1,0):OFFSET($C$92,-3,0))*IF(ISNUMBER(OFFSET(AD$11,5,0):OFFSET(AD$92,-1,0)),OFFSET(AD$11,5,0):OFFSET(AD$92,-1,0),0))</f>
        <v>0</v>
      </c>
      <c r="AE100" s="572">
        <f t="array" aca="1" ref="AE100" ca="1">AD100+SUM((OFFSET($C$13,1,0):OFFSET($C$92,-3,0))*IF(ISNUMBER(OFFSET(AE$11,5,0):OFFSET(AE$92,-1,0)),OFFSET(AE$11,5,0):OFFSET(AE$92,-1,0),0))</f>
        <v>0</v>
      </c>
      <c r="AF100" s="584">
        <f t="array" aca="1" ref="AF100" ca="1">AE100+SUM((OFFSET($C$13,1,0):OFFSET($C$92,-3,0))*IF(ISNUMBER(OFFSET(AF$11,5,0):OFFSET(AF$92,-1,0)),OFFSET(AF$11,5,0):OFFSET(AF$92,-1,0),0))</f>
        <v>0</v>
      </c>
      <c r="AG100" s="577"/>
    </row>
    <row r="101" spans="4:33" x14ac:dyDescent="0.2">
      <c r="E101" s="249">
        <f t="array" aca="1" ref="E101" ca="1">D101+SUM((OFFSET($D$13,1,0):OFFSET($D$92,-3,0))*IF(ISNUMBER(OFFSET(E$11,5,0):OFFSET(E$92,-1,0)),OFFSET(E$11,5,0):OFFSET(E$92,-1,0),0))</f>
        <v>0</v>
      </c>
      <c r="G101" s="195" t="s">
        <v>244</v>
      </c>
      <c r="L101" s="246"/>
      <c r="S101" s="250"/>
      <c r="T101" s="251" t="s">
        <v>281</v>
      </c>
      <c r="U101" s="249">
        <f t="array" aca="1" ref="U101" ca="1">SUM((OFFSET($D$13,1,0):OFFSET($D$92,-3,0))*IF(ISNUMBER(OFFSET(U$11,5,0):OFFSET(U$92,-1,0)),OFFSET(U$11,5,0):OFFSET(U$92,-1,0),0))</f>
        <v>0</v>
      </c>
      <c r="V101" s="249">
        <f t="array" aca="1" ref="V101" ca="1">U101+SUM((OFFSET($D$13,1,0):OFFSET($D$92,-3,0))*IF(ISNUMBER(OFFSET(V$11,5,0):OFFSET(V$92,-1,0)),OFFSET(V$11,5,0):OFFSET(V$92,-1,0),0))</f>
        <v>0</v>
      </c>
      <c r="W101" s="249">
        <f t="array" aca="1" ref="W101" ca="1">V101+SUM((OFFSET($D$13,1,0):OFFSET($D$92,-3,0))*IF(ISNUMBER(OFFSET(W$11,5,0):OFFSET(W$92,-1,0)),OFFSET(W$11,5,0):OFFSET(W$92,-1,0),0))</f>
        <v>0</v>
      </c>
      <c r="X101" s="249">
        <f t="array" aca="1" ref="X101" ca="1">W101+SUM((OFFSET($D$13,1,0):OFFSET($D$92,-3,0))*IF(ISNUMBER(OFFSET(X$11,5,0):OFFSET(X$92,-1,0)),OFFSET(X$11,5,0):OFFSET(X$92,-1,0),0))</f>
        <v>0</v>
      </c>
      <c r="Y101" s="249">
        <f t="array" aca="1" ref="Y101" ca="1">X101+SUM((OFFSET($D$13,1,0):OFFSET($D$92,-3,0))*IF(ISNUMBER(OFFSET(Y$11,5,0):OFFSET(Y$92,-1,0)),OFFSET(Y$11,5,0):OFFSET(Y$92,-1,0),0))</f>
        <v>0</v>
      </c>
      <c r="Z101" s="249">
        <f t="array" aca="1" ref="Z101" ca="1">Y101+SUM((OFFSET($D$13,1,0):OFFSET($D$92,-3,0))*IF(ISNUMBER(OFFSET(Z$11,5,0):OFFSET(Z$92,-1,0)),OFFSET(Z$11,5,0):OFFSET(Z$92,-1,0),0))</f>
        <v>0</v>
      </c>
      <c r="AA101" s="249">
        <f t="array" aca="1" ref="AA101" ca="1">Z101+SUM((OFFSET($D$13,1,0):OFFSET($D$92,-3,0))*IF(ISNUMBER(OFFSET(AA$11,5,0):OFFSET(AA$92,-1,0)),OFFSET(AA$11,5,0):OFFSET(AA$92,-1,0),0))</f>
        <v>0</v>
      </c>
      <c r="AB101" s="249">
        <f t="array" aca="1" ref="AB101" ca="1">AA101+SUM((OFFSET($D$13,1,0):OFFSET($D$92,-3,0))*IF(ISNUMBER(OFFSET(AB$11,5,0):OFFSET(AB$92,-1,0)),OFFSET(AB$11,5,0):OFFSET(AB$92,-1,0),0))</f>
        <v>0</v>
      </c>
      <c r="AC101" s="249">
        <f t="array" aca="1" ref="AC101" ca="1">AB101+SUM((OFFSET($D$13,1,0):OFFSET($D$92,-3,0))*IF(ISNUMBER(OFFSET(AC$11,5,0):OFFSET(AC$92,-1,0)),OFFSET(AC$11,5,0):OFFSET(AC$92,-1,0),0))</f>
        <v>0</v>
      </c>
      <c r="AD101" s="249">
        <f t="array" aca="1" ref="AD101" ca="1">AC101+SUM((OFFSET($D$13,1,0):OFFSET($D$92,-3,0))*IF(ISNUMBER(OFFSET(AD$11,5,0):OFFSET(AD$92,-1,0)),OFFSET(AD$11,5,0):OFFSET(AD$92,-1,0),0))</f>
        <v>0</v>
      </c>
      <c r="AE101" s="249">
        <f t="array" aca="1" ref="AE101" ca="1">AD101+SUM((OFFSET($D$13,1,0):OFFSET($D$92,-3,0))*IF(ISNUMBER(OFFSET(AE$11,5,0):OFFSET(AE$92,-1,0)),OFFSET(AE$11,5,0):OFFSET(AE$92,-1,0),0))</f>
        <v>0</v>
      </c>
      <c r="AF101" s="585">
        <f t="array" aca="1" ref="AF101" ca="1">AE101+SUM((OFFSET($D$13,1,0):OFFSET($D$92,-3,0))*IF(ISNUMBER(OFFSET(AF$11,5,0):OFFSET(AF$92,-1,0)),OFFSET(AF$11,5,0):OFFSET(AF$92,-1,0),0))</f>
        <v>0</v>
      </c>
      <c r="AG101" s="577"/>
    </row>
    <row r="102" spans="4:33" ht="13.5" thickBot="1" x14ac:dyDescent="0.25">
      <c r="D102" s="576"/>
      <c r="E102" s="574">
        <f ca="1">SUMIF($S$12:$S$92,"1$",E12:E92)+IF(E$12&gt;1,OFFSET(E102,0,-1),0)</f>
        <v>0</v>
      </c>
      <c r="G102" s="195" t="s">
        <v>244</v>
      </c>
      <c r="H102" s="565" t="str">
        <f>IF(ACOMPANHAMENTO="BM","Selecione o Macrosserviço da Administração Local:","")</f>
        <v/>
      </c>
      <c r="I102"/>
      <c r="L102" s="246"/>
      <c r="S102" s="247"/>
      <c r="T102" s="569" t="s">
        <v>282</v>
      </c>
      <c r="U102" s="574">
        <f t="shared" ref="U102:AF102" ca="1" si="153">SUMIF($S$12:$S$92,"1$",U12:U92)+IF(U$12&gt;1,OFFSET(U102,0,-1),0)</f>
        <v>0</v>
      </c>
      <c r="V102" s="574">
        <f t="shared" ca="1" si="153"/>
        <v>0</v>
      </c>
      <c r="W102" s="574">
        <f t="shared" ca="1" si="153"/>
        <v>0</v>
      </c>
      <c r="X102" s="574">
        <f t="shared" ca="1" si="153"/>
        <v>0</v>
      </c>
      <c r="Y102" s="574">
        <f t="shared" ca="1" si="153"/>
        <v>0</v>
      </c>
      <c r="Z102" s="574">
        <f t="shared" ca="1" si="153"/>
        <v>0</v>
      </c>
      <c r="AA102" s="574">
        <f t="shared" ca="1" si="153"/>
        <v>0</v>
      </c>
      <c r="AB102" s="574">
        <f t="shared" ca="1" si="153"/>
        <v>0</v>
      </c>
      <c r="AC102" s="574">
        <f t="shared" ca="1" si="153"/>
        <v>0</v>
      </c>
      <c r="AD102" s="574">
        <f t="shared" ca="1" si="153"/>
        <v>0</v>
      </c>
      <c r="AE102" s="574">
        <f t="shared" ca="1" si="153"/>
        <v>0</v>
      </c>
      <c r="AF102" s="587">
        <f t="shared" ca="1" si="153"/>
        <v>0</v>
      </c>
      <c r="AG102" s="577"/>
    </row>
    <row r="103" spans="4:33" ht="13.5" thickBot="1" x14ac:dyDescent="0.25">
      <c r="D103" s="576"/>
      <c r="E103" s="575" t="e">
        <f ca="1">IF($F$103="","",
  IF(ACOMPANHAMENTO="PLE",
     IF(AUTOEVENTO="Manual",
         IF(AdmLocal="Automática",
              E98,
              SUMIF(OFFSET(CRONOPLE!$F$14,CRONOPLE!$A$8+1,1,1,OFFSET(CRONOPLE!$AF$12,0,-1)),"&lt;="&amp;E$12,OFFSET(EVENTOS!$G$14,CRONOPLE!$A$8+1,1,1,OFFSET(CRONOPLE!$AF$12,0,-1)))/OFFSET(EVENTOS!$G$14,CRONOPLE!$A$8+1,-1)),
         SUM(OFFSET($T$13,$F$103+2,1,1,E$12))/OFFSET($S$13,$F$103,0)),
     IF(ACOMPANHAMENTO="BM",SUM(OFFSET($T$13,$F$103+2,1,1,E$12))/OFFSET($S$13,$F$103,0),"")))</f>
        <v>#DIV/0!</v>
      </c>
      <c r="F103" s="195">
        <f ca="1">IF(ACOMPANHAMENTO="PLE",
    IF(AUTOEVENTO="Manual",
        IF(AdmLocal="Automática",1,IF(CRONOPLE!$D$8&lt;&gt;"","",MATCH(Import.EventoAdmLocal,EVENTOS!$B$15:$B$36,0))),
        IF(CRONOPLE!$D$8&lt;&gt;"","",MATCH(CRONOPLE!$A$10,CRONO!$F$13:$F$92,0)-1)),
    IF($H$104&lt;&gt;"","",MATCH(Import.MacrosserviçoAdmLocal,$A$13:$A$92,0)-1))</f>
        <v>4</v>
      </c>
      <c r="G103" s="195" t="s">
        <v>244</v>
      </c>
      <c r="H103" s="719"/>
      <c r="I103" s="755"/>
      <c r="J103" s="720"/>
      <c r="L103" s="252"/>
      <c r="S103" s="568"/>
      <c r="T103" s="570" t="s">
        <v>910</v>
      </c>
      <c r="U103" s="575" t="e">
        <f ca="1">IF($F$103="","",
  IF(ACOMPANHAMENTO="PLE",
     IF(AUTOEVENTO="Manual",
         IF(AdmLocal="Automática",
              U98,
              SUMIF(OFFSET(CRONOPLE!$F$14,CRONOPLE!$A$8+1,1,1,OFFSET(CRONOPLE!$AF$12,0,-1)),"&lt;="&amp;U$12,OFFSET(EVENTOS!$G$14,CRONOPLE!$A$8+1,1,1,OFFSET(CRONOPLE!$AF$12,0,-1)))/OFFSET(EVENTOS!$G$14,CRONOPLE!$A$8+1,-1)),
         SUM(OFFSET($T$13,$F$103+2,1,1,U$12))/OFFSET($S$13,$F$103,0)),
     IF(ACOMPANHAMENTO="BM",SUM(OFFSET($T$13,$F$103+2,1,1,U$12))/OFFSET($S$13,$F$103,0),"")))</f>
        <v>#DIV/0!</v>
      </c>
      <c r="V103" s="575" t="e">
        <f ca="1">IF($F$103="","",
  IF(ACOMPANHAMENTO="PLE",
     IF(AUTOEVENTO="Manual",
         IF(AdmLocal="Automática",
              V98,
              SUMIF(OFFSET(CRONOPLE!$F$14,CRONOPLE!$A$8+1,1,1,OFFSET(CRONOPLE!$AF$12,0,-1)),"&lt;="&amp;V$12,OFFSET(EVENTOS!$G$14,CRONOPLE!$A$8+1,1,1,OFFSET(CRONOPLE!$AF$12,0,-1)))/OFFSET(EVENTOS!$G$14,CRONOPLE!$A$8+1,-1)),
         SUM(OFFSET($T$13,$F$103+2,1,1,V$12))/OFFSET($S$13,$F$103,0)),
     IF(ACOMPANHAMENTO="BM",SUM(OFFSET($T$13,$F$103+2,1,1,V$12))/OFFSET($S$13,$F$103,0),"")))</f>
        <v>#DIV/0!</v>
      </c>
      <c r="W103" s="575" t="e">
        <f ca="1">IF($F$103="","",
  IF(ACOMPANHAMENTO="PLE",
     IF(AUTOEVENTO="Manual",
         IF(AdmLocal="Automática",
              W98,
              SUMIF(OFFSET(CRONOPLE!$F$14,CRONOPLE!$A$8+1,1,1,OFFSET(CRONOPLE!$AF$12,0,-1)),"&lt;="&amp;W$12,OFFSET(EVENTOS!$G$14,CRONOPLE!$A$8+1,1,1,OFFSET(CRONOPLE!$AF$12,0,-1)))/OFFSET(EVENTOS!$G$14,CRONOPLE!$A$8+1,-1)),
         SUM(OFFSET($T$13,$F$103+2,1,1,W$12))/OFFSET($S$13,$F$103,0)),
     IF(ACOMPANHAMENTO="BM",SUM(OFFSET($T$13,$F$103+2,1,1,W$12))/OFFSET($S$13,$F$103,0),"")))</f>
        <v>#DIV/0!</v>
      </c>
      <c r="X103" s="575" t="e">
        <f ca="1">IF($F$103="","",
  IF(ACOMPANHAMENTO="PLE",
     IF(AUTOEVENTO="Manual",
         IF(AdmLocal="Automática",
              X98,
              SUMIF(OFFSET(CRONOPLE!$F$14,CRONOPLE!$A$8+1,1,1,OFFSET(CRONOPLE!$AF$12,0,-1)),"&lt;="&amp;X$12,OFFSET(EVENTOS!$G$14,CRONOPLE!$A$8+1,1,1,OFFSET(CRONOPLE!$AF$12,0,-1)))/OFFSET(EVENTOS!$G$14,CRONOPLE!$A$8+1,-1)),
         SUM(OFFSET($T$13,$F$103+2,1,1,X$12))/OFFSET($S$13,$F$103,0)),
     IF(ACOMPANHAMENTO="BM",SUM(OFFSET($T$13,$F$103+2,1,1,X$12))/OFFSET($S$13,$F$103,0),"")))</f>
        <v>#DIV/0!</v>
      </c>
      <c r="Y103" s="575" t="e">
        <f ca="1">IF($F$103="","",
  IF(ACOMPANHAMENTO="PLE",
     IF(AUTOEVENTO="Manual",
         IF(AdmLocal="Automática",
              Y98,
              SUMIF(OFFSET(CRONOPLE!$F$14,CRONOPLE!$A$8+1,1,1,OFFSET(CRONOPLE!$AF$12,0,-1)),"&lt;="&amp;Y$12,OFFSET(EVENTOS!$G$14,CRONOPLE!$A$8+1,1,1,OFFSET(CRONOPLE!$AF$12,0,-1)))/OFFSET(EVENTOS!$G$14,CRONOPLE!$A$8+1,-1)),
         SUM(OFFSET($T$13,$F$103+2,1,1,Y$12))/OFFSET($S$13,$F$103,0)),
     IF(ACOMPANHAMENTO="BM",SUM(OFFSET($T$13,$F$103+2,1,1,Y$12))/OFFSET($S$13,$F$103,0),"")))</f>
        <v>#DIV/0!</v>
      </c>
      <c r="Z103" s="575" t="e">
        <f ca="1">IF($F$103="","",
  IF(ACOMPANHAMENTO="PLE",
     IF(AUTOEVENTO="Manual",
         IF(AdmLocal="Automática",
              Z98,
              SUMIF(OFFSET(CRONOPLE!$F$14,CRONOPLE!$A$8+1,1,1,OFFSET(CRONOPLE!$AF$12,0,-1)),"&lt;="&amp;Z$12,OFFSET(EVENTOS!$G$14,CRONOPLE!$A$8+1,1,1,OFFSET(CRONOPLE!$AF$12,0,-1)))/OFFSET(EVENTOS!$G$14,CRONOPLE!$A$8+1,-1)),
         SUM(OFFSET($T$13,$F$103+2,1,1,Z$12))/OFFSET($S$13,$F$103,0)),
     IF(ACOMPANHAMENTO="BM",SUM(OFFSET($T$13,$F$103+2,1,1,Z$12))/OFFSET($S$13,$F$103,0),"")))</f>
        <v>#DIV/0!</v>
      </c>
      <c r="AA103" s="575" t="e">
        <f ca="1">IF($F$103="","",
  IF(ACOMPANHAMENTO="PLE",
     IF(AUTOEVENTO="Manual",
         IF(AdmLocal="Automática",
              AA98,
              SUMIF(OFFSET(CRONOPLE!$F$14,CRONOPLE!$A$8+1,1,1,OFFSET(CRONOPLE!$AF$12,0,-1)),"&lt;="&amp;AA$12,OFFSET(EVENTOS!$G$14,CRONOPLE!$A$8+1,1,1,OFFSET(CRONOPLE!$AF$12,0,-1)))/OFFSET(EVENTOS!$G$14,CRONOPLE!$A$8+1,-1)),
         SUM(OFFSET($T$13,$F$103+2,1,1,AA$12))/OFFSET($S$13,$F$103,0)),
     IF(ACOMPANHAMENTO="BM",SUM(OFFSET($T$13,$F$103+2,1,1,AA$12))/OFFSET($S$13,$F$103,0),"")))</f>
        <v>#DIV/0!</v>
      </c>
      <c r="AB103" s="575" t="e">
        <f ca="1">IF($F$103="","",
  IF(ACOMPANHAMENTO="PLE",
     IF(AUTOEVENTO="Manual",
         IF(AdmLocal="Automática",
              AB98,
              SUMIF(OFFSET(CRONOPLE!$F$14,CRONOPLE!$A$8+1,1,1,OFFSET(CRONOPLE!$AF$12,0,-1)),"&lt;="&amp;AB$12,OFFSET(EVENTOS!$G$14,CRONOPLE!$A$8+1,1,1,OFFSET(CRONOPLE!$AF$12,0,-1)))/OFFSET(EVENTOS!$G$14,CRONOPLE!$A$8+1,-1)),
         SUM(OFFSET($T$13,$F$103+2,1,1,AB$12))/OFFSET($S$13,$F$103,0)),
     IF(ACOMPANHAMENTO="BM",SUM(OFFSET($T$13,$F$103+2,1,1,AB$12))/OFFSET($S$13,$F$103,0),"")))</f>
        <v>#DIV/0!</v>
      </c>
      <c r="AC103" s="575" t="e">
        <f ca="1">IF($F$103="","",
  IF(ACOMPANHAMENTO="PLE",
     IF(AUTOEVENTO="Manual",
         IF(AdmLocal="Automática",
              AC98,
              SUMIF(OFFSET(CRONOPLE!$F$14,CRONOPLE!$A$8+1,1,1,OFFSET(CRONOPLE!$AF$12,0,-1)),"&lt;="&amp;AC$12,OFFSET(EVENTOS!$G$14,CRONOPLE!$A$8+1,1,1,OFFSET(CRONOPLE!$AF$12,0,-1)))/OFFSET(EVENTOS!$G$14,CRONOPLE!$A$8+1,-1)),
         SUM(OFFSET($T$13,$F$103+2,1,1,AC$12))/OFFSET($S$13,$F$103,0)),
     IF(ACOMPANHAMENTO="BM",SUM(OFFSET($T$13,$F$103+2,1,1,AC$12))/OFFSET($S$13,$F$103,0),"")))</f>
        <v>#DIV/0!</v>
      </c>
      <c r="AD103" s="575" t="e">
        <f ca="1">IF($F$103="","",
  IF(ACOMPANHAMENTO="PLE",
     IF(AUTOEVENTO="Manual",
         IF(AdmLocal="Automática",
              AD98,
              SUMIF(OFFSET(CRONOPLE!$F$14,CRONOPLE!$A$8+1,1,1,OFFSET(CRONOPLE!$AF$12,0,-1)),"&lt;="&amp;AD$12,OFFSET(EVENTOS!$G$14,CRONOPLE!$A$8+1,1,1,OFFSET(CRONOPLE!$AF$12,0,-1)))/OFFSET(EVENTOS!$G$14,CRONOPLE!$A$8+1,-1)),
         SUM(OFFSET($T$13,$F$103+2,1,1,AD$12))/OFFSET($S$13,$F$103,0)),
     IF(ACOMPANHAMENTO="BM",SUM(OFFSET($T$13,$F$103+2,1,1,AD$12))/OFFSET($S$13,$F$103,0),"")))</f>
        <v>#DIV/0!</v>
      </c>
      <c r="AE103" s="575" t="e">
        <f ca="1">IF($F$103="","",
  IF(ACOMPANHAMENTO="PLE",
     IF(AUTOEVENTO="Manual",
         IF(AdmLocal="Automática",
              AE98,
              SUMIF(OFFSET(CRONOPLE!$F$14,CRONOPLE!$A$8+1,1,1,OFFSET(CRONOPLE!$AF$12,0,-1)),"&lt;="&amp;AE$12,OFFSET(EVENTOS!$G$14,CRONOPLE!$A$8+1,1,1,OFFSET(CRONOPLE!$AF$12,0,-1)))/OFFSET(EVENTOS!$G$14,CRONOPLE!$A$8+1,-1)),
         SUM(OFFSET($T$13,$F$103+2,1,1,AE$12))/OFFSET($S$13,$F$103,0)),
     IF(ACOMPANHAMENTO="BM",SUM(OFFSET($T$13,$F$103+2,1,1,AE$12))/OFFSET($S$13,$F$103,0),"")))</f>
        <v>#DIV/0!</v>
      </c>
      <c r="AF103" s="588" t="e">
        <f ca="1">IF($F$103="","",
  IF(ACOMPANHAMENTO="PLE",
     IF(AUTOEVENTO="Manual",
         IF(AdmLocal="Automática",
              AF98,
              SUMIF(OFFSET(CRONOPLE!$F$14,CRONOPLE!$A$8+1,1,1,OFFSET(CRONOPLE!$AF$12,0,-1)),"&lt;="&amp;AF$12,OFFSET(EVENTOS!$G$14,CRONOPLE!$A$8+1,1,1,OFFSET(CRONOPLE!$AF$12,0,-1)))/OFFSET(EVENTOS!$G$14,CRONOPLE!$A$8+1,-1)),
         SUM(OFFSET($T$13,$F$103+2,1,1,AF$12))/OFFSET($S$13,$F$103,0)),
     IF(ACOMPANHAMENTO="BM",SUM(OFFSET($T$13,$F$103+2,1,1,AF$12))/OFFSET($S$13,$F$103,0),"")))</f>
        <v>#DIV/0!</v>
      </c>
      <c r="AG103" s="577"/>
    </row>
    <row r="104" spans="4:33" ht="17.100000000000001" customHeight="1" x14ac:dyDescent="0.25">
      <c r="G104" s="195" t="s">
        <v>244</v>
      </c>
      <c r="H104" s="629" t="str">
        <f>IF(AND(ACOMPANHAMENTO="BM",$H$103=""),"↑ Não foi indicado o Macrosserviço de Administração Local","")</f>
        <v/>
      </c>
      <c r="T104" s="642" t="str">
        <f ca="1">IF(COUNTIF(U104:AG104,"%Adm&gt;%Global")&gt;0,"Verificar proporcionalidade da Administração Local","")</f>
        <v/>
      </c>
      <c r="U104" s="578" t="e">
        <f ca="1">IF(U103="","",IF(ROUND(U103,4)&gt;ROUND(U98,4),"%Adm&gt;%Global",""))</f>
        <v>#DIV/0!</v>
      </c>
      <c r="V104" s="578" t="e">
        <f t="shared" ref="V104:AG104" ca="1" si="154">IF(V103="","",IF(ROUND(V103,4)&gt;ROUND(V98,4),"%Adm&gt;%Global",""))</f>
        <v>#DIV/0!</v>
      </c>
      <c r="W104" s="578" t="e">
        <f t="shared" ca="1" si="154"/>
        <v>#DIV/0!</v>
      </c>
      <c r="X104" s="578" t="e">
        <f t="shared" ca="1" si="154"/>
        <v>#DIV/0!</v>
      </c>
      <c r="Y104" s="578" t="e">
        <f t="shared" ca="1" si="154"/>
        <v>#DIV/0!</v>
      </c>
      <c r="Z104" s="578" t="e">
        <f t="shared" ca="1" si="154"/>
        <v>#DIV/0!</v>
      </c>
      <c r="AA104" s="578" t="e">
        <f t="shared" ca="1" si="154"/>
        <v>#DIV/0!</v>
      </c>
      <c r="AB104" s="578" t="e">
        <f t="shared" ca="1" si="154"/>
        <v>#DIV/0!</v>
      </c>
      <c r="AC104" s="578" t="e">
        <f t="shared" ca="1" si="154"/>
        <v>#DIV/0!</v>
      </c>
      <c r="AD104" s="578" t="e">
        <f t="shared" ca="1" si="154"/>
        <v>#DIV/0!</v>
      </c>
      <c r="AE104" s="578" t="e">
        <f t="shared" ca="1" si="154"/>
        <v>#DIV/0!</v>
      </c>
      <c r="AF104" s="578" t="e">
        <f t="shared" ca="1" si="154"/>
        <v>#DIV/0!</v>
      </c>
      <c r="AG104" s="578" t="str">
        <f t="shared" si="154"/>
        <v/>
      </c>
    </row>
    <row r="105" spans="4:33" ht="32.25" customHeight="1" x14ac:dyDescent="0.2">
      <c r="G105" s="195" t="s">
        <v>244</v>
      </c>
      <c r="I105" s="676" t="str">
        <f>Import.Município</f>
        <v>SARANDI/RS</v>
      </c>
      <c r="J105" s="676"/>
      <c r="K105" s="676"/>
      <c r="L105" s="676"/>
      <c r="M105" s="676"/>
      <c r="N105" s="676"/>
      <c r="O105" s="676"/>
      <c r="P105" s="676"/>
      <c r="Q105" s="676"/>
      <c r="R105" s="676"/>
      <c r="S105" s="676"/>
      <c r="AA105" s="492"/>
      <c r="AB105" s="492"/>
      <c r="AC105" s="492"/>
      <c r="AD105" s="492"/>
      <c r="AE105" s="494"/>
      <c r="AF105" s="494"/>
    </row>
    <row r="106" spans="4:33" x14ac:dyDescent="0.2">
      <c r="G106" s="195" t="s">
        <v>244</v>
      </c>
      <c r="I106" s="10" t="s">
        <v>186</v>
      </c>
      <c r="J106"/>
      <c r="K106"/>
      <c r="L106"/>
      <c r="AA106" s="190" t="s">
        <v>188</v>
      </c>
      <c r="AB106" s="190"/>
      <c r="AC106" s="190"/>
      <c r="AD106" s="190"/>
      <c r="AE106" s="195"/>
      <c r="AF106" s="195"/>
    </row>
    <row r="107" spans="4:33" x14ac:dyDescent="0.2">
      <c r="G107" s="195" t="s">
        <v>244</v>
      </c>
      <c r="I107"/>
      <c r="J107"/>
      <c r="K107"/>
      <c r="L107"/>
      <c r="AA107" s="413" t="str">
        <f t="array" aca="1" ref="AA107:AA109" ca="1">OFFSET(Import.RespOrçamento,0,-1) &amp; " " &amp; Import.RespOrçamento</f>
        <v xml:space="preserve">Nome: MARCIELE FLORES </v>
      </c>
      <c r="AC107"/>
      <c r="AD107" s="80"/>
      <c r="AE107" s="195"/>
      <c r="AF107" s="195"/>
    </row>
    <row r="108" spans="4:33" x14ac:dyDescent="0.2">
      <c r="G108" s="195" t="s">
        <v>244</v>
      </c>
      <c r="I108" s="754">
        <f>DADOS!$C$25</f>
        <v>46161</v>
      </c>
      <c r="J108" s="754"/>
      <c r="K108" s="754"/>
      <c r="L108" s="189"/>
      <c r="M108" s="255"/>
      <c r="N108" s="255"/>
      <c r="O108" s="255"/>
      <c r="P108" s="255"/>
      <c r="Q108" s="255"/>
      <c r="R108" s="255"/>
      <c r="S108" s="256"/>
      <c r="AA108" s="413" t="str">
        <f ca="1"/>
        <v>CREA/CAU: CREA/RS 268.201</v>
      </c>
      <c r="AC108" s="80"/>
      <c r="AD108" s="80"/>
      <c r="AE108" s="195"/>
      <c r="AF108" s="195"/>
    </row>
    <row r="109" spans="4:33" x14ac:dyDescent="0.2">
      <c r="G109" s="195" t="s">
        <v>244</v>
      </c>
      <c r="I109" s="10" t="s">
        <v>187</v>
      </c>
      <c r="J109"/>
      <c r="K109"/>
      <c r="L109"/>
      <c r="AA109" s="413" t="str">
        <f ca="1"/>
        <v>ART/RRT: 0</v>
      </c>
      <c r="AC109" s="80"/>
      <c r="AD109" s="80"/>
      <c r="AE109" s="195"/>
      <c r="AF109" s="195"/>
    </row>
  </sheetData>
  <sheetProtection algorithmName="SHA-512" hashValue="0TDXpWaoaccZnUztv5QHbSEdXllFqg94CdgmUZZKCO/DDtSBLEQui9pLc/MmOeMRb0V0GbYEmeGTfzTZ+wHNVw==" saltValue="LWZ3MDlMS1JIcoqaG++4KA==" spinCount="100000" sheet="1" objects="1" scenarios="1" autoFilter="0"/>
  <autoFilter ref="G13:G109"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108:K108"/>
    <mergeCell ref="I105:S105"/>
    <mergeCell ref="H103:J103"/>
    <mergeCell ref="S12:S13"/>
    <mergeCell ref="T12:T13"/>
    <mergeCell ref="L8:T8"/>
    <mergeCell ref="U8:Y8"/>
    <mergeCell ref="K10:T11"/>
    <mergeCell ref="I93:K94"/>
  </mergeCells>
  <phoneticPr fontId="38" type="noConversion"/>
  <conditionalFormatting sqref="U12:U13">
    <cfRule type="expression" dxfId="268" priority="8742" stopIfTrue="1">
      <formula>NOT(ISNUMBER(T$12))</formula>
    </cfRule>
  </conditionalFormatting>
  <conditionalFormatting sqref="E2 U2:AF2">
    <cfRule type="expression" dxfId="267" priority="8743" stopIfTrue="1">
      <formula>AND(ISNUMBER($H1),$H1&lt;&gt;0)</formula>
    </cfRule>
  </conditionalFormatting>
  <conditionalFormatting sqref="I2:S2">
    <cfRule type="expression" dxfId="266" priority="8744" stopIfTrue="1">
      <formula>$M1=2</formula>
    </cfRule>
    <cfRule type="expression" dxfId="265" priority="8745" stopIfTrue="1">
      <formula>AND($M1=1,$S1&lt;&gt;"")</formula>
    </cfRule>
  </conditionalFormatting>
  <conditionalFormatting sqref="I1:S1">
    <cfRule type="expression" dxfId="264" priority="8746" stopIfTrue="1">
      <formula>$M1=2</formula>
    </cfRule>
    <cfRule type="expression" dxfId="263" priority="8747" stopIfTrue="1">
      <formula>AND($M1=1,$S1&lt;&gt;"")</formula>
    </cfRule>
  </conditionalFormatting>
  <conditionalFormatting sqref="E93 E95 E97:E98 E100 E102 U95:AF95 U97:AF98 U100:AF100 U102:AF102 U93:AF93">
    <cfRule type="expression" dxfId="262" priority="8748" stopIfTrue="1">
      <formula>D$98=1</formula>
    </cfRule>
  </conditionalFormatting>
  <conditionalFormatting sqref="E94 E96 E99 E101 E103 U96:AF96 U99:AF99 U101:AF101 U103:AF103 U94:AF94">
    <cfRule type="expression" dxfId="261" priority="8749" stopIfTrue="1">
      <formula>D$98=1</formula>
    </cfRule>
  </conditionalFormatting>
  <conditionalFormatting sqref="AF7:AF8">
    <cfRule type="expression" dxfId="260" priority="8753" stopIfTrue="1">
      <formula>OR(TIPOORCAMENTO&lt;&gt;"Licitado",QCI.ExisteManual)</formula>
    </cfRule>
  </conditionalFormatting>
  <conditionalFormatting sqref="Z7:AE8">
    <cfRule type="expression" dxfId="259" priority="8741" stopIfTrue="1">
      <formula>QCI.ExisteManual</formula>
    </cfRule>
  </conditionalFormatting>
  <conditionalFormatting sqref="H2">
    <cfRule type="expression" dxfId="258" priority="4887">
      <formula>AND(H1&lt;&gt;0,ISNUMBER(H1))</formula>
    </cfRule>
  </conditionalFormatting>
  <conditionalFormatting sqref="E103 U103:AF103">
    <cfRule type="expression" dxfId="257" priority="4878">
      <formula>ROUND(E103,4)&gt;ROUND(E98,4)</formula>
    </cfRule>
  </conditionalFormatting>
  <conditionalFormatting sqref="H1">
    <cfRule type="expression" dxfId="256" priority="4877">
      <formula>AND(H1&lt;&gt;0,ISNUMBER(H1))</formula>
    </cfRule>
  </conditionalFormatting>
  <conditionalFormatting sqref="H103:J103">
    <cfRule type="expression" dxfId="255" priority="4876">
      <formula>$H$102=""</formula>
    </cfRule>
  </conditionalFormatting>
  <conditionalFormatting sqref="E103">
    <cfRule type="expression" dxfId="254" priority="4869" stopIfTrue="1">
      <formula>D$98=1</formula>
    </cfRule>
  </conditionalFormatting>
  <conditionalFormatting sqref="E1">
    <cfRule type="expression" dxfId="253" priority="4866" stopIfTrue="1">
      <formula>E1&lt;&gt;0</formula>
    </cfRule>
  </conditionalFormatting>
  <conditionalFormatting sqref="E2">
    <cfRule type="expression" dxfId="252" priority="4865">
      <formula>AND(_xlfn.SINGLE(ACOMPANHAMENTO)="BM",E2&gt;ROUND(E2,4))</formula>
    </cfRule>
  </conditionalFormatting>
  <conditionalFormatting sqref="E103">
    <cfRule type="expression" dxfId="251" priority="4864" stopIfTrue="1">
      <formula>D$98=1</formula>
    </cfRule>
  </conditionalFormatting>
  <conditionalFormatting sqref="U1:AF1">
    <cfRule type="expression" dxfId="250" priority="4863" stopIfTrue="1">
      <formula>U1&lt;&gt;0</formula>
    </cfRule>
  </conditionalFormatting>
  <conditionalFormatting sqref="U2:AF2">
    <cfRule type="expression" dxfId="249" priority="4862">
      <formula>AND(_xlfn.SINGLE(ACOMPANHAMENTO)="BM",U2&gt;ROUND(U2,4))</formula>
    </cfRule>
  </conditionalFormatting>
  <conditionalFormatting sqref="E15 E18 E21 U15:AF15 U18:AF18 U21:AF21">
    <cfRule type="expression" dxfId="248" priority="216" stopIfTrue="1">
      <formula>AND(ISNUMBER($H14),$H14&lt;&gt;0)</formula>
    </cfRule>
  </conditionalFormatting>
  <conditionalFormatting sqref="I15:S15 I18:S18 I21:S21">
    <cfRule type="expression" dxfId="247" priority="217" stopIfTrue="1">
      <formula>$M14=2</formula>
    </cfRule>
    <cfRule type="expression" dxfId="246" priority="218" stopIfTrue="1">
      <formula>AND($M14=1,$S14&lt;&gt;"")</formula>
    </cfRule>
  </conditionalFormatting>
  <conditionalFormatting sqref="I14:S14 I17:S17 I20:S20">
    <cfRule type="expression" dxfId="245" priority="219" stopIfTrue="1">
      <formula>$M14=2</formula>
    </cfRule>
    <cfRule type="expression" dxfId="244" priority="220" stopIfTrue="1">
      <formula>AND($M14=1,$S14&lt;&gt;"")</formula>
    </cfRule>
  </conditionalFormatting>
  <conditionalFormatting sqref="H15 H18 H21">
    <cfRule type="expression" dxfId="243" priority="215">
      <formula>AND(H14&lt;&gt;0,ISNUMBER(H14))</formula>
    </cfRule>
  </conditionalFormatting>
  <conditionalFormatting sqref="H14 H17 H20">
    <cfRule type="expression" dxfId="242" priority="214">
      <formula>AND(H14&lt;&gt;0,ISNUMBER(H14))</formula>
    </cfRule>
  </conditionalFormatting>
  <conditionalFormatting sqref="E14 E17 E20">
    <cfRule type="expression" dxfId="241" priority="213" stopIfTrue="1">
      <formula>E14&lt;&gt;0</formula>
    </cfRule>
  </conditionalFormatting>
  <conditionalFormatting sqref="E15 E18 E21">
    <cfRule type="expression" dxfId="240" priority="212">
      <formula>AND(_xlfn.SINGLE(ACOMPANHAMENTO)="BM",E15&gt;ROUND(E15,4))</formula>
    </cfRule>
  </conditionalFormatting>
  <conditionalFormatting sqref="U14:AF14 U17:AF17 U20:AF20">
    <cfRule type="expression" dxfId="239" priority="211" stopIfTrue="1">
      <formula>U14&lt;&gt;0</formula>
    </cfRule>
  </conditionalFormatting>
  <conditionalFormatting sqref="U15:AF15 U18:AF18 U21:AF21">
    <cfRule type="expression" dxfId="238" priority="210">
      <formula>AND(_xlfn.SINGLE(ACOMPANHAMENTO)="BM",U15&gt;ROUND(U15,4))</formula>
    </cfRule>
  </conditionalFormatting>
  <conditionalFormatting sqref="E24 E27 E30 U24:AF24 U27:AF27 U30:AF30">
    <cfRule type="expression" dxfId="237" priority="205" stopIfTrue="1">
      <formula>AND(ISNUMBER($H23),$H23&lt;&gt;0)</formula>
    </cfRule>
  </conditionalFormatting>
  <conditionalFormatting sqref="I24:S24 I27:S27 I30:S30">
    <cfRule type="expression" dxfId="236" priority="206" stopIfTrue="1">
      <formula>$M23=2</formula>
    </cfRule>
    <cfRule type="expression" dxfId="235" priority="207" stopIfTrue="1">
      <formula>AND($M23=1,$S23&lt;&gt;"")</formula>
    </cfRule>
  </conditionalFormatting>
  <conditionalFormatting sqref="I23:S23 I26:S26 I29:S29">
    <cfRule type="expression" dxfId="234" priority="208" stopIfTrue="1">
      <formula>$M23=2</formula>
    </cfRule>
    <cfRule type="expression" dxfId="233" priority="209" stopIfTrue="1">
      <formula>AND($M23=1,$S23&lt;&gt;"")</formula>
    </cfRule>
  </conditionalFormatting>
  <conditionalFormatting sqref="H24 H27 H30">
    <cfRule type="expression" dxfId="232" priority="204">
      <formula>AND(H23&lt;&gt;0,ISNUMBER(H23))</formula>
    </cfRule>
  </conditionalFormatting>
  <conditionalFormatting sqref="H23 H26 H29">
    <cfRule type="expression" dxfId="231" priority="203">
      <formula>AND(H23&lt;&gt;0,ISNUMBER(H23))</formula>
    </cfRule>
  </conditionalFormatting>
  <conditionalFormatting sqref="E23 E26 E29">
    <cfRule type="expression" dxfId="230" priority="202" stopIfTrue="1">
      <formula>E23&lt;&gt;0</formula>
    </cfRule>
  </conditionalFormatting>
  <conditionalFormatting sqref="E24 E27 E30">
    <cfRule type="expression" dxfId="229" priority="201">
      <formula>AND(_xlfn.SINGLE(ACOMPANHAMENTO)="BM",E24&gt;ROUND(E24,4))</formula>
    </cfRule>
  </conditionalFormatting>
  <conditionalFormatting sqref="U23:AF23 U26:AF26 U29:AF29">
    <cfRule type="expression" dxfId="228" priority="200" stopIfTrue="1">
      <formula>U23&lt;&gt;0</formula>
    </cfRule>
  </conditionalFormatting>
  <conditionalFormatting sqref="U24:AF24 U27:AF27 U30:AF30">
    <cfRule type="expression" dxfId="227" priority="199">
      <formula>AND(_xlfn.SINGLE(ACOMPANHAMENTO)="BM",U24&gt;ROUND(U24,4))</formula>
    </cfRule>
  </conditionalFormatting>
  <conditionalFormatting sqref="E33 E36 E39 U33:AF33 U36:AF36 U39:AF39">
    <cfRule type="expression" dxfId="226" priority="194" stopIfTrue="1">
      <formula>AND(ISNUMBER($H32),$H32&lt;&gt;0)</formula>
    </cfRule>
  </conditionalFormatting>
  <conditionalFormatting sqref="I33:S33 I36:S36 I39:S39">
    <cfRule type="expression" dxfId="225" priority="195" stopIfTrue="1">
      <formula>$M32=2</formula>
    </cfRule>
    <cfRule type="expression" dxfId="224" priority="196" stopIfTrue="1">
      <formula>AND($M32=1,$S32&lt;&gt;"")</formula>
    </cfRule>
  </conditionalFormatting>
  <conditionalFormatting sqref="I32:S32 I35:S35 I38:S38">
    <cfRule type="expression" dxfId="223" priority="197" stopIfTrue="1">
      <formula>$M32=2</formula>
    </cfRule>
    <cfRule type="expression" dxfId="222" priority="198" stopIfTrue="1">
      <formula>AND($M32=1,$S32&lt;&gt;"")</formula>
    </cfRule>
  </conditionalFormatting>
  <conditionalFormatting sqref="H33 H36 H39">
    <cfRule type="expression" dxfId="221" priority="193">
      <formula>AND(H32&lt;&gt;0,ISNUMBER(H32))</formula>
    </cfRule>
  </conditionalFormatting>
  <conditionalFormatting sqref="H32 H35 H38">
    <cfRule type="expression" dxfId="220" priority="192">
      <formula>AND(H32&lt;&gt;0,ISNUMBER(H32))</formula>
    </cfRule>
  </conditionalFormatting>
  <conditionalFormatting sqref="E32 E35 E38">
    <cfRule type="expression" dxfId="219" priority="191" stopIfTrue="1">
      <formula>E32&lt;&gt;0</formula>
    </cfRule>
  </conditionalFormatting>
  <conditionalFormatting sqref="E33 E36 E39">
    <cfRule type="expression" dxfId="218" priority="190">
      <formula>AND(_xlfn.SINGLE(ACOMPANHAMENTO)="BM",E33&gt;ROUND(E33,4))</formula>
    </cfRule>
  </conditionalFormatting>
  <conditionalFormatting sqref="U32:AF32 U35:AF35 U38:AF38">
    <cfRule type="expression" dxfId="217" priority="189" stopIfTrue="1">
      <formula>U32&lt;&gt;0</formula>
    </cfRule>
  </conditionalFormatting>
  <conditionalFormatting sqref="U33:AF33 U36:AF36 U39:AF39">
    <cfRule type="expression" dxfId="216" priority="188">
      <formula>AND(_xlfn.SINGLE(ACOMPANHAMENTO)="BM",U33&gt;ROUND(U33,4))</formula>
    </cfRule>
  </conditionalFormatting>
  <conditionalFormatting sqref="E42 E45 E48 U42:AF42 U45:AF45 U48:AF48">
    <cfRule type="expression" dxfId="215" priority="183" stopIfTrue="1">
      <formula>AND(ISNUMBER($H41),$H41&lt;&gt;0)</formula>
    </cfRule>
  </conditionalFormatting>
  <conditionalFormatting sqref="I42:S42 I45:S45 I48:S48">
    <cfRule type="expression" dxfId="214" priority="184" stopIfTrue="1">
      <formula>$M41=2</formula>
    </cfRule>
    <cfRule type="expression" dxfId="213" priority="185" stopIfTrue="1">
      <formula>AND($M41=1,$S41&lt;&gt;"")</formula>
    </cfRule>
  </conditionalFormatting>
  <conditionalFormatting sqref="I41:S41 I44:S44 I47:S47">
    <cfRule type="expression" dxfId="212" priority="186" stopIfTrue="1">
      <formula>$M41=2</formula>
    </cfRule>
    <cfRule type="expression" dxfId="211" priority="187" stopIfTrue="1">
      <formula>AND($M41=1,$S41&lt;&gt;"")</formula>
    </cfRule>
  </conditionalFormatting>
  <conditionalFormatting sqref="H42 H45 H48">
    <cfRule type="expression" dxfId="210" priority="182">
      <formula>AND(H41&lt;&gt;0,ISNUMBER(H41))</formula>
    </cfRule>
  </conditionalFormatting>
  <conditionalFormatting sqref="H41 H44 H47">
    <cfRule type="expression" dxfId="209" priority="181">
      <formula>AND(H41&lt;&gt;0,ISNUMBER(H41))</formula>
    </cfRule>
  </conditionalFormatting>
  <conditionalFormatting sqref="E41 E44 E47">
    <cfRule type="expression" dxfId="208" priority="180" stopIfTrue="1">
      <formula>E41&lt;&gt;0</formula>
    </cfRule>
  </conditionalFormatting>
  <conditionalFormatting sqref="E42 E45 E48">
    <cfRule type="expression" dxfId="207" priority="179">
      <formula>AND(_xlfn.SINGLE(ACOMPANHAMENTO)="BM",E42&gt;ROUND(E42,4))</formula>
    </cfRule>
  </conditionalFormatting>
  <conditionalFormatting sqref="U41:AF41 U44:AF44 U47:AF47">
    <cfRule type="expression" dxfId="206" priority="178" stopIfTrue="1">
      <formula>U41&lt;&gt;0</formula>
    </cfRule>
  </conditionalFormatting>
  <conditionalFormatting sqref="U42:AF42 U45:AF45 U48:AF48">
    <cfRule type="expression" dxfId="205" priority="177">
      <formula>AND(_xlfn.SINGLE(ACOMPANHAMENTO)="BM",U42&gt;ROUND(U42,4))</formula>
    </cfRule>
  </conditionalFormatting>
  <conditionalFormatting sqref="E51 E54 E57 U51:AF51 U54:AF54 U57:AF57">
    <cfRule type="expression" dxfId="204" priority="172" stopIfTrue="1">
      <formula>AND(ISNUMBER($H50),$H50&lt;&gt;0)</formula>
    </cfRule>
  </conditionalFormatting>
  <conditionalFormatting sqref="I51:S51 I54:S54 I57:S57">
    <cfRule type="expression" dxfId="203" priority="173" stopIfTrue="1">
      <formula>$M50=2</formula>
    </cfRule>
    <cfRule type="expression" dxfId="202" priority="174" stopIfTrue="1">
      <formula>AND($M50=1,$S50&lt;&gt;"")</formula>
    </cfRule>
  </conditionalFormatting>
  <conditionalFormatting sqref="I50:S50 I53:S53 I56:S56">
    <cfRule type="expression" dxfId="201" priority="175" stopIfTrue="1">
      <formula>$M50=2</formula>
    </cfRule>
    <cfRule type="expression" dxfId="200" priority="176" stopIfTrue="1">
      <formula>AND($M50=1,$S50&lt;&gt;"")</formula>
    </cfRule>
  </conditionalFormatting>
  <conditionalFormatting sqref="H51 H54 H57">
    <cfRule type="expression" dxfId="199" priority="171">
      <formula>AND(H50&lt;&gt;0,ISNUMBER(H50))</formula>
    </cfRule>
  </conditionalFormatting>
  <conditionalFormatting sqref="H50 H53 H56">
    <cfRule type="expression" dxfId="198" priority="170">
      <formula>AND(H50&lt;&gt;0,ISNUMBER(H50))</formula>
    </cfRule>
  </conditionalFormatting>
  <conditionalFormatting sqref="E50 E53 E56">
    <cfRule type="expression" dxfId="197" priority="169" stopIfTrue="1">
      <formula>E50&lt;&gt;0</formula>
    </cfRule>
  </conditionalFormatting>
  <conditionalFormatting sqref="E51 E54 E57">
    <cfRule type="expression" dxfId="196" priority="168">
      <formula>AND(_xlfn.SINGLE(ACOMPANHAMENTO)="BM",E51&gt;ROUND(E51,4))</formula>
    </cfRule>
  </conditionalFormatting>
  <conditionalFormatting sqref="U50:AF50 U53:AF53 U56:AF56">
    <cfRule type="expression" dxfId="195" priority="167" stopIfTrue="1">
      <formula>U50&lt;&gt;0</formula>
    </cfRule>
  </conditionalFormatting>
  <conditionalFormatting sqref="U51:AF51 U54:AF54 U57:AF57">
    <cfRule type="expression" dxfId="194" priority="166">
      <formula>AND(_xlfn.SINGLE(ACOMPANHAMENTO)="BM",U51&gt;ROUND(U51,4))</formula>
    </cfRule>
  </conditionalFormatting>
  <conditionalFormatting sqref="E60 E63 E66 U60:AF60 U63:AF63 U66:AF66">
    <cfRule type="expression" dxfId="193" priority="161" stopIfTrue="1">
      <formula>AND(ISNUMBER($H59),$H59&lt;&gt;0)</formula>
    </cfRule>
  </conditionalFormatting>
  <conditionalFormatting sqref="I60:S60 I63:S63 I66:S66">
    <cfRule type="expression" dxfId="192" priority="162" stopIfTrue="1">
      <formula>$M59=2</formula>
    </cfRule>
    <cfRule type="expression" dxfId="191" priority="163" stopIfTrue="1">
      <formula>AND($M59=1,$S59&lt;&gt;"")</formula>
    </cfRule>
  </conditionalFormatting>
  <conditionalFormatting sqref="I59:S59 I62:S62 I65:S65">
    <cfRule type="expression" dxfId="190" priority="164" stopIfTrue="1">
      <formula>$M59=2</formula>
    </cfRule>
    <cfRule type="expression" dxfId="189" priority="165" stopIfTrue="1">
      <formula>AND($M59=1,$S59&lt;&gt;"")</formula>
    </cfRule>
  </conditionalFormatting>
  <conditionalFormatting sqref="H60 H63 H66">
    <cfRule type="expression" dxfId="188" priority="160">
      <formula>AND(H59&lt;&gt;0,ISNUMBER(H59))</formula>
    </cfRule>
  </conditionalFormatting>
  <conditionalFormatting sqref="H59 H62 H65">
    <cfRule type="expression" dxfId="187" priority="159">
      <formula>AND(H59&lt;&gt;0,ISNUMBER(H59))</formula>
    </cfRule>
  </conditionalFormatting>
  <conditionalFormatting sqref="E59 E62 E65">
    <cfRule type="expression" dxfId="186" priority="158" stopIfTrue="1">
      <formula>E59&lt;&gt;0</formula>
    </cfRule>
  </conditionalFormatting>
  <conditionalFormatting sqref="E60 E63 E66">
    <cfRule type="expression" dxfId="185" priority="157">
      <formula>AND(_xlfn.SINGLE(ACOMPANHAMENTO)="BM",E60&gt;ROUND(E60,4))</formula>
    </cfRule>
  </conditionalFormatting>
  <conditionalFormatting sqref="U59:AF59 U62:AF62 U65:AF65">
    <cfRule type="expression" dxfId="184" priority="156" stopIfTrue="1">
      <formula>U59&lt;&gt;0</formula>
    </cfRule>
  </conditionalFormatting>
  <conditionalFormatting sqref="U60:AF60 U63:AF63 U66:AF66">
    <cfRule type="expression" dxfId="183" priority="155">
      <formula>AND(_xlfn.SINGLE(ACOMPANHAMENTO)="BM",U60&gt;ROUND(U60,4))</formula>
    </cfRule>
  </conditionalFormatting>
  <conditionalFormatting sqref="E69 E72 E75 U69:AF69 U72:AF72 U75:AF75">
    <cfRule type="expression" dxfId="182" priority="150" stopIfTrue="1">
      <formula>AND(ISNUMBER($H68),$H68&lt;&gt;0)</formula>
    </cfRule>
  </conditionalFormatting>
  <conditionalFormatting sqref="I69:S69 I72:S72 I75:S75">
    <cfRule type="expression" dxfId="181" priority="151" stopIfTrue="1">
      <formula>$M68=2</formula>
    </cfRule>
    <cfRule type="expression" dxfId="180" priority="152" stopIfTrue="1">
      <formula>AND($M68=1,$S68&lt;&gt;"")</formula>
    </cfRule>
  </conditionalFormatting>
  <conditionalFormatting sqref="I68:S68 I71:S71 I74:S74">
    <cfRule type="expression" dxfId="179" priority="153" stopIfTrue="1">
      <formula>$M68=2</formula>
    </cfRule>
    <cfRule type="expression" dxfId="178" priority="154" stopIfTrue="1">
      <formula>AND($M68=1,$S68&lt;&gt;"")</formula>
    </cfRule>
  </conditionalFormatting>
  <conditionalFormatting sqref="H69 H72 H75">
    <cfRule type="expression" dxfId="177" priority="149">
      <formula>AND(H68&lt;&gt;0,ISNUMBER(H68))</formula>
    </cfRule>
  </conditionalFormatting>
  <conditionalFormatting sqref="H68 H71 H74">
    <cfRule type="expression" dxfId="176" priority="148">
      <formula>AND(H68&lt;&gt;0,ISNUMBER(H68))</formula>
    </cfRule>
  </conditionalFormatting>
  <conditionalFormatting sqref="E68 E71 E74">
    <cfRule type="expression" dxfId="175" priority="147" stopIfTrue="1">
      <formula>E68&lt;&gt;0</formula>
    </cfRule>
  </conditionalFormatting>
  <conditionalFormatting sqref="E69 E72 E75">
    <cfRule type="expression" dxfId="174" priority="146">
      <formula>AND(_xlfn.SINGLE(ACOMPANHAMENTO)="BM",E69&gt;ROUND(E69,4))</formula>
    </cfRule>
  </conditionalFormatting>
  <conditionalFormatting sqref="U68:AF68 U71:AF71 U74:AF74">
    <cfRule type="expression" dxfId="173" priority="145" stopIfTrue="1">
      <formula>U68&lt;&gt;0</formula>
    </cfRule>
  </conditionalFormatting>
  <conditionalFormatting sqref="U69:AF69 U72:AF72 U75:AF75">
    <cfRule type="expression" dxfId="172" priority="144">
      <formula>AND(_xlfn.SINGLE(ACOMPANHAMENTO)="BM",U69&gt;ROUND(U69,4))</formula>
    </cfRule>
  </conditionalFormatting>
  <conditionalFormatting sqref="E78 U78:AF78">
    <cfRule type="expression" dxfId="171" priority="29" stopIfTrue="1">
      <formula>AND(ISNUMBER($H77),$H77&lt;&gt;0)</formula>
    </cfRule>
  </conditionalFormatting>
  <conditionalFormatting sqref="I78:S78">
    <cfRule type="expression" dxfId="170" priority="30" stopIfTrue="1">
      <formula>$M77=2</formula>
    </cfRule>
    <cfRule type="expression" dxfId="169" priority="31" stopIfTrue="1">
      <formula>AND($M77=1,$S77&lt;&gt;"")</formula>
    </cfRule>
  </conditionalFormatting>
  <conditionalFormatting sqref="I77:S77">
    <cfRule type="expression" dxfId="168" priority="32" stopIfTrue="1">
      <formula>$M77=2</formula>
    </cfRule>
    <cfRule type="expression" dxfId="167" priority="33" stopIfTrue="1">
      <formula>AND($M77=1,$S77&lt;&gt;"")</formula>
    </cfRule>
  </conditionalFormatting>
  <conditionalFormatting sqref="H78">
    <cfRule type="expression" dxfId="166" priority="28">
      <formula>AND(H77&lt;&gt;0,ISNUMBER(H77))</formula>
    </cfRule>
  </conditionalFormatting>
  <conditionalFormatting sqref="H77">
    <cfRule type="expression" dxfId="165" priority="27">
      <formula>AND(H77&lt;&gt;0,ISNUMBER(H77))</formula>
    </cfRule>
  </conditionalFormatting>
  <conditionalFormatting sqref="E77">
    <cfRule type="expression" dxfId="164" priority="26" stopIfTrue="1">
      <formula>E77&lt;&gt;0</formula>
    </cfRule>
  </conditionalFormatting>
  <conditionalFormatting sqref="E78">
    <cfRule type="expression" dxfId="163" priority="25">
      <formula>AND(_xlfn.SINGLE(ACOMPANHAMENTO)="BM",E78&gt;ROUND(E78,4))</formula>
    </cfRule>
  </conditionalFormatting>
  <conditionalFormatting sqref="U77:AF77">
    <cfRule type="expression" dxfId="162" priority="24" stopIfTrue="1">
      <formula>U77&lt;&gt;0</formula>
    </cfRule>
  </conditionalFormatting>
  <conditionalFormatting sqref="U78:AF78">
    <cfRule type="expression" dxfId="161" priority="23">
      <formula>AND(_xlfn.SINGLE(ACOMPANHAMENTO)="BM",U78&gt;ROUND(U78,4))</formula>
    </cfRule>
  </conditionalFormatting>
  <conditionalFormatting sqref="E81 E84 E87 U81:AF81 U84:AF84 U87:AF87">
    <cfRule type="expression" dxfId="160" priority="18" stopIfTrue="1">
      <formula>AND(ISNUMBER($H80),$H80&lt;&gt;0)</formula>
    </cfRule>
  </conditionalFormatting>
  <conditionalFormatting sqref="I81:S81 I84:S84 I87:S87">
    <cfRule type="expression" dxfId="159" priority="19" stopIfTrue="1">
      <formula>$M80=2</formula>
    </cfRule>
    <cfRule type="expression" dxfId="158" priority="20" stopIfTrue="1">
      <formula>AND($M80=1,$S80&lt;&gt;"")</formula>
    </cfRule>
  </conditionalFormatting>
  <conditionalFormatting sqref="I80:S80 I83:S83 I86:S86">
    <cfRule type="expression" dxfId="157" priority="21" stopIfTrue="1">
      <formula>$M80=2</formula>
    </cfRule>
    <cfRule type="expression" dxfId="156" priority="22" stopIfTrue="1">
      <formula>AND($M80=1,$S80&lt;&gt;"")</formula>
    </cfRule>
  </conditionalFormatting>
  <conditionalFormatting sqref="H81 H84 H87">
    <cfRule type="expression" dxfId="155" priority="17">
      <formula>AND(H80&lt;&gt;0,ISNUMBER(H80))</formula>
    </cfRule>
  </conditionalFormatting>
  <conditionalFormatting sqref="H80 H83 H86">
    <cfRule type="expression" dxfId="154" priority="16">
      <formula>AND(H80&lt;&gt;0,ISNUMBER(H80))</formula>
    </cfRule>
  </conditionalFormatting>
  <conditionalFormatting sqref="E80 E83 E86">
    <cfRule type="expression" dxfId="153" priority="15" stopIfTrue="1">
      <formula>E80&lt;&gt;0</formula>
    </cfRule>
  </conditionalFormatting>
  <conditionalFormatting sqref="E81 E84 E87">
    <cfRule type="expression" dxfId="152" priority="14">
      <formula>AND(_xlfn.SINGLE(ACOMPANHAMENTO)="BM",E81&gt;ROUND(E81,4))</formula>
    </cfRule>
  </conditionalFormatting>
  <conditionalFormatting sqref="U80:AF80 U83:AF83 U86:AF86">
    <cfRule type="expression" dxfId="151" priority="13" stopIfTrue="1">
      <formula>U80&lt;&gt;0</formula>
    </cfRule>
  </conditionalFormatting>
  <conditionalFormatting sqref="U81:AF81 U84:AF84 U87:AF87">
    <cfRule type="expression" dxfId="150" priority="12">
      <formula>AND(_xlfn.SINGLE(ACOMPANHAMENTO)="BM",U81&gt;ROUND(U81,4))</formula>
    </cfRule>
  </conditionalFormatting>
  <conditionalFormatting sqref="E90 U90:AF90">
    <cfRule type="expression" dxfId="149" priority="7" stopIfTrue="1">
      <formula>AND(ISNUMBER($H89),$H89&lt;&gt;0)</formula>
    </cfRule>
  </conditionalFormatting>
  <conditionalFormatting sqref="I90:S90">
    <cfRule type="expression" dxfId="148" priority="8" stopIfTrue="1">
      <formula>$M89=2</formula>
    </cfRule>
    <cfRule type="expression" dxfId="147" priority="9" stopIfTrue="1">
      <formula>AND($M89=1,$S89&lt;&gt;"")</formula>
    </cfRule>
  </conditionalFormatting>
  <conditionalFormatting sqref="I89:S89">
    <cfRule type="expression" dxfId="146" priority="10" stopIfTrue="1">
      <formula>$M89=2</formula>
    </cfRule>
    <cfRule type="expression" dxfId="145" priority="11" stopIfTrue="1">
      <formula>AND($M89=1,$S89&lt;&gt;"")</formula>
    </cfRule>
  </conditionalFormatting>
  <conditionalFormatting sqref="H90">
    <cfRule type="expression" dxfId="144" priority="6">
      <formula>AND(H89&lt;&gt;0,ISNUMBER(H89))</formula>
    </cfRule>
  </conditionalFormatting>
  <conditionalFormatting sqref="H89">
    <cfRule type="expression" dxfId="143" priority="5">
      <formula>AND(H89&lt;&gt;0,ISNUMBER(H89))</formula>
    </cfRule>
  </conditionalFormatting>
  <conditionalFormatting sqref="E89">
    <cfRule type="expression" dxfId="142" priority="4" stopIfTrue="1">
      <formula>E89&lt;&gt;0</formula>
    </cfRule>
  </conditionalFormatting>
  <conditionalFormatting sqref="E90">
    <cfRule type="expression" dxfId="141" priority="3">
      <formula>AND(_xlfn.SINGLE(ACOMPANHAMENTO)="BM",E90&gt;ROUND(E90,4))</formula>
    </cfRule>
  </conditionalFormatting>
  <conditionalFormatting sqref="U89:AF89">
    <cfRule type="expression" dxfId="140" priority="2" stopIfTrue="1">
      <formula>U89&lt;&gt;0</formula>
    </cfRule>
  </conditionalFormatting>
  <conditionalFormatting sqref="U90:AF90">
    <cfRule type="expression" dxfId="139" priority="1">
      <formula>AND(_xlfn.SINGLE(ACOMPANHAMENTO)="BM",U90&gt;ROUND(U90,4))</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U77:AF77 E80 E83 E86 U80:AF80 U83:AF83 U86:AF86 E89 U89:AF8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U78:AG78 E81 E84 E87 U81:AG81 U84:AG84 U87:AG87 E90 U90:AG9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03:J103" xr:uid="{248F12C1-5C2E-4989-A04F-CE4BB609793B}">
      <formula1>$A$13:$A$92</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&amp;LPMv3.08&amp;R&amp;P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K14" activePane="bottomRight" state="frozen"/>
      <selection activeCell="C1" sqref="C1"/>
      <selection pane="topRight" activeCell="H1" sqref="H1"/>
      <selection pane="bottomLeft" activeCell="C14" sqref="C14"/>
      <selection pane="bottomRight" activeCell="L16" sqref="L16"/>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F1" s="282" t="s">
        <v>297</v>
      </c>
      <c r="I1" s="8"/>
      <c r="J1" s="8"/>
      <c r="O1" s="527" t="s">
        <v>441</v>
      </c>
      <c r="P1" s="87"/>
    </row>
    <row r="2" spans="1:31" x14ac:dyDescent="0.2">
      <c r="Z2" t="s">
        <v>298</v>
      </c>
      <c r="AA2" s="90" t="s">
        <v>299</v>
      </c>
      <c r="AB2" s="78"/>
    </row>
    <row r="3" spans="1:31" x14ac:dyDescent="0.2">
      <c r="D3" s="662" t="s">
        <v>145</v>
      </c>
      <c r="E3" s="662"/>
      <c r="F3" s="89" t="s">
        <v>422</v>
      </c>
      <c r="G3" s="662" t="s">
        <v>146</v>
      </c>
      <c r="H3" s="662"/>
      <c r="I3" s="662"/>
      <c r="J3" s="764" t="s">
        <v>300</v>
      </c>
      <c r="K3" s="764"/>
      <c r="L3" s="764"/>
      <c r="M3" s="765" t="s">
        <v>301</v>
      </c>
      <c r="N3" s="765"/>
      <c r="O3" s="765"/>
      <c r="Z3" s="104">
        <f ca="1">MAX(Z7:AB7)</f>
        <v>0.44</v>
      </c>
      <c r="AA3" s="283">
        <f ca="1">IF(OR($O$24=ORÇAMENTO.SumINVMANUAL+QCI.SumINVMANUAL,$O$24=0),0,MIN(MAX(0,($Z$3*$O$24-ORÇAMENTO.SumCPMANUAL-QCI.SumCPMANUAL)/($O$24-ORÇAMENTO.SumINVMANUAL-QCI.SumINVMANUAL)),1))</f>
        <v>0</v>
      </c>
      <c r="AB3" s="94"/>
    </row>
    <row r="4" spans="1:31" x14ac:dyDescent="0.2">
      <c r="D4" s="668" t="str">
        <f>Import.CR</f>
        <v>000000-00</v>
      </c>
      <c r="E4" s="668"/>
      <c r="F4" s="57" t="str">
        <f>Import.TransfereGOV</f>
        <v>000000</v>
      </c>
      <c r="G4" s="668" t="str">
        <f>Import.Proponente</f>
        <v>PREFEITURA MUNICIPAL DE SARANDI/RS</v>
      </c>
      <c r="H4" s="668"/>
      <c r="I4" s="668"/>
      <c r="J4" s="766" t="str">
        <f>Import.Município</f>
        <v>SARANDI/RS</v>
      </c>
      <c r="K4" s="766"/>
      <c r="L4" s="766"/>
      <c r="M4" s="765"/>
      <c r="N4" s="765"/>
      <c r="O4" s="765"/>
      <c r="R4" s="131"/>
      <c r="Z4" s="94"/>
      <c r="AA4" s="94"/>
      <c r="AB4" s="94"/>
    </row>
    <row r="5" spans="1:31" ht="5.0999999999999996" customHeight="1" x14ac:dyDescent="0.2">
      <c r="M5" s="275"/>
      <c r="O5" s="4"/>
    </row>
    <row r="6" spans="1:31" x14ac:dyDescent="0.2">
      <c r="D6" s="662" t="s">
        <v>200</v>
      </c>
      <c r="E6" s="662"/>
      <c r="F6" s="662"/>
      <c r="G6" s="662"/>
      <c r="H6" s="662"/>
      <c r="I6" s="662"/>
      <c r="J6" s="662"/>
      <c r="K6" s="662"/>
      <c r="L6" s="284" t="s">
        <v>208</v>
      </c>
      <c r="M6" s="89" t="str">
        <f>IF(import.recurso="FGTS","FINANCIAMENTO","REPASSE")</f>
        <v>REPASSE</v>
      </c>
      <c r="N6" s="89" t="s">
        <v>302</v>
      </c>
      <c r="O6" s="89" t="s">
        <v>303</v>
      </c>
      <c r="Z6" t="s">
        <v>304</v>
      </c>
      <c r="AA6" t="s">
        <v>305</v>
      </c>
      <c r="AB6" t="s">
        <v>306</v>
      </c>
    </row>
    <row r="7" spans="1:31" ht="12.75" customHeight="1" x14ac:dyDescent="0.2">
      <c r="C7" s="665" t="s">
        <v>207</v>
      </c>
      <c r="D7" s="668" t="str">
        <f>Import.Apelido</f>
        <v>PAVILHÃO COMUNITÁRIO COMUNIDADE ÁREA 10</v>
      </c>
      <c r="E7" s="668"/>
      <c r="F7" s="668"/>
      <c r="G7" s="668"/>
      <c r="H7" s="668"/>
      <c r="I7" s="668"/>
      <c r="J7" s="668"/>
      <c r="K7" s="668"/>
      <c r="L7" s="285" t="str">
        <f>import.recurso</f>
        <v>OGU</v>
      </c>
      <c r="M7" s="286">
        <f>Import.Repasse</f>
        <v>200000</v>
      </c>
      <c r="N7" s="286">
        <f>Import.Contrapartida</f>
        <v>158258.26</v>
      </c>
      <c r="O7" s="286">
        <f>M7+N7</f>
        <v>358258.26</v>
      </c>
      <c r="Z7" s="104">
        <f>ROUND(Import.CPMinPerc,4)</f>
        <v>0.44</v>
      </c>
      <c r="AA7" s="104">
        <f ca="1">IF($O$24=0,0,Import.CPMinAbsoluta/$O$24)</f>
        <v>0</v>
      </c>
      <c r="AB7" s="104">
        <f ca="1">IF($O$24=0,0,($O$24-$AB$24-Import.Repasse)/($O$24))</f>
        <v>0</v>
      </c>
    </row>
    <row r="8" spans="1:31" x14ac:dyDescent="0.2">
      <c r="C8" s="665"/>
      <c r="D8" s="94"/>
      <c r="E8" s="94"/>
      <c r="F8" s="287"/>
      <c r="G8" s="94"/>
      <c r="H8" s="94"/>
      <c r="I8" s="94"/>
      <c r="J8" s="94"/>
      <c r="K8" s="94"/>
      <c r="L8" s="94"/>
      <c r="M8" s="94"/>
      <c r="N8" s="94"/>
      <c r="O8" s="94"/>
    </row>
    <row r="9" spans="1:31" ht="12.75" customHeight="1" x14ac:dyDescent="0.2">
      <c r="C9" s="665"/>
      <c r="G9" s="76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IF(OFFSET($A$24,-1,0)&lt;OFFSET(ORÇAMENTO!$E$89,-1,0),"ERRO: NÚMERO DE LINHAS DO QCI INSUFICIENTE. CLIQUE NO BOTÃO ADICIONAR LINHAS",
  "")))))))</f>
        <v/>
      </c>
      <c r="H9" s="763"/>
      <c r="I9" s="552"/>
      <c r="J9" s="551"/>
      <c r="K9" s="762" t="s">
        <v>307</v>
      </c>
      <c r="L9" s="288" t="str">
        <f>$L$13</f>
        <v>Repasse (R$)</v>
      </c>
      <c r="M9" s="288" t="s">
        <v>236</v>
      </c>
      <c r="AD9" s="760"/>
      <c r="AE9" s="760"/>
    </row>
    <row r="10" spans="1:31" ht="12.75" customHeight="1" x14ac:dyDescent="0.2">
      <c r="A10" s="759" t="s">
        <v>308</v>
      </c>
      <c r="C10" s="665"/>
      <c r="G10" s="763"/>
      <c r="H10" s="763"/>
      <c r="I10" s="552"/>
      <c r="J10" s="551"/>
      <c r="K10" s="762"/>
      <c r="L10" s="289">
        <f ca="1">Import.Repasse-L24</f>
        <v>200000</v>
      </c>
      <c r="M10" s="290">
        <f ca="1">Import.Contrapartida-M24</f>
        <v>158258.26</v>
      </c>
      <c r="Z10" s="666" t="s">
        <v>214</v>
      </c>
      <c r="AA10" s="666"/>
      <c r="AB10" s="666"/>
      <c r="AD10" s="760" t="s">
        <v>309</v>
      </c>
      <c r="AE10" s="760"/>
    </row>
    <row r="11" spans="1:31" ht="20.100000000000001" customHeight="1" x14ac:dyDescent="0.25">
      <c r="A11" s="759"/>
      <c r="C11" s="665"/>
      <c r="G11" s="64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64"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2" t="s">
        <v>310</v>
      </c>
      <c r="AA11" s="112" t="s">
        <v>236</v>
      </c>
      <c r="AB11" s="113" t="s">
        <v>237</v>
      </c>
    </row>
    <row r="12" spans="1:31" hidden="1" x14ac:dyDescent="0.2">
      <c r="A12">
        <f ca="1">IF(NOT(ISBLANK(QCI.DescManual)),OFFSET(A12,-1,0),D12)</f>
        <v>-1</v>
      </c>
      <c r="B12" t="str">
        <f ca="1">IF(NOT(ISBLANK(QCI.DescManual)),IF(QCI.Divisao="Calculado","Manual","SemiAuto"),IF(ISERROR(MATCH($A12,ORÇAMENTO!$E$15:$E$89,0)),"Branco","Automático"))</f>
        <v>Branco</v>
      </c>
      <c r="C12" t="str">
        <f ca="1">IF(O12&gt;0,"F","")</f>
        <v/>
      </c>
      <c r="D12" s="291">
        <f>ROW()-ROW($D$13)</f>
        <v>-1</v>
      </c>
      <c r="E12" s="120"/>
      <c r="F12" s="120"/>
      <c r="G12" s="170" t="str">
        <f ca="1">IF(OR($B12="Manual",$B12="SemiAuto"),QCI.DescManual,IF($B12="Automático",INDEX(ORÇAMENTO!$R$15:$R$89,MATCH($A12,ORÇAMENTO!$E$15:$E$89,0)),""))</f>
        <v/>
      </c>
      <c r="H12" s="120"/>
      <c r="I12" s="496"/>
      <c r="J12" s="292" t="str">
        <f ca="1">IF(AND(ISBLANK(E12),ISBLANK(F12)),"",VLOOKUP($F12,OFFSET(DADOS!$A$2,1,MATCH(QCI!$E12,DADOS!$2:$2,0)-1,100,50),2,FALSE))</f>
        <v/>
      </c>
      <c r="K12" s="495" t="str">
        <f ca="1">IF(OR($B12="Manual",$B12="SemiAuto"),QCI.LoteManual,IF($B12="Automático",IF(TIPOORCAMENTO="Licitado",Import.CTEF,"LOTE 1"),""))</f>
        <v/>
      </c>
      <c r="L12" s="293">
        <f ca="1">ROUND($O12,2)-ROUND($M12,2)-ROUND($N12,2)</f>
        <v>0</v>
      </c>
      <c r="M12" s="294">
        <f ca="1">ROUND($AA12,2)-ROUND($AE12,2)</f>
        <v>0</v>
      </c>
      <c r="N12" s="295">
        <f ca="1">ROUND($AB12,2)</f>
        <v>0</v>
      </c>
      <c r="O12" s="296">
        <f ca="1">IF($B12="Branco",0,IF(OR($B12="Manual",$B12="SemiAuto"),QCI.InvManual,INDEX(ORÇAMENTO!X$15:X$89,MATCH($A12,ORÇAMENTO!$E$15:$E$89,0))))</f>
        <v>0</v>
      </c>
      <c r="P12" s="636" t="str">
        <f ca="1">IF(O12=0,"",
  IF(E12="","ITEM",
  IF(F12="","SUBITEM",
  IF(H12="","SITUAÇÃO",
  IF(I12=0,"QUANT.","")))))</f>
        <v/>
      </c>
      <c r="R12" s="497"/>
      <c r="S12" s="637" t="str">
        <f>IF(R12="","",
  IF(T12=0,"► LOTE",
  IF(U12=0,"► INVEST",
  IF(V12=0,"► DIV",
  IF(AND(V12="Calculado",W12=""),"► CP",
  IF(AND(V12="Calculado",X12=""),"► OU",""))))))</f>
        <v/>
      </c>
      <c r="T12" s="498"/>
      <c r="U12" s="638"/>
      <c r="V12" s="499" t="s">
        <v>311</v>
      </c>
      <c r="W12" s="639"/>
      <c r="X12" s="640"/>
      <c r="Z12">
        <f ca="1">$O12-$AA12-$AB12</f>
        <v>0</v>
      </c>
      <c r="AA12">
        <f ca="1">IF($B12="Branco",0,IF($B12="Manual",QCI.CPManual,IF($B12="SemiAuto",ROUND(QCI!$AA$3*QCI.InvManual,2),INDEX(ORÇAMENTO!$AA$15:$AA$89,MATCH($A12,ORÇAMENTO!$E$15:$E$89,0)))))</f>
        <v>0</v>
      </c>
      <c r="AB12">
        <f ca="1">IF($B12="Branco",0,IF($B12="Manual",QCI.OutrosManual,IF($B12="SemiAuto",0,INDEX(ORÇAMENTO!$AB$15:$AB$89,MATCH($A12,ORÇAMENTO!$E$15:$E$89,0)))))</f>
        <v>0</v>
      </c>
      <c r="AD12" s="299" t="b">
        <f ca="1">AND($AA$3&gt;0,$AA$3&lt;1,$O12&gt;0,OR($B12="Automático",$B12="SemiAuto"),OR(QCI!$Z$3=QCI!$Z$7,QCI!$Z$3=QCI!$AA$7,QCI!$Z$3=QCI!$AB$7))</f>
        <v>0</v>
      </c>
      <c r="AE12" s="299">
        <f ca="1">IF(AND($AD12,$O12&gt;0,COUNTIF(OFFSET($AD12,1,0):$AD$24,TRUE)=0),CHOOSE(1+LOG(1+2*(QCI!$Z$3=QCI!$Z$7)+4*(QCI!$Z$3=QCI!$AA$7)+8*(QCI!$Z$3=QCI!$AB$7),2),0,$AA$24-ROUND(Import.CPMinPerc*$O$24,2),$AA$24-Import.CPMinAbsoluta,Import.Repasse-$Z$24),0)</f>
        <v>0</v>
      </c>
    </row>
    <row r="13" spans="1:31" ht="25.5" customHeight="1" x14ac:dyDescent="0.2">
      <c r="A13" s="87">
        <v>0</v>
      </c>
      <c r="B13" s="300" t="s">
        <v>312</v>
      </c>
      <c r="C13" s="108" t="s">
        <v>215</v>
      </c>
      <c r="D13" s="109" t="s">
        <v>193</v>
      </c>
      <c r="E13" s="109" t="s">
        <v>313</v>
      </c>
      <c r="F13" s="109" t="s">
        <v>314</v>
      </c>
      <c r="G13" s="109" t="s">
        <v>315</v>
      </c>
      <c r="H13" s="109" t="s">
        <v>160</v>
      </c>
      <c r="I13" s="109" t="s">
        <v>201</v>
      </c>
      <c r="J13" s="109" t="s">
        <v>316</v>
      </c>
      <c r="K13" s="109" t="s">
        <v>317</v>
      </c>
      <c r="L13" s="301" t="str">
        <f>IF(import.recurso="FGTS","Financiamento (R$)","Repasse (R$)")</f>
        <v>Repasse (R$)</v>
      </c>
      <c r="M13" s="302" t="s">
        <v>318</v>
      </c>
      <c r="N13" s="303" t="s">
        <v>237</v>
      </c>
      <c r="O13" s="109" t="s">
        <v>319</v>
      </c>
      <c r="R13" s="304" t="s">
        <v>315</v>
      </c>
      <c r="T13" s="304" t="s">
        <v>317</v>
      </c>
      <c r="U13" s="166" t="s">
        <v>319</v>
      </c>
      <c r="V13" s="305" t="s">
        <v>320</v>
      </c>
      <c r="W13" s="165" t="s">
        <v>318</v>
      </c>
      <c r="X13" s="167" t="s">
        <v>237</v>
      </c>
    </row>
    <row r="14" spans="1:31" ht="25.5" x14ac:dyDescent="0.2">
      <c r="A14">
        <f t="shared" ref="A14:A23" ca="1" si="0">IF(NOT(ISBLANK(QCI.DescManual)),OFFSET(A14,-1,0),D14)</f>
        <v>1</v>
      </c>
      <c r="B14" t="str">
        <f ca="1">IF(NOT(ISBLANK(QCI.DescManual)),IF(QCI.Divisao="Calculado","Manual","SemiAuto"),IF(ISERROR(MATCH($A14,ORÇAMENTO!$E$15:$E$89,0)),"Branco","Automático"))</f>
        <v>Automático</v>
      </c>
      <c r="C14" t="str">
        <f t="shared" ref="C14:C22" ca="1" si="1">IF(O14&gt;0,"F","")</f>
        <v/>
      </c>
      <c r="D14" s="291">
        <f t="shared" ref="D14:D22" si="2">ROW()-ROW($D$13)</f>
        <v>1</v>
      </c>
      <c r="E14" s="120" t="s">
        <v>20</v>
      </c>
      <c r="F14" s="120" t="s">
        <v>20</v>
      </c>
      <c r="G14" s="170" t="str">
        <f ca="1">IF(OR($B14="Manual",$B14="SemiAuto"),QCI.DescManual,IF($B14="Automático",INDEX(ORÇAMENTO!$R$15:$R$89,MATCH($A14,ORÇAMENTO!$E$15:$E$89,0)),""))</f>
        <v>REFORMA E AMPLIAÇÃO DE PAVILHÃO</v>
      </c>
      <c r="H14" s="120" t="s">
        <v>1009</v>
      </c>
      <c r="I14" s="496">
        <v>1</v>
      </c>
      <c r="J14" s="292" t="str">
        <f ca="1">IF(AND(ISBLANK(E14),ISBLANK(F14)),"",VLOOKUP($F14,OFFSET(DADOS!$A$2,1,MATCH(QCI!$E14,DADOS!$2:$2,0)-1,100,50),2,FALSE))</f>
        <v>un</v>
      </c>
      <c r="K14" s="495" t="str">
        <f ca="1">IF(OR($B14="Manual",$B14="SemiAuto"),QCI.LoteManual,IF($B14="Automático",IF(TIPOORCAMENTO="Licitado",Import.CTEF,"LOTE 1"),""))</f>
        <v>LOTE 1</v>
      </c>
      <c r="L14" s="293">
        <f t="shared" ref="L14:L22" ca="1" si="3">ROUND($O14,2)-ROUND($M14,2)-ROUND($N14,2)</f>
        <v>0</v>
      </c>
      <c r="M14" s="294">
        <f t="shared" ref="M14:M22" ca="1" si="4">ROUND($AA14,2)-ROUND($AE14,2)</f>
        <v>0</v>
      </c>
      <c r="N14" s="295">
        <f t="shared" ref="N14:N22" ca="1" si="5">ROUND($AB14,2)</f>
        <v>0</v>
      </c>
      <c r="O14" s="296">
        <f ca="1">IF($B14="Branco",0,IF(OR($B14="Manual",$B14="SemiAuto"),QCI.InvManual,INDEX(ORÇAMENTO!X$15:X$89,MATCH($A14,ORÇAMENTO!$E$15:$E$89,0))))</f>
        <v>0</v>
      </c>
      <c r="P14" s="636" t="str">
        <f t="shared" ref="P14:P22" ca="1" si="6">IF(O14=0,"",
  IF(E14="","ITEM",
  IF(F14="","SUBITEM",
  IF(H14="","SITUAÇÃO",
  IF(I14=0,"QUANT.","")))))</f>
        <v/>
      </c>
      <c r="R14" s="497"/>
      <c r="S14" s="637" t="str">
        <f t="shared" ref="S14:S22" si="7">IF(R14="","",
  IF(T14=0,"► LOTE",
  IF(U14=0,"► INVEST",
  IF(V14=0,"► DIV",
  IF(AND(V14="Calculado",W14=""),"► CP",
  IF(AND(V14="Calculado",X14=""),"► OU",""))))))</f>
        <v/>
      </c>
      <c r="T14" s="498"/>
      <c r="U14" s="638"/>
      <c r="V14" s="499" t="s">
        <v>311</v>
      </c>
      <c r="W14" s="639"/>
      <c r="X14" s="640"/>
      <c r="Z14">
        <f t="shared" ref="Z14:Z22" ca="1" si="8">$O14-$AA14-$AB14</f>
        <v>0</v>
      </c>
      <c r="AA14">
        <f ca="1">IF($B14="Branco",0,IF($B14="Manual",QCI.CPManual,IF($B14="SemiAuto",ROUND(QCI!$AA$3*QCI.InvManual,2),INDEX(ORÇAMENTO!$AA$15:$AA$89,MATCH($A14,ORÇAMENTO!$E$15:$E$89,0)))))</f>
        <v>0</v>
      </c>
      <c r="AB14">
        <f ca="1">IF($B14="Branco",0,IF($B14="Manual",QCI.OutrosManual,IF($B14="SemiAuto",0,INDEX(ORÇAMENTO!$AB$15:$AB$89,MATCH($A14,ORÇAMENTO!$E$15:$E$89,0)))))</f>
        <v>0</v>
      </c>
      <c r="AD14" s="299" t="b">
        <f ca="1">AND($AA$3&gt;0,$AA$3&lt;1,$O14&gt;0,OR($B14="Automático",$B14="SemiAuto"),OR(QCI!$Z$3=QCI!$Z$7,QCI!$Z$3=QCI!$AA$7,QCI!$Z$3=QCI!$AB$7))</f>
        <v>0</v>
      </c>
      <c r="AE14" s="299">
        <f ca="1">IF(AND($AD14,$O14&gt;0,COUNTIF(OFFSET($AD14,1,0):$AD$24,TRUE)=0),CHOOSE(1+LOG(1+2*(QCI!$Z$3=QCI!$Z$7)+4*(QCI!$Z$3=QCI!$AA$7)+8*(QCI!$Z$3=QCI!$AB$7),2),0,$AA$24-ROUND(Import.CPMinPerc*$O$24,2),$AA$24-Import.CPMinAbsoluta,Import.Repasse-$Z$24),0)</f>
        <v>0</v>
      </c>
    </row>
    <row r="15" spans="1:31" ht="25.5" x14ac:dyDescent="0.2">
      <c r="A15">
        <f t="shared" ca="1" si="0"/>
        <v>2</v>
      </c>
      <c r="B15" t="str">
        <f ca="1">IF(NOT(ISBLANK(QCI.DescManual)),IF(QCI.Divisao="Calculado","Manual","SemiAuto"),IF(ISERROR(MATCH($A15,ORÇAMENTO!$E$15:$E$89,0)),"Branco","Automático"))</f>
        <v>Automático</v>
      </c>
      <c r="C15" t="str">
        <f t="shared" ca="1" si="1"/>
        <v/>
      </c>
      <c r="D15" s="291">
        <f t="shared" si="2"/>
        <v>2</v>
      </c>
      <c r="E15" s="120" t="s">
        <v>20</v>
      </c>
      <c r="F15" s="120" t="s">
        <v>20</v>
      </c>
      <c r="G15" s="170" t="str">
        <f ca="1">IF(OR($B15="Manual",$B15="SemiAuto"),QCI.DescManual,IF($B15="Automático",INDEX(ORÇAMENTO!$R$15:$R$89,MATCH($A15,ORÇAMENTO!$E$15:$E$89,0)),""))</f>
        <v>CONSTRUÇÃO DA CHURRASQUEIRA</v>
      </c>
      <c r="H15" s="120" t="s">
        <v>1010</v>
      </c>
      <c r="I15" s="496">
        <v>1</v>
      </c>
      <c r="J15" s="292" t="str">
        <f ca="1">IF(AND(ISBLANK(E15),ISBLANK(F15)),"",VLOOKUP($F15,OFFSET(DADOS!$A$2,1,MATCH(QCI!$E15,DADOS!$2:$2,0)-1,100,50),2,FALSE))</f>
        <v>un</v>
      </c>
      <c r="K15" s="495" t="str">
        <f ca="1">IF(OR($B15="Manual",$B15="SemiAuto"),QCI.LoteManual,IF($B15="Automático",IF(TIPOORCAMENTO="Licitado",Import.CTEF,"LOTE 1"),""))</f>
        <v>LOTE 1</v>
      </c>
      <c r="L15" s="293">
        <f t="shared" ca="1" si="3"/>
        <v>0</v>
      </c>
      <c r="M15" s="294">
        <f t="shared" ca="1" si="4"/>
        <v>0</v>
      </c>
      <c r="N15" s="295">
        <f t="shared" ca="1" si="5"/>
        <v>0</v>
      </c>
      <c r="O15" s="296">
        <f ca="1">IF($B15="Branco",0,IF(OR($B15="Manual",$B15="SemiAuto"),QCI.InvManual,INDEX(ORÇAMENTO!X$15:X$89,MATCH($A15,ORÇAMENTO!$E$15:$E$89,0))))</f>
        <v>0</v>
      </c>
      <c r="P15" s="636" t="str">
        <f t="shared" ca="1" si="6"/>
        <v/>
      </c>
      <c r="R15" s="497"/>
      <c r="S15" s="637" t="str">
        <f t="shared" si="7"/>
        <v/>
      </c>
      <c r="T15" s="498"/>
      <c r="U15" s="638"/>
      <c r="V15" s="499" t="s">
        <v>311</v>
      </c>
      <c r="W15" s="639"/>
      <c r="X15" s="640"/>
      <c r="Z15">
        <f t="shared" ca="1" si="8"/>
        <v>0</v>
      </c>
      <c r="AA15">
        <f ca="1">IF($B15="Branco",0,IF($B15="Manual",QCI.CPManual,IF($B15="SemiAuto",ROUND(QCI!$AA$3*QCI.InvManual,2),INDEX(ORÇAMENTO!$AA$15:$AA$89,MATCH($A15,ORÇAMENTO!$E$15:$E$89,0)))))</f>
        <v>0</v>
      </c>
      <c r="AB15">
        <f ca="1">IF($B15="Branco",0,IF($B15="Manual",QCI.OutrosManual,IF($B15="SemiAuto",0,INDEX(ORÇAMENTO!$AB$15:$AB$89,MATCH($A15,ORÇAMENTO!$E$15:$E$89,0)))))</f>
        <v>0</v>
      </c>
      <c r="AD15" s="299" t="b">
        <f ca="1">AND($AA$3&gt;0,$AA$3&lt;1,$O15&gt;0,OR($B15="Automático",$B15="SemiAuto"),OR(QCI!$Z$3=QCI!$Z$7,QCI!$Z$3=QCI!$AA$7,QCI!$Z$3=QCI!$AB$7))</f>
        <v>0</v>
      </c>
      <c r="AE15" s="299">
        <f ca="1">IF(AND($AD15,$O15&gt;0,COUNTIF(OFFSET($AD15,1,0):$AD$24,TRUE)=0),CHOOSE(1+LOG(1+2*(QCI!$Z$3=QCI!$Z$7)+4*(QCI!$Z$3=QCI!$AA$7)+8*(QCI!$Z$3=QCI!$AB$7),2),0,$AA$24-ROUND(Import.CPMinPerc*$O$24,2),$AA$24-Import.CPMinAbsoluta,Import.Repasse-$Z$24),0)</f>
        <v>0</v>
      </c>
    </row>
    <row r="16" spans="1:31" ht="25.5" x14ac:dyDescent="0.2">
      <c r="A16">
        <f t="shared" ca="1" si="0"/>
        <v>3</v>
      </c>
      <c r="B16" t="str">
        <f ca="1">IF(NOT(ISBLANK(QCI.DescManual)),IF(QCI.Divisao="Calculado","Manual","SemiAuto"),IF(ISERROR(MATCH($A16,ORÇAMENTO!$E$15:$E$89,0)),"Branco","Automático"))</f>
        <v>Branco</v>
      </c>
      <c r="C16" t="str">
        <f t="shared" ca="1" si="1"/>
        <v/>
      </c>
      <c r="D16" s="291">
        <f t="shared" si="2"/>
        <v>3</v>
      </c>
      <c r="E16" s="120" t="s">
        <v>20</v>
      </c>
      <c r="F16" s="120" t="s">
        <v>20</v>
      </c>
      <c r="G16" s="170" t="str">
        <f ca="1">IF(OR($B16="Manual",$B16="SemiAuto"),QCI.DescManual,IF($B16="Automático",INDEX(ORÇAMENTO!$R$15:$R$89,MATCH($A16,ORÇAMENTO!$E$15:$E$89,0)),""))</f>
        <v/>
      </c>
      <c r="H16" s="120" t="s">
        <v>1009</v>
      </c>
      <c r="I16" s="496">
        <v>1</v>
      </c>
      <c r="J16" s="292" t="str">
        <f ca="1">IF(AND(ISBLANK(E16),ISBLANK(F16)),"",VLOOKUP($F16,OFFSET(DADOS!$A$2,1,MATCH(QCI!$E16,DADOS!$2:$2,0)-1,100,50),2,FALSE))</f>
        <v>un</v>
      </c>
      <c r="K16" s="495" t="str">
        <f ca="1">IF(OR($B16="Manual",$B16="SemiAuto"),QCI.LoteManual,IF($B16="Automático",IF(TIPOORCAMENTO="Licitado",Import.CTEF,"LOTE 1"),""))</f>
        <v/>
      </c>
      <c r="L16" s="293">
        <f t="shared" ca="1" si="3"/>
        <v>0</v>
      </c>
      <c r="M16" s="294">
        <f t="shared" ca="1" si="4"/>
        <v>0</v>
      </c>
      <c r="N16" s="295">
        <f t="shared" ca="1" si="5"/>
        <v>0</v>
      </c>
      <c r="O16" s="296">
        <f ca="1">IF($B16="Branco",0,IF(OR($B16="Manual",$B16="SemiAuto"),QCI.InvManual,INDEX(ORÇAMENTO!X$15:X$89,MATCH($A16,ORÇAMENTO!$E$15:$E$89,0))))</f>
        <v>0</v>
      </c>
      <c r="P16" s="636" t="str">
        <f t="shared" ca="1" si="6"/>
        <v/>
      </c>
      <c r="R16" s="497"/>
      <c r="S16" s="637" t="str">
        <f t="shared" si="7"/>
        <v/>
      </c>
      <c r="T16" s="498"/>
      <c r="U16" s="638"/>
      <c r="V16" s="499" t="s">
        <v>311</v>
      </c>
      <c r="W16" s="639"/>
      <c r="X16" s="640"/>
      <c r="Z16">
        <f t="shared" ca="1" si="8"/>
        <v>0</v>
      </c>
      <c r="AA16">
        <f ca="1">IF($B16="Branco",0,IF($B16="Manual",QCI.CPManual,IF($B16="SemiAuto",ROUND(QCI!$AA$3*QCI.InvManual,2),INDEX(ORÇAMENTO!$AA$15:$AA$89,MATCH($A16,ORÇAMENTO!$E$15:$E$89,0)))))</f>
        <v>0</v>
      </c>
      <c r="AB16">
        <f ca="1">IF($B16="Branco",0,IF($B16="Manual",QCI.OutrosManual,IF($B16="SemiAuto",0,INDEX(ORÇAMENTO!$AB$15:$AB$89,MATCH($A16,ORÇAMENTO!$E$15:$E$89,0)))))</f>
        <v>0</v>
      </c>
      <c r="AD16" s="299" t="b">
        <f ca="1">AND($AA$3&gt;0,$AA$3&lt;1,$O16&gt;0,OR($B16="Automático",$B16="SemiAuto"),OR(QCI!$Z$3=QCI!$Z$7,QCI!$Z$3=QCI!$AA$7,QCI!$Z$3=QCI!$AB$7))</f>
        <v>0</v>
      </c>
      <c r="AE16" s="299">
        <f ca="1">IF(AND($AD16,$O16&gt;0,COUNTIF(OFFSET($AD16,1,0):$AD$24,TRUE)=0),CHOOSE(1+LOG(1+2*(QCI!$Z$3=QCI!$Z$7)+4*(QCI!$Z$3=QCI!$AA$7)+8*(QCI!$Z$3=QCI!$AB$7),2),0,$AA$24-ROUND(Import.CPMinPerc*$O$24,2),$AA$24-Import.CPMinAbsoluta,Import.Repasse-$Z$24),0)</f>
        <v>0</v>
      </c>
    </row>
    <row r="17" spans="1:31" ht="25.5" x14ac:dyDescent="0.2">
      <c r="A17">
        <f t="shared" ca="1" si="0"/>
        <v>4</v>
      </c>
      <c r="B17" t="str">
        <f ca="1">IF(NOT(ISBLANK(QCI.DescManual)),IF(QCI.Divisao="Calculado","Manual","SemiAuto"),IF(ISERROR(MATCH($A17,ORÇAMENTO!$E$15:$E$89,0)),"Branco","Automático"))</f>
        <v>Branco</v>
      </c>
      <c r="C17" t="str">
        <f t="shared" ca="1" si="1"/>
        <v/>
      </c>
      <c r="D17" s="291">
        <f t="shared" si="2"/>
        <v>4</v>
      </c>
      <c r="E17" s="120" t="s">
        <v>20</v>
      </c>
      <c r="F17" s="120" t="s">
        <v>20</v>
      </c>
      <c r="G17" s="170" t="str">
        <f ca="1">IF(OR($B17="Manual",$B17="SemiAuto"),QCI.DescManual,IF($B17="Automático",INDEX(ORÇAMENTO!$R$15:$R$89,MATCH($A17,ORÇAMENTO!$E$15:$E$89,0)),""))</f>
        <v/>
      </c>
      <c r="H17" s="120" t="s">
        <v>1009</v>
      </c>
      <c r="I17" s="496">
        <v>1</v>
      </c>
      <c r="J17" s="292" t="str">
        <f ca="1">IF(AND(ISBLANK(E17),ISBLANK(F17)),"",VLOOKUP($F17,OFFSET(DADOS!$A$2,1,MATCH(QCI!$E17,DADOS!$2:$2,0)-1,100,50),2,FALSE))</f>
        <v>un</v>
      </c>
      <c r="K17" s="495" t="str">
        <f ca="1">IF(OR($B17="Manual",$B17="SemiAuto"),QCI.LoteManual,IF($B17="Automático",IF(TIPOORCAMENTO="Licitado",Import.CTEF,"LOTE 1"),""))</f>
        <v/>
      </c>
      <c r="L17" s="293">
        <f t="shared" ca="1" si="3"/>
        <v>0</v>
      </c>
      <c r="M17" s="294">
        <f t="shared" ca="1" si="4"/>
        <v>0</v>
      </c>
      <c r="N17" s="295">
        <f t="shared" ca="1" si="5"/>
        <v>0</v>
      </c>
      <c r="O17" s="296">
        <f ca="1">IF($B17="Branco",0,IF(OR($B17="Manual",$B17="SemiAuto"),QCI.InvManual,INDEX(ORÇAMENTO!X$15:X$89,MATCH($A17,ORÇAMENTO!$E$15:$E$89,0))))</f>
        <v>0</v>
      </c>
      <c r="P17" s="636" t="str">
        <f t="shared" ca="1" si="6"/>
        <v/>
      </c>
      <c r="R17" s="497"/>
      <c r="S17" s="637" t="str">
        <f t="shared" si="7"/>
        <v/>
      </c>
      <c r="T17" s="498"/>
      <c r="U17" s="638"/>
      <c r="V17" s="499" t="s">
        <v>311</v>
      </c>
      <c r="W17" s="639"/>
      <c r="X17" s="640"/>
      <c r="Z17">
        <f t="shared" ca="1" si="8"/>
        <v>0</v>
      </c>
      <c r="AA17">
        <f ca="1">IF($B17="Branco",0,IF($B17="Manual",QCI.CPManual,IF($B17="SemiAuto",ROUND(QCI!$AA$3*QCI.InvManual,2),INDEX(ORÇAMENTO!$AA$15:$AA$89,MATCH($A17,ORÇAMENTO!$E$15:$E$89,0)))))</f>
        <v>0</v>
      </c>
      <c r="AB17">
        <f ca="1">IF($B17="Branco",0,IF($B17="Manual",QCI.OutrosManual,IF($B17="SemiAuto",0,INDEX(ORÇAMENTO!$AB$15:$AB$89,MATCH($A17,ORÇAMENTO!$E$15:$E$89,0)))))</f>
        <v>0</v>
      </c>
      <c r="AD17" s="299" t="b">
        <f ca="1">AND($AA$3&gt;0,$AA$3&lt;1,$O17&gt;0,OR($B17="Automático",$B17="SemiAuto"),OR(QCI!$Z$3=QCI!$Z$7,QCI!$Z$3=QCI!$AA$7,QCI!$Z$3=QCI!$AB$7))</f>
        <v>0</v>
      </c>
      <c r="AE17" s="299">
        <f ca="1">IF(AND($AD17,$O17&gt;0,COUNTIF(OFFSET($AD17,1,0):$AD$24,TRUE)=0),CHOOSE(1+LOG(1+2*(QCI!$Z$3=QCI!$Z$7)+4*(QCI!$Z$3=QCI!$AA$7)+8*(QCI!$Z$3=QCI!$AB$7),2),0,$AA$24-ROUND(Import.CPMinPerc*$O$24,2),$AA$24-Import.CPMinAbsoluta,Import.Repasse-$Z$24),0)</f>
        <v>0</v>
      </c>
    </row>
    <row r="18" spans="1:31" ht="25.5" x14ac:dyDescent="0.2">
      <c r="A18">
        <f t="shared" ca="1" si="0"/>
        <v>5</v>
      </c>
      <c r="B18" t="str">
        <f ca="1">IF(NOT(ISBLANK(QCI.DescManual)),IF(QCI.Divisao="Calculado","Manual","SemiAuto"),IF(ISERROR(MATCH($A18,ORÇAMENTO!$E$15:$E$89,0)),"Branco","Automático"))</f>
        <v>Branco</v>
      </c>
      <c r="C18" t="str">
        <f t="shared" ca="1" si="1"/>
        <v/>
      </c>
      <c r="D18" s="291">
        <f t="shared" si="2"/>
        <v>5</v>
      </c>
      <c r="E18" s="120" t="s">
        <v>20</v>
      </c>
      <c r="F18" s="120" t="s">
        <v>20</v>
      </c>
      <c r="G18" s="170" t="str">
        <f ca="1">IF(OR($B18="Manual",$B18="SemiAuto"),QCI.DescManual,IF($B18="Automático",INDEX(ORÇAMENTO!$R$15:$R$89,MATCH($A18,ORÇAMENTO!$E$15:$E$89,0)),""))</f>
        <v/>
      </c>
      <c r="H18" s="120" t="s">
        <v>1009</v>
      </c>
      <c r="I18" s="496">
        <v>1</v>
      </c>
      <c r="J18" s="292" t="str">
        <f ca="1">IF(AND(ISBLANK(E18),ISBLANK(F18)),"",VLOOKUP($F18,OFFSET(DADOS!$A$2,1,MATCH(QCI!$E18,DADOS!$2:$2,0)-1,100,50),2,FALSE))</f>
        <v>un</v>
      </c>
      <c r="K18" s="495" t="str">
        <f ca="1">IF(OR($B18="Manual",$B18="SemiAuto"),QCI.LoteManual,IF($B18="Automático",IF(TIPOORCAMENTO="Licitado",Import.CTEF,"LOTE 1"),""))</f>
        <v/>
      </c>
      <c r="L18" s="293">
        <f t="shared" ca="1" si="3"/>
        <v>0</v>
      </c>
      <c r="M18" s="294">
        <f t="shared" ca="1" si="4"/>
        <v>0</v>
      </c>
      <c r="N18" s="295">
        <f t="shared" ca="1" si="5"/>
        <v>0</v>
      </c>
      <c r="O18" s="296">
        <f ca="1">IF($B18="Branco",0,IF(OR($B18="Manual",$B18="SemiAuto"),QCI.InvManual,INDEX(ORÇAMENTO!X$15:X$89,MATCH($A18,ORÇAMENTO!$E$15:$E$89,0))))</f>
        <v>0</v>
      </c>
      <c r="P18" s="636" t="str">
        <f t="shared" ca="1" si="6"/>
        <v/>
      </c>
      <c r="R18" s="497"/>
      <c r="S18" s="637" t="str">
        <f t="shared" si="7"/>
        <v/>
      </c>
      <c r="T18" s="498"/>
      <c r="U18" s="638"/>
      <c r="V18" s="499" t="s">
        <v>311</v>
      </c>
      <c r="W18" s="639"/>
      <c r="X18" s="640"/>
      <c r="Z18">
        <f t="shared" ca="1" si="8"/>
        <v>0</v>
      </c>
      <c r="AA18">
        <f ca="1">IF($B18="Branco",0,IF($B18="Manual",QCI.CPManual,IF($B18="SemiAuto",ROUND(QCI!$AA$3*QCI.InvManual,2),INDEX(ORÇAMENTO!$AA$15:$AA$89,MATCH($A18,ORÇAMENTO!$E$15:$E$89,0)))))</f>
        <v>0</v>
      </c>
      <c r="AB18">
        <f ca="1">IF($B18="Branco",0,IF($B18="Manual",QCI.OutrosManual,IF($B18="SemiAuto",0,INDEX(ORÇAMENTO!$AB$15:$AB$89,MATCH($A18,ORÇAMENTO!$E$15:$E$89,0)))))</f>
        <v>0</v>
      </c>
      <c r="AD18" s="299" t="b">
        <f ca="1">AND($AA$3&gt;0,$AA$3&lt;1,$O18&gt;0,OR($B18="Automático",$B18="SemiAuto"),OR(QCI!$Z$3=QCI!$Z$7,QCI!$Z$3=QCI!$AA$7,QCI!$Z$3=QCI!$AB$7))</f>
        <v>0</v>
      </c>
      <c r="AE18" s="299">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IF(NOT(ISBLANK(QCI.DescManual)),IF(QCI.Divisao="Calculado","Manual","SemiAuto"),IF(ISERROR(MATCH($A19,ORÇAMENTO!$E$15:$E$89,0)),"Branco","Automático"))</f>
        <v>Branco</v>
      </c>
      <c r="C19" t="str">
        <f t="shared" ca="1" si="1"/>
        <v/>
      </c>
      <c r="D19" s="291">
        <f t="shared" si="2"/>
        <v>6</v>
      </c>
      <c r="E19" s="120"/>
      <c r="F19" s="120"/>
      <c r="G19" s="170" t="str">
        <f ca="1">IF(OR($B19="Manual",$B19="SemiAuto"),QCI.DescManual,IF($B19="Automático",INDEX(ORÇAMENTO!$R$15:$R$89,MATCH($A19,ORÇAMENTO!$E$15:$E$89,0)),""))</f>
        <v/>
      </c>
      <c r="H19" s="120"/>
      <c r="I19" s="496"/>
      <c r="J19" s="292" t="str">
        <f ca="1">IF(AND(ISBLANK(E19),ISBLANK(F19)),"",VLOOKUP($F19,OFFSET(DADOS!$A$2,1,MATCH(QCI!$E19,DADOS!$2:$2,0)-1,100,50),2,FALSE))</f>
        <v/>
      </c>
      <c r="K19" s="495" t="str">
        <f ca="1">IF(OR($B19="Manual",$B19="SemiAuto"),QCI.LoteManual,IF($B19="Automático",IF(TIPOORCAMENTO="Licitado",Import.CTEF,"LOTE 1"),""))</f>
        <v/>
      </c>
      <c r="L19" s="293">
        <f t="shared" ca="1" si="3"/>
        <v>0</v>
      </c>
      <c r="M19" s="294">
        <f t="shared" ca="1" si="4"/>
        <v>0</v>
      </c>
      <c r="N19" s="295">
        <f t="shared" ca="1" si="5"/>
        <v>0</v>
      </c>
      <c r="O19" s="296">
        <f ca="1">IF($B19="Branco",0,IF(OR($B19="Manual",$B19="SemiAuto"),QCI.InvManual,INDEX(ORÇAMENTO!X$15:X$89,MATCH($A19,ORÇAMENTO!$E$15:$E$89,0))))</f>
        <v>0</v>
      </c>
      <c r="P19" s="636" t="str">
        <f t="shared" ca="1" si="6"/>
        <v/>
      </c>
      <c r="R19" s="497"/>
      <c r="S19" s="637" t="str">
        <f t="shared" si="7"/>
        <v/>
      </c>
      <c r="T19" s="498"/>
      <c r="U19" s="638"/>
      <c r="V19" s="499" t="s">
        <v>311</v>
      </c>
      <c r="W19" s="639"/>
      <c r="X19" s="640"/>
      <c r="Z19">
        <f t="shared" ca="1" si="8"/>
        <v>0</v>
      </c>
      <c r="AA19">
        <f ca="1">IF($B19="Branco",0,IF($B19="Manual",QCI.CPManual,IF($B19="SemiAuto",ROUND(QCI!$AA$3*QCI.InvManual,2),INDEX(ORÇAMENTO!$AA$15:$AA$89,MATCH($A19,ORÇAMENTO!$E$15:$E$89,0)))))</f>
        <v>0</v>
      </c>
      <c r="AB19">
        <f ca="1">IF($B19="Branco",0,IF($B19="Manual",QCI.OutrosManual,IF($B19="SemiAuto",0,INDEX(ORÇAMENTO!$AB$15:$AB$89,MATCH($A19,ORÇAMENTO!$E$15:$E$89,0)))))</f>
        <v>0</v>
      </c>
      <c r="AD19" s="299" t="b">
        <f ca="1">AND($AA$3&gt;0,$AA$3&lt;1,$O19&gt;0,OR($B19="Automático",$B19="SemiAuto"),OR(QCI!$Z$3=QCI!$Z$7,QCI!$Z$3=QCI!$AA$7,QCI!$Z$3=QCI!$AB$7))</f>
        <v>0</v>
      </c>
      <c r="AE19" s="299">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IF(NOT(ISBLANK(QCI.DescManual)),IF(QCI.Divisao="Calculado","Manual","SemiAuto"),IF(ISERROR(MATCH($A20,ORÇAMENTO!$E$15:$E$89,0)),"Branco","Automático"))</f>
        <v>Branco</v>
      </c>
      <c r="C20" t="str">
        <f t="shared" ca="1" si="1"/>
        <v/>
      </c>
      <c r="D20" s="291">
        <f t="shared" si="2"/>
        <v>7</v>
      </c>
      <c r="E20" s="120"/>
      <c r="F20" s="120"/>
      <c r="G20" s="170" t="str">
        <f ca="1">IF(OR($B20="Manual",$B20="SemiAuto"),QCI.DescManual,IF($B20="Automático",INDEX(ORÇAMENTO!$R$15:$R$89,MATCH($A20,ORÇAMENTO!$E$15:$E$89,0)),""))</f>
        <v/>
      </c>
      <c r="H20" s="120"/>
      <c r="I20" s="496"/>
      <c r="J20" s="292" t="str">
        <f ca="1">IF(AND(ISBLANK(E20),ISBLANK(F20)),"",VLOOKUP($F20,OFFSET(DADOS!$A$2,1,MATCH(QCI!$E20,DADOS!$2:$2,0)-1,100,50),2,FALSE))</f>
        <v/>
      </c>
      <c r="K20" s="495" t="str">
        <f ca="1">IF(OR($B20="Manual",$B20="SemiAuto"),QCI.LoteManual,IF($B20="Automático",IF(TIPOORCAMENTO="Licitado",Import.CTEF,"LOTE 1"),""))</f>
        <v/>
      </c>
      <c r="L20" s="293">
        <f t="shared" ca="1" si="3"/>
        <v>0</v>
      </c>
      <c r="M20" s="294">
        <f t="shared" ca="1" si="4"/>
        <v>0</v>
      </c>
      <c r="N20" s="295">
        <f t="shared" ca="1" si="5"/>
        <v>0</v>
      </c>
      <c r="O20" s="296">
        <f ca="1">IF($B20="Branco",0,IF(OR($B20="Manual",$B20="SemiAuto"),QCI.InvManual,INDEX(ORÇAMENTO!X$15:X$89,MATCH($A20,ORÇAMENTO!$E$15:$E$89,0))))</f>
        <v>0</v>
      </c>
      <c r="P20" s="636" t="str">
        <f t="shared" ca="1" si="6"/>
        <v/>
      </c>
      <c r="R20" s="497"/>
      <c r="S20" s="637" t="str">
        <f t="shared" si="7"/>
        <v/>
      </c>
      <c r="T20" s="498"/>
      <c r="U20" s="638"/>
      <c r="V20" s="499" t="s">
        <v>311</v>
      </c>
      <c r="W20" s="639"/>
      <c r="X20" s="640"/>
      <c r="Z20">
        <f t="shared" ca="1" si="8"/>
        <v>0</v>
      </c>
      <c r="AA20">
        <f ca="1">IF($B20="Branco",0,IF($B20="Manual",QCI.CPManual,IF($B20="SemiAuto",ROUND(QCI!$AA$3*QCI.InvManual,2),INDEX(ORÇAMENTO!$AA$15:$AA$89,MATCH($A20,ORÇAMENTO!$E$15:$E$89,0)))))</f>
        <v>0</v>
      </c>
      <c r="AB20">
        <f ca="1">IF($B20="Branco",0,IF($B20="Manual",QCI.OutrosManual,IF($B20="SemiAuto",0,INDEX(ORÇAMENTO!$AB$15:$AB$89,MATCH($A20,ORÇAMENTO!$E$15:$E$89,0)))))</f>
        <v>0</v>
      </c>
      <c r="AD20" s="299" t="b">
        <f ca="1">AND($AA$3&gt;0,$AA$3&lt;1,$O20&gt;0,OR($B20="Automático",$B20="SemiAuto"),OR(QCI!$Z$3=QCI!$Z$7,QCI!$Z$3=QCI!$AA$7,QCI!$Z$3=QCI!$AB$7))</f>
        <v>0</v>
      </c>
      <c r="AE20" s="299">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IF(NOT(ISBLANK(QCI.DescManual)),IF(QCI.Divisao="Calculado","Manual","SemiAuto"),IF(ISERROR(MATCH($A21,ORÇAMENTO!$E$15:$E$89,0)),"Branco","Automático"))</f>
        <v>Branco</v>
      </c>
      <c r="C21" t="str">
        <f t="shared" ca="1" si="1"/>
        <v/>
      </c>
      <c r="D21" s="291">
        <f t="shared" si="2"/>
        <v>8</v>
      </c>
      <c r="E21" s="120"/>
      <c r="F21" s="120"/>
      <c r="G21" s="170" t="str">
        <f ca="1">IF(OR($B21="Manual",$B21="SemiAuto"),QCI.DescManual,IF($B21="Automático",INDEX(ORÇAMENTO!$R$15:$R$89,MATCH($A21,ORÇAMENTO!$E$15:$E$89,0)),""))</f>
        <v/>
      </c>
      <c r="H21" s="120"/>
      <c r="I21" s="496"/>
      <c r="J21" s="292" t="str">
        <f ca="1">IF(AND(ISBLANK(E21),ISBLANK(F21)),"",VLOOKUP($F21,OFFSET(DADOS!$A$2,1,MATCH(QCI!$E21,DADOS!$2:$2,0)-1,100,50),2,FALSE))</f>
        <v/>
      </c>
      <c r="K21" s="495" t="str">
        <f ca="1">IF(OR($B21="Manual",$B21="SemiAuto"),QCI.LoteManual,IF($B21="Automático",IF(TIPOORCAMENTO="Licitado",Import.CTEF,"LOTE 1"),""))</f>
        <v/>
      </c>
      <c r="L21" s="293">
        <f t="shared" ca="1" si="3"/>
        <v>0</v>
      </c>
      <c r="M21" s="294">
        <f t="shared" ca="1" si="4"/>
        <v>0</v>
      </c>
      <c r="N21" s="295">
        <f t="shared" ca="1" si="5"/>
        <v>0</v>
      </c>
      <c r="O21" s="296">
        <f ca="1">IF($B21="Branco",0,IF(OR($B21="Manual",$B21="SemiAuto"),QCI.InvManual,INDEX(ORÇAMENTO!X$15:X$89,MATCH($A21,ORÇAMENTO!$E$15:$E$89,0))))</f>
        <v>0</v>
      </c>
      <c r="P21" s="636" t="str">
        <f t="shared" ca="1" si="6"/>
        <v/>
      </c>
      <c r="R21" s="497"/>
      <c r="S21" s="637" t="str">
        <f t="shared" si="7"/>
        <v/>
      </c>
      <c r="T21" s="498"/>
      <c r="U21" s="638"/>
      <c r="V21" s="499" t="s">
        <v>311</v>
      </c>
      <c r="W21" s="639"/>
      <c r="X21" s="640"/>
      <c r="Z21">
        <f t="shared" ca="1" si="8"/>
        <v>0</v>
      </c>
      <c r="AA21">
        <f ca="1">IF($B21="Branco",0,IF($B21="Manual",QCI.CPManual,IF($B21="SemiAuto",ROUND(QCI!$AA$3*QCI.InvManual,2),INDEX(ORÇAMENTO!$AA$15:$AA$89,MATCH($A21,ORÇAMENTO!$E$15:$E$89,0)))))</f>
        <v>0</v>
      </c>
      <c r="AB21">
        <f ca="1">IF($B21="Branco",0,IF($B21="Manual",QCI.OutrosManual,IF($B21="SemiAuto",0,INDEX(ORÇAMENTO!$AB$15:$AB$89,MATCH($A21,ORÇAMENTO!$E$15:$E$89,0)))))</f>
        <v>0</v>
      </c>
      <c r="AD21" s="299" t="b">
        <f ca="1">AND($AA$3&gt;0,$AA$3&lt;1,$O21&gt;0,OR($B21="Automático",$B21="SemiAuto"),OR(QCI!$Z$3=QCI!$Z$7,QCI!$Z$3=QCI!$AA$7,QCI!$Z$3=QCI!$AB$7))</f>
        <v>0</v>
      </c>
      <c r="AE21" s="299">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IF(NOT(ISBLANK(QCI.DescManual)),IF(QCI.Divisao="Calculado","Manual","SemiAuto"),IF(ISERROR(MATCH($A22,ORÇAMENTO!$E$15:$E$89,0)),"Branco","Automático"))</f>
        <v>Branco</v>
      </c>
      <c r="C22" t="str">
        <f t="shared" ca="1" si="1"/>
        <v/>
      </c>
      <c r="D22" s="291">
        <f t="shared" si="2"/>
        <v>9</v>
      </c>
      <c r="E22" s="120"/>
      <c r="F22" s="120"/>
      <c r="G22" s="170" t="str">
        <f ca="1">IF(OR($B22="Manual",$B22="SemiAuto"),QCI.DescManual,IF($B22="Automático",INDEX(ORÇAMENTO!$R$15:$R$89,MATCH($A22,ORÇAMENTO!$E$15:$E$89,0)),""))</f>
        <v/>
      </c>
      <c r="H22" s="120"/>
      <c r="I22" s="496"/>
      <c r="J22" s="292" t="str">
        <f ca="1">IF(AND(ISBLANK(E22),ISBLANK(F22)),"",VLOOKUP($F22,OFFSET(DADOS!$A$2,1,MATCH(QCI!$E22,DADOS!$2:$2,0)-1,100,50),2,FALSE))</f>
        <v/>
      </c>
      <c r="K22" s="495" t="str">
        <f ca="1">IF(OR($B22="Manual",$B22="SemiAuto"),QCI.LoteManual,IF($B22="Automático",IF(TIPOORCAMENTO="Licitado",Import.CTEF,"LOTE 1"),""))</f>
        <v/>
      </c>
      <c r="L22" s="293">
        <f t="shared" ca="1" si="3"/>
        <v>0</v>
      </c>
      <c r="M22" s="294">
        <f t="shared" ca="1" si="4"/>
        <v>0</v>
      </c>
      <c r="N22" s="295">
        <f t="shared" ca="1" si="5"/>
        <v>0</v>
      </c>
      <c r="O22" s="296">
        <f ca="1">IF($B22="Branco",0,IF(OR($B22="Manual",$B22="SemiAuto"),QCI.InvManual,INDEX(ORÇAMENTO!X$15:X$89,MATCH($A22,ORÇAMENTO!$E$15:$E$89,0))))</f>
        <v>0</v>
      </c>
      <c r="P22" s="636" t="str">
        <f t="shared" ca="1" si="6"/>
        <v/>
      </c>
      <c r="R22" s="497"/>
      <c r="S22" s="637" t="str">
        <f t="shared" si="7"/>
        <v/>
      </c>
      <c r="T22" s="498"/>
      <c r="U22" s="638"/>
      <c r="V22" s="499" t="s">
        <v>311</v>
      </c>
      <c r="W22" s="639"/>
      <c r="X22" s="640"/>
      <c r="Z22">
        <f t="shared" ca="1" si="8"/>
        <v>0</v>
      </c>
      <c r="AA22">
        <f ca="1">IF($B22="Branco",0,IF($B22="Manual",QCI.CPManual,IF($B22="SemiAuto",ROUND(QCI!$AA$3*QCI.InvManual,2),INDEX(ORÇAMENTO!$AA$15:$AA$89,MATCH($A22,ORÇAMENTO!$E$15:$E$89,0)))))</f>
        <v>0</v>
      </c>
      <c r="AB22">
        <f ca="1">IF($B22="Branco",0,IF($B22="Manual",QCI.OutrosManual,IF($B22="SemiAuto",0,INDEX(ORÇAMENTO!$AB$15:$AB$89,MATCH($A22,ORÇAMENTO!$E$15:$E$89,0)))))</f>
        <v>0</v>
      </c>
      <c r="AD22" s="299" t="b">
        <f ca="1">AND($AA$3&gt;0,$AA$3&lt;1,$O22&gt;0,OR($B22="Automático",$B22="SemiAuto"),OR(QCI!$Z$3=QCI!$Z$7,QCI!$Z$3=QCI!$AA$7,QCI!$Z$3=QCI!$AB$7))</f>
        <v>0</v>
      </c>
      <c r="AE22" s="299">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IF(NOT(ISBLANK(QCI.DescManual)),IF(QCI.Divisao="Calculado","Manual","SemiAuto"),IF(ISERROR(MATCH($A23,ORÇAMENTO!$E$15:$E$89,0)),"Branco","Automático"))</f>
        <v>Branco</v>
      </c>
      <c r="C23" t="str">
        <f ca="1">IF(O23&gt;0,"F","")</f>
        <v/>
      </c>
      <c r="D23" s="291">
        <f>ROW()-ROW($D$13)</f>
        <v>10</v>
      </c>
      <c r="E23" s="120"/>
      <c r="F23" s="120"/>
      <c r="G23" s="170" t="str">
        <f ca="1">IF(OR($B23="Manual",$B23="SemiAuto"),QCI.DescManual,IF($B23="Automático",INDEX(ORÇAMENTO!$R$15:$R$89,MATCH($A23,ORÇAMENTO!$E$15:$E$89,0)),""))</f>
        <v/>
      </c>
      <c r="H23" s="120"/>
      <c r="I23" s="496"/>
      <c r="J23" s="292" t="str">
        <f ca="1">IF(AND(ISBLANK(E23),ISBLANK(F23)),"",VLOOKUP($F23,OFFSET(DADOS!$A$2,1,MATCH(QCI!$E23,DADOS!$2:$2,0)-1,100,50),2,FALSE))</f>
        <v/>
      </c>
      <c r="K23" s="495" t="str">
        <f ca="1">IF(OR($B23="Manual",$B23="SemiAuto"),QCI.LoteManual,IF($B23="Automático",IF(TIPOORCAMENTO="Licitado",Import.CTEF,"LOTE 1"),""))</f>
        <v/>
      </c>
      <c r="L23" s="293">
        <f ca="1">ROUND($O23,2)-ROUND($M23,2)-ROUND($N23,2)</f>
        <v>0</v>
      </c>
      <c r="M23" s="294">
        <f ca="1">ROUND($AA23,2)-ROUND($AE23,2)</f>
        <v>0</v>
      </c>
      <c r="N23" s="295">
        <f ca="1">ROUND($AB23,2)</f>
        <v>0</v>
      </c>
      <c r="O23" s="296">
        <f ca="1">IF($B23="Branco",0,IF(OR($B23="Manual",$B23="SemiAuto"),QCI.InvManual,INDEX(ORÇAMENTO!X$15:X$89,MATCH($A23,ORÇAMENTO!$E$15:$E$89,0))))</f>
        <v>0</v>
      </c>
      <c r="P23" s="636" t="str">
        <f ca="1">IF(O23=0,"",
  IF(E23="","ITEM",
  IF(F23="","SUBITEM",
  IF(H23="","SITUAÇÃO",
  IF(I23=0,"QUANT.","")))))</f>
        <v/>
      </c>
      <c r="R23" s="497"/>
      <c r="S23" s="637" t="str">
        <f>IF(R23="","",
  IF(T23=0,"► LOTE",
  IF(U23=0,"► INVEST",
  IF(V23=0,"► DIV",
  IF(AND(V23="Calculado",W23=""),"► CP",
  IF(AND(V23="Calculado",X23=""),"► OU",""))))))</f>
        <v/>
      </c>
      <c r="T23" s="498"/>
      <c r="U23" s="638"/>
      <c r="V23" s="499" t="s">
        <v>311</v>
      </c>
      <c r="W23" s="639"/>
      <c r="X23" s="640"/>
      <c r="Z23">
        <f ca="1">$O23-$AA23-$AB23</f>
        <v>0</v>
      </c>
      <c r="AA23">
        <f ca="1">IF($B23="Branco",0,IF($B23="Manual",QCI.CPManual,IF($B23="SemiAuto",ROUND(QCI!$AA$3*QCI.InvManual,2),INDEX(ORÇAMENTO!$AA$15:$AA$89,MATCH($A23,ORÇAMENTO!$E$15:$E$89,0)))))</f>
        <v>0</v>
      </c>
      <c r="AB23">
        <f ca="1">IF($B23="Branco",0,IF($B23="Manual",QCI.OutrosManual,IF($B23="SemiAuto",0,INDEX(ORÇAMENTO!$AB$15:$AB$89,MATCH($A23,ORÇAMENTO!$E$15:$E$89,0)))))</f>
        <v>0</v>
      </c>
      <c r="AD23" s="299" t="b">
        <f ca="1">AND($AA$3&gt;0,$AA$3&lt;1,$O23&gt;0,OR($B23="Automático",$B23="SemiAuto"),OR(QCI!$Z$3=QCI!$Z$7,QCI!$Z$3=QCI!$AA$7,QCI!$Z$3=QCI!$AB$7))</f>
        <v>0</v>
      </c>
      <c r="AE23" s="299">
        <f ca="1">IF(AND($AD23,$O23&gt;0,COUNTIF(OFFSET($AD23,1,0):$AD$24,TRUE)=0),CHOOSE(1+LOG(1+2*(QCI!$Z$3=QCI!$Z$7)+4*(QCI!$Z$3=QCI!$AA$7)+8*(QCI!$Z$3=QCI!$AB$7),2),0,$AA$24-ROUND(Import.CPMinPerc*$O$24,2),$AA$24-Import.CPMinAbsoluta,Import.Repasse-$Z$24),0)</f>
        <v>0</v>
      </c>
    </row>
    <row r="24" spans="1:31" ht="15" x14ac:dyDescent="0.2">
      <c r="B24" t="s">
        <v>321</v>
      </c>
      <c r="C24" t="s">
        <v>244</v>
      </c>
      <c r="D24" s="306"/>
      <c r="E24" s="307"/>
      <c r="F24" s="307"/>
      <c r="G24" s="307"/>
      <c r="H24" s="307"/>
      <c r="I24" s="307"/>
      <c r="J24" s="307"/>
      <c r="K24" s="761" t="s">
        <v>322</v>
      </c>
      <c r="L24" s="308">
        <f ca="1">SUM(L13:OFFSET(L24,-1,0))</f>
        <v>0</v>
      </c>
      <c r="M24" s="309">
        <f ca="1">SUM(M13:OFFSET(M24,-1,0))</f>
        <v>0</v>
      </c>
      <c r="N24" s="310">
        <f ca="1">SUM(N13:OFFSET(N24,-1,0))</f>
        <v>0</v>
      </c>
      <c r="O24" s="311">
        <f ca="1">SUM(O13:OFFSET(O24,-1,0))</f>
        <v>0</v>
      </c>
      <c r="R24" s="312"/>
      <c r="T24" s="313"/>
      <c r="U24" s="314"/>
      <c r="V24" s="315"/>
      <c r="W24" s="316"/>
      <c r="X24" s="317"/>
      <c r="Z24" s="90">
        <f ca="1">SUMPRODUCT(ROUND(Z13:OFFSET(Z24,-1,0),2))</f>
        <v>0</v>
      </c>
      <c r="AA24" s="90">
        <f ca="1">SUMPRODUCT(ROUND(AA13:OFFSET(AA24,-1,0),2))</f>
        <v>0</v>
      </c>
      <c r="AB24" s="90">
        <f ca="1">SUM(AB13:OFFSET(AB24,-1,0))</f>
        <v>0</v>
      </c>
    </row>
    <row r="25" spans="1:31" x14ac:dyDescent="0.2">
      <c r="B25" t="s">
        <v>323</v>
      </c>
      <c r="C25" t="s">
        <v>244</v>
      </c>
      <c r="D25" s="318"/>
      <c r="E25" s="319"/>
      <c r="F25" s="319"/>
      <c r="G25" s="319"/>
      <c r="H25" s="319"/>
      <c r="I25" s="319"/>
      <c r="J25" s="319"/>
      <c r="K25" s="761"/>
      <c r="L25" s="320">
        <f ca="1">IF(ISERROR(L24/$O24),0,ROUND(L24/$O24,4))</f>
        <v>0</v>
      </c>
      <c r="M25" s="321">
        <f ca="1">IF(ISERROR(M24/$O24),0,ROUND(M24/$O24,4))</f>
        <v>0</v>
      </c>
      <c r="N25" s="322">
        <f ca="1">IF(ISERROR(N24/$O24),0,ROUND(N24/$O24,4))</f>
        <v>0</v>
      </c>
      <c r="O25" s="323">
        <f ca="1">IF(ISERROR(O24/$O24),0,ROUND(O24/$O24,4))</f>
        <v>0</v>
      </c>
      <c r="R25" s="324"/>
      <c r="T25" s="325"/>
      <c r="U25" s="326"/>
      <c r="V25" s="327"/>
      <c r="W25" s="328"/>
      <c r="X25" s="329"/>
    </row>
    <row r="27" spans="1:31" ht="14.25" x14ac:dyDescent="0.2">
      <c r="D27" s="141" t="s">
        <v>185</v>
      </c>
    </row>
    <row r="28" spans="1:31" ht="12.75" customHeight="1" x14ac:dyDescent="0.2">
      <c r="D28" s="674"/>
      <c r="E28" s="674"/>
      <c r="F28" s="674"/>
      <c r="G28" s="674"/>
      <c r="H28" s="674"/>
      <c r="I28" s="674"/>
      <c r="J28" s="674"/>
      <c r="K28" s="674"/>
      <c r="L28" s="674"/>
      <c r="M28" s="674"/>
      <c r="N28" s="674"/>
      <c r="O28" s="674"/>
    </row>
    <row r="29" spans="1:31" ht="12.75" customHeight="1" x14ac:dyDescent="0.2">
      <c r="D29" s="674"/>
      <c r="E29" s="674"/>
      <c r="F29" s="674"/>
      <c r="G29" s="674"/>
      <c r="H29" s="674"/>
      <c r="I29" s="674"/>
      <c r="J29" s="674"/>
      <c r="K29" s="674"/>
      <c r="L29" s="674"/>
      <c r="M29" s="674"/>
      <c r="N29" s="674"/>
      <c r="O29" s="674"/>
    </row>
    <row r="30" spans="1:31" ht="12.75" customHeight="1" x14ac:dyDescent="0.2">
      <c r="D30" s="674"/>
      <c r="E30" s="674"/>
      <c r="F30" s="674"/>
      <c r="G30" s="674"/>
      <c r="H30" s="674"/>
      <c r="I30" s="674"/>
      <c r="J30" s="674"/>
      <c r="K30" s="674"/>
      <c r="L30" s="674"/>
      <c r="M30" s="674"/>
      <c r="N30" s="674"/>
      <c r="O30" s="674"/>
    </row>
    <row r="33" spans="4:12" ht="15" x14ac:dyDescent="0.2">
      <c r="D33" s="676" t="str">
        <f>Import.Município</f>
        <v>SARANDI/RS</v>
      </c>
      <c r="E33" s="676"/>
      <c r="F33" s="676"/>
      <c r="I33" s="145"/>
      <c r="J33" s="145"/>
      <c r="K33" s="189"/>
      <c r="L33" s="189"/>
    </row>
    <row r="34" spans="4:12" x14ac:dyDescent="0.2">
      <c r="D34" s="10" t="s">
        <v>186</v>
      </c>
      <c r="I34" s="190" t="s">
        <v>324</v>
      </c>
      <c r="J34" s="190"/>
    </row>
    <row r="35" spans="4:12" x14ac:dyDescent="0.2">
      <c r="I35" s="78" t="str">
        <f>"Nome:" &amp;  " " &amp; DADOS!C28</f>
        <v>Nome: PREFEITO MUNICIPAL</v>
      </c>
    </row>
    <row r="36" spans="4:12" x14ac:dyDescent="0.2">
      <c r="D36" s="671">
        <f>DADOS!$C$25</f>
        <v>46161</v>
      </c>
      <c r="E36" s="671"/>
      <c r="F36" s="671"/>
      <c r="I36" s="78" t="str">
        <f>"Cargo:"  &amp; " " &amp; DADOS!C29</f>
        <v>Cargo: PREFEITO MUNICIPAL</v>
      </c>
    </row>
    <row r="37" spans="4:12" x14ac:dyDescent="0.2">
      <c r="D37" s="146" t="s">
        <v>187</v>
      </c>
      <c r="E37" s="1"/>
      <c r="F37" s="1"/>
      <c r="K37" s="78"/>
      <c r="L37" s="79"/>
    </row>
  </sheetData>
  <sheetProtection algorithmName="SHA-512" hashValue="urRwxYA1n+AeDdZhQ4yVtfEqQxaJlA7kTMQb0K3sJ7i5pRq6I1OeoSeESsIB68LW2hISkBVQjZ7jYQjCJ6o4Vg==" saltValue="t/5WNfEGE68KavZdZsd66A=="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8" priority="610" stopIfTrue="1">
      <formula>OR($B12="Automático",$B12="Branco")</formula>
    </cfRule>
  </conditionalFormatting>
  <conditionalFormatting sqref="L12">
    <cfRule type="expression" dxfId="137" priority="611"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612" stopIfTrue="1">
      <formula>OR($B12="Automático",$B12="Branco",$V12&lt;&gt;"Calculado")</formula>
    </cfRule>
  </conditionalFormatting>
  <conditionalFormatting sqref="M25">
    <cfRule type="expression" dxfId="135" priority="614" stopIfTrue="1">
      <formula>AND($G$9&lt;&gt;"",OR($M$25&lt;Import.CPMinPerc,$M$25&gt;Import.CPMaxPerc))</formula>
    </cfRule>
  </conditionalFormatting>
  <conditionalFormatting sqref="M24">
    <cfRule type="expression" dxfId="134" priority="615" stopIfTrue="1">
      <formula>AND($G$9&lt;&gt;"",$M$24&lt;Import.CPMinAbsoluta)</formula>
    </cfRule>
  </conditionalFormatting>
  <conditionalFormatting sqref="L10:M10">
    <cfRule type="cellIs" dxfId="133" priority="616" stopIfTrue="1" operator="lessThan">
      <formula>0</formula>
    </cfRule>
  </conditionalFormatting>
  <conditionalFormatting sqref="G12">
    <cfRule type="cellIs" dxfId="132" priority="617"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&amp;LPMv3.08&amp;R&amp;P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7"/>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A17" sqref="A17"/>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idden="1" x14ac:dyDescent="0.2">
      <c r="A1" s="7" t="e">
        <f ca="1">IF(AUTOEVENTO="Manual",IF(OFFSET(EVENTOS!$F$14,PLE!$B1,0)&gt;0,"F",""),IF(PLE!B1&lt;=MAX(CÁLCULO!$M$15:$M$89),"F",""))</f>
        <v>#REF!</v>
      </c>
      <c r="B1" s="257" t="e">
        <f ca="1">OFFSET(B1,-1,0)+1</f>
        <v>#REF!</v>
      </c>
      <c r="C1" s="768" t="e">
        <f ca="1">IF(AUTOEVENTO="Manual",OFFSET(EVENTOS!$D$15,$B1-$B$15,0),IF(B1&lt;=MAX(CÁLCULO!$M$15:$M$89),VLOOKUP($B1,CÁLCULO!$M$15:$N$89,2,FALSE),0))</f>
        <v>#REF!</v>
      </c>
      <c r="D1" s="768"/>
      <c r="F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row>
    <row r="2" spans="1:33" hidden="1" x14ac:dyDescent="0.2">
      <c r="A2" s="7"/>
      <c r="B2" s="7"/>
      <c r="C2" s="13"/>
      <c r="D2" s="13"/>
      <c r="F2" s="470"/>
    </row>
    <row r="3" spans="1:33" ht="15.75" x14ac:dyDescent="0.25">
      <c r="H3" s="216" t="s">
        <v>287</v>
      </c>
      <c r="AD3" s="706" t="s">
        <v>139</v>
      </c>
      <c r="AE3" s="706"/>
      <c r="AF3" s="706"/>
    </row>
    <row r="4" spans="1:33" ht="15.75" x14ac:dyDescent="0.2">
      <c r="B4" s="83"/>
      <c r="C4" s="83"/>
      <c r="H4" s="84" t="str">
        <f>import.recurso</f>
        <v>OGU</v>
      </c>
      <c r="AD4" s="707" t="s">
        <v>142</v>
      </c>
      <c r="AE4" s="707"/>
      <c r="AF4" s="707"/>
    </row>
    <row r="6" spans="1:33" x14ac:dyDescent="0.2">
      <c r="B6" s="218" t="s">
        <v>145</v>
      </c>
      <c r="C6" s="273"/>
      <c r="D6" s="220" t="s">
        <v>422</v>
      </c>
      <c r="E6" s="4"/>
      <c r="H6" s="221" t="s">
        <v>268</v>
      </c>
      <c r="I6" s="196"/>
      <c r="J6" s="196"/>
      <c r="K6" s="196"/>
      <c r="L6" s="195"/>
      <c r="M6" s="195"/>
      <c r="N6" s="274"/>
      <c r="O6" s="218" t="s">
        <v>269</v>
      </c>
      <c r="P6" s="222"/>
      <c r="R6" s="196"/>
      <c r="S6" s="196"/>
      <c r="T6" s="196"/>
      <c r="U6" s="219"/>
      <c r="V6" s="218" t="str">
        <f>IF(TIPOORCAMENTO="Licitado","NOME DA EMPRESA","DESCRIÇÃO DO LOTE")</f>
        <v>DESCRIÇÃO DO LOTE</v>
      </c>
      <c r="W6" s="196"/>
      <c r="X6" s="196"/>
      <c r="Y6" s="196"/>
      <c r="AD6" s="4"/>
      <c r="AE6" s="781" t="str">
        <f>IF(TIPOORCAMENTO="Licitado","Nº CTEF","")</f>
        <v/>
      </c>
      <c r="AF6" s="781"/>
    </row>
    <row r="7" spans="1:33" x14ac:dyDescent="0.2">
      <c r="B7" s="748" t="str">
        <f>Import.CR</f>
        <v>000000-00</v>
      </c>
      <c r="C7" s="748"/>
      <c r="D7" s="224" t="str">
        <f>Import.TransfereGOV</f>
        <v>000000</v>
      </c>
      <c r="E7" s="43"/>
      <c r="H7" s="747" t="str">
        <f>Import.Proponente</f>
        <v>PREFEITURA MUNICIPAL DE SARANDI/RS</v>
      </c>
      <c r="I7" s="747"/>
      <c r="J7" s="747"/>
      <c r="K7" s="747"/>
      <c r="L7" s="747"/>
      <c r="M7" s="747"/>
      <c r="N7" s="747"/>
      <c r="O7" s="748" t="str">
        <f>Import.Apelido</f>
        <v>PAVILHÃO COMUNITÁRIO COMUNIDADE ÁREA 10</v>
      </c>
      <c r="P7" s="748"/>
      <c r="Q7" s="748"/>
      <c r="R7" s="748"/>
      <c r="S7" s="748"/>
      <c r="T7" s="748"/>
      <c r="U7" s="748"/>
      <c r="V7" s="748" t="str">
        <f>IF(TIPOORCAMENTO="Licitado",Import.empresa,Import.DescLote)</f>
        <v>PAVILHÃO COMUNITÁRIO COMUNIDADE ÁREA 10</v>
      </c>
      <c r="W7" s="748"/>
      <c r="X7" s="748"/>
      <c r="Y7" s="748"/>
      <c r="Z7" s="748"/>
      <c r="AA7" s="748"/>
      <c r="AB7" s="748"/>
      <c r="AC7" s="748"/>
      <c r="AD7" s="748"/>
      <c r="AE7" s="782" t="str">
        <f>IF(TIPOORCAMENTO="Licitado",Import.CTEF,"")</f>
        <v/>
      </c>
      <c r="AF7" s="782"/>
      <c r="AG7" s="275"/>
    </row>
    <row r="9" spans="1:33" ht="15.75" x14ac:dyDescent="0.25">
      <c r="A9" s="419">
        <v>0</v>
      </c>
      <c r="B9" s="276"/>
      <c r="C9" s="276"/>
      <c r="I9" s="277" t="s">
        <v>288</v>
      </c>
      <c r="J9" s="784">
        <v>1</v>
      </c>
      <c r="K9" s="784"/>
      <c r="M9" s="277" t="s">
        <v>279</v>
      </c>
      <c r="N9" s="785" t="str">
        <f ca="1">TEXT(IF(PLE.Medicao=1,Import.DataInicioObra,OFFSET($H$73,0,1+(PLE.Medicao-$I$74)*2-2)+1),"dd/mm/aaaa")&amp;" a "&amp;TEXT(OFFSET($H$73,0,1+(PLE.Medicao-$I$74)*2),"dd/mm/aaaa")</f>
        <v>00/01/1900 a 00/01/1900</v>
      </c>
      <c r="O9" s="785"/>
      <c r="P9" s="785"/>
      <c r="Q9" s="785"/>
      <c r="R9" s="785"/>
      <c r="S9" s="785"/>
      <c r="T9" s="785"/>
      <c r="U9" s="278"/>
      <c r="X9" s="277" t="s">
        <v>289</v>
      </c>
      <c r="Y9" s="783" t="e">
        <f ca="1">OFFSET($I$74,1+8*(ROUNDUP(($J$9-0)/((COLUMN($AG$14)-COLUMN($G$14)-1)/25*12),0)-1),ROUNDDOWN((($J$9-0)-OFFSET($I$74,8*(ROUNDUP(($J$9-0)/((COLUMN($AG$14)-COLUMN($G$14)-1)/25*12),0)-1),0))*(2+1/12),0))</f>
        <v>#DIV/0!</v>
      </c>
      <c r="Z9" s="783"/>
      <c r="AD9" s="277" t="s">
        <v>290</v>
      </c>
      <c r="AE9" s="783" t="e">
        <f ca="1">OFFSET($I$74,3+8*(ROUNDUP(($J$9-0)/((COLUMN($AG$14)-COLUMN($G$14)-1)/25*12),0)-1),ROUNDDOWN((($J$9-0)-OFFSET($I$74,8*(ROUNDUP(($J$9-0)/((COLUMN($AG$14)-COLUMN($G$14)-1)/25*12),0)-1),0))*(2+1/12),0))</f>
        <v>#DIV/0!</v>
      </c>
      <c r="AF9" s="783"/>
    </row>
    <row r="11" spans="1:33" ht="65.25" customHeight="1" x14ac:dyDescent="0.2">
      <c r="A11" s="260" t="s">
        <v>285</v>
      </c>
      <c r="C11" s="780" t="str">
        <f>IF(TIPOORCAMENTO="proposto","ALTERE O TIPO DE ORÇAMENTO NA ABA 'MENU' PARA LICITADO.",
 IF(ACOMPANHAMENTO="BM","FOI SELECIONADO NA ABA 'MENU' O ACOMPANHAMENTO POR BM.",
 IF(AND(PLE.Medicao=1,DADOS!$C$47=0),"PREENCHER A DATA DE INÍCIO DA OBRA, NA ABA DADOS",
 IF($Y$9=0,"PREENCHER A MEDIÇÃO "&amp;PLE.Medicao,
 IF($H$73&lt;&gt;"",UPPER($H$73),
 IF($S$82&lt;&gt;"",UPPER($S$82),""))))))</f>
        <v>ALTERE O TIPO DE ORÇAMENTO NA ABA 'MENU' PARA LICITADO.</v>
      </c>
      <c r="D11" s="780"/>
      <c r="F11" s="262" t="str">
        <f ca="1">IF(F$12&gt;CÁLCULO.NúmeroDeFrentes,"",OFFSET(CÁLCULO!$P$12,0,F$12))</f>
        <v>GNIÁSIO 10</v>
      </c>
      <c r="H11" s="262" t="str">
        <f ca="1">IF(H$12&gt;CÁLCULO.NúmeroDeFrentes,"",OFFSET(CÁLCULO!$P$12,0,H$12))</f>
        <v>GNIÁSIO 10</v>
      </c>
      <c r="I11" s="262">
        <f ca="1">IF(I$12&gt;CÁLCULO.NúmeroDeFrentes,"",OFFSET(CÁLCULO!$P$12,0,I$12))</f>
        <v>0</v>
      </c>
      <c r="J11" s="262">
        <f ca="1">IF(J$12&gt;CÁLCULO.NúmeroDeFrentes,"",OFFSET(CÁLCULO!$P$12,0,J$12))</f>
        <v>0</v>
      </c>
      <c r="K11" s="262">
        <f ca="1">IF(K$12&gt;CÁLCULO.NúmeroDeFrentes,"",OFFSET(CÁLCULO!$P$12,0,K$12))</f>
        <v>0</v>
      </c>
      <c r="L11" s="262">
        <f ca="1">IF(L$12&gt;CÁLCULO.NúmeroDeFrentes,"",OFFSET(CÁLCULO!$P$12,0,L$12))</f>
        <v>0</v>
      </c>
      <c r="M11" s="262">
        <f ca="1">IF(M$12&gt;CÁLCULO.NúmeroDeFrentes,"",OFFSET(CÁLCULO!$P$12,0,M$12))</f>
        <v>0</v>
      </c>
      <c r="N11" s="262">
        <f ca="1">IF(N$12&gt;CÁLCULO.NúmeroDeFrentes,"",OFFSET(CÁLCULO!$P$12,0,N$12))</f>
        <v>0</v>
      </c>
      <c r="O11" s="262">
        <f ca="1">IF(O$12&gt;CÁLCULO.NúmeroDeFrentes,"",OFFSET(CÁLCULO!$P$12,0,O$12))</f>
        <v>0</v>
      </c>
      <c r="P11" s="262">
        <f ca="1">IF(P$12&gt;CÁLCULO.NúmeroDeFrentes,"",OFFSET(CÁLCULO!$P$12,0,P$12))</f>
        <v>0</v>
      </c>
      <c r="Q11" s="262">
        <f ca="1">IF(Q$12&gt;CÁLCULO.NúmeroDeFrentes,"",OFFSET(CÁLCULO!$P$12,0,Q$12))</f>
        <v>0</v>
      </c>
      <c r="R11" s="262" t="str">
        <f ca="1">IF(R$12&gt;CÁLCULO.NúmeroDeFrentes,"",OFFSET(CÁLCULO!$P$12,0,R$12))</f>
        <v/>
      </c>
      <c r="S11" s="262" t="str">
        <f ca="1">IF(S$12&gt;CÁLCULO.NúmeroDeFrentes,"",OFFSET(CÁLCULO!$P$12,0,S$12))</f>
        <v/>
      </c>
      <c r="T11" s="262" t="str">
        <f ca="1">IF(T$12&gt;CÁLCULO.NúmeroDeFrentes,"",OFFSET(CÁLCULO!$P$12,0,T$12))</f>
        <v/>
      </c>
      <c r="U11" s="262" t="str">
        <f ca="1">IF(U$12&gt;CÁLCULO.NúmeroDeFrentes,"",OFFSET(CÁLCULO!$P$12,0,U$12))</f>
        <v/>
      </c>
      <c r="V11" s="262" t="str">
        <f ca="1">IF(V$12&gt;CÁLCULO.NúmeroDeFrentes,"",OFFSET(CÁLCULO!$P$12,0,V$12))</f>
        <v/>
      </c>
      <c r="W11" s="262" t="str">
        <f ca="1">IF(W$12&gt;CÁLCULO.NúmeroDeFrentes,"",OFFSET(CÁLCULO!$P$12,0,W$12))</f>
        <v/>
      </c>
      <c r="X11" s="262" t="str">
        <f ca="1">IF(X$12&gt;CÁLCULO.NúmeroDeFrentes,"",OFFSET(CÁLCULO!$P$12,0,X$12))</f>
        <v/>
      </c>
      <c r="Y11" s="262" t="str">
        <f ca="1">IF(Y$12&gt;CÁLCULO.NúmeroDeFrentes,"",OFFSET(CÁLCULO!$P$12,0,Y$12))</f>
        <v/>
      </c>
      <c r="Z11" s="262" t="str">
        <f ca="1">IF(Z$12&gt;CÁLCULO.NúmeroDeFrentes,"",OFFSET(CÁLCULO!$P$12,0,Z$12))</f>
        <v/>
      </c>
      <c r="AA11" s="262" t="str">
        <f ca="1">IF(AA$12&gt;CÁLCULO.NúmeroDeFrentes,"",OFFSET(CÁLCULO!$P$12,0,AA$12))</f>
        <v/>
      </c>
      <c r="AB11" s="262" t="str">
        <f ca="1">IF(AB$12&gt;CÁLCULO.NúmeroDeFrentes,"",OFFSET(CÁLCULO!$P$12,0,AB$12))</f>
        <v/>
      </c>
      <c r="AC11" s="262" t="str">
        <f ca="1">IF(AC$12&gt;CÁLCULO.NúmeroDeFrentes,"",OFFSET(CÁLCULO!$P$12,0,AC$12))</f>
        <v/>
      </c>
      <c r="AD11" s="262" t="str">
        <f ca="1">IF(AD$12&gt;CÁLCULO.NúmeroDeFrentes,"",OFFSET(CÁLCULO!$P$12,0,AD$12))</f>
        <v/>
      </c>
      <c r="AE11" s="262" t="str">
        <f ca="1">IF(AE$12&gt;CÁLCULO.NúmeroDeFrentes,"",OFFSET(CÁLCULO!$P$12,0,AE$12))</f>
        <v/>
      </c>
      <c r="AF11" s="262" t="str">
        <f ca="1">IF(AF$12&gt;CÁLCULO.NúmeroDeFrentes,"",OFFSET(CÁLCULO!$P$12,0,AF$12))</f>
        <v/>
      </c>
    </row>
    <row r="12" spans="1:33" ht="12.75" customHeight="1" x14ac:dyDescent="0.2">
      <c r="A12" s="108" t="s">
        <v>215</v>
      </c>
      <c r="B12" s="741" t="s">
        <v>263</v>
      </c>
      <c r="C12" s="741" t="s">
        <v>286</v>
      </c>
      <c r="D12" s="741"/>
      <c r="F12" s="263">
        <f ca="1">OFFSET(F12,0,-1)+1</f>
        <v>1</v>
      </c>
      <c r="H12" s="263">
        <f ca="1">OFFSET(H12,0,-1)+1</f>
        <v>1</v>
      </c>
      <c r="I12" s="263">
        <f ca="1">OFFSET(I12,0,-1)+1</f>
        <v>2</v>
      </c>
      <c r="J12" s="263">
        <f t="shared" ref="J12:AF12" ca="1" si="0">OFFSET(J12,0,-1)+1</f>
        <v>3</v>
      </c>
      <c r="K12" s="263">
        <f t="shared" ca="1" si="0"/>
        <v>4</v>
      </c>
      <c r="L12" s="263">
        <f t="shared" ca="1" si="0"/>
        <v>5</v>
      </c>
      <c r="M12" s="263">
        <f t="shared" ca="1" si="0"/>
        <v>6</v>
      </c>
      <c r="N12" s="263">
        <f t="shared" ca="1" si="0"/>
        <v>7</v>
      </c>
      <c r="O12" s="263">
        <f t="shared" ca="1" si="0"/>
        <v>8</v>
      </c>
      <c r="P12" s="263">
        <f t="shared" ca="1" si="0"/>
        <v>9</v>
      </c>
      <c r="Q12" s="263">
        <f t="shared" ca="1" si="0"/>
        <v>10</v>
      </c>
      <c r="R12" s="263">
        <f t="shared" ca="1" si="0"/>
        <v>11</v>
      </c>
      <c r="S12" s="263">
        <f t="shared" ca="1" si="0"/>
        <v>12</v>
      </c>
      <c r="T12" s="263">
        <f t="shared" ca="1" si="0"/>
        <v>13</v>
      </c>
      <c r="U12" s="263">
        <f t="shared" ca="1" si="0"/>
        <v>14</v>
      </c>
      <c r="V12" s="263">
        <f t="shared" ca="1" si="0"/>
        <v>15</v>
      </c>
      <c r="W12" s="263">
        <f t="shared" ca="1" si="0"/>
        <v>16</v>
      </c>
      <c r="X12" s="263">
        <f t="shared" ca="1" si="0"/>
        <v>17</v>
      </c>
      <c r="Y12" s="263">
        <f t="shared" ca="1" si="0"/>
        <v>18</v>
      </c>
      <c r="Z12" s="263">
        <f t="shared" ca="1" si="0"/>
        <v>19</v>
      </c>
      <c r="AA12" s="263">
        <f t="shared" ca="1" si="0"/>
        <v>20</v>
      </c>
      <c r="AB12" s="263">
        <f t="shared" ca="1" si="0"/>
        <v>21</v>
      </c>
      <c r="AC12" s="263">
        <f t="shared" ca="1" si="0"/>
        <v>22</v>
      </c>
      <c r="AD12" s="263">
        <f t="shared" ca="1" si="0"/>
        <v>23</v>
      </c>
      <c r="AE12" s="263">
        <f t="shared" ca="1" si="0"/>
        <v>24</v>
      </c>
      <c r="AF12" s="263">
        <f t="shared" ca="1" si="0"/>
        <v>25</v>
      </c>
    </row>
    <row r="13" spans="1:33" x14ac:dyDescent="0.2">
      <c r="B13" s="741"/>
      <c r="C13" s="741"/>
      <c r="D13" s="741"/>
      <c r="F13" s="265"/>
      <c r="H13" s="265"/>
      <c r="I13" s="264"/>
      <c r="J13" s="264"/>
      <c r="K13" s="264"/>
      <c r="L13" s="264"/>
      <c r="M13" s="264"/>
      <c r="N13" s="264" t="s">
        <v>291</v>
      </c>
      <c r="O13" s="264"/>
      <c r="P13" s="264"/>
      <c r="Q13" s="264"/>
      <c r="R13" s="264"/>
      <c r="S13" s="264"/>
      <c r="T13" s="264"/>
      <c r="U13" s="264"/>
      <c r="V13" s="264"/>
      <c r="W13" s="264"/>
      <c r="X13" s="264"/>
      <c r="Y13" s="264"/>
      <c r="Z13" s="264"/>
      <c r="AA13" s="264"/>
      <c r="AB13" s="264"/>
      <c r="AC13" s="264"/>
      <c r="AD13" s="264"/>
      <c r="AE13" s="264"/>
      <c r="AF13" s="266"/>
    </row>
    <row r="14" spans="1:33" ht="3.95" customHeight="1" x14ac:dyDescent="0.2">
      <c r="A14" s="7" t="s">
        <v>244</v>
      </c>
    </row>
    <row r="15" spans="1:33" x14ac:dyDescent="0.2">
      <c r="A15" s="7" t="str">
        <f ca="1">IF(AND(AUTOEVENTO="Manual",OFFSET(EVENTOS!$F$1,1,0)&gt;0),"F","")</f>
        <v/>
      </c>
      <c r="B15" s="267">
        <f ca="1">EVENTOS!$C$15</f>
        <v>0</v>
      </c>
      <c r="C15" s="786" t="str">
        <f ca="1">EVENTOS!$D$15</f>
        <v/>
      </c>
      <c r="D15" s="786"/>
      <c r="F15" s="270"/>
      <c r="H15" s="27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9"/>
      <c r="J15" s="269"/>
      <c r="K15" s="269"/>
      <c r="L15" s="269"/>
      <c r="M15" s="269"/>
      <c r="N15" s="269"/>
      <c r="O15" s="269"/>
      <c r="P15" s="269"/>
      <c r="Q15" s="269"/>
      <c r="R15" s="269"/>
      <c r="S15" s="269"/>
      <c r="T15" s="269"/>
      <c r="U15" s="269"/>
      <c r="V15" s="269"/>
      <c r="W15" s="269"/>
      <c r="X15" s="269"/>
      <c r="Y15" s="269"/>
      <c r="Z15" s="269"/>
      <c r="AA15" s="269"/>
      <c r="AB15" s="269"/>
      <c r="AC15" s="269"/>
      <c r="AD15" s="269"/>
      <c r="AE15" s="269"/>
      <c r="AF15" s="271"/>
    </row>
    <row r="16" spans="1:33" x14ac:dyDescent="0.2">
      <c r="A16" s="7" t="str">
        <f ca="1">IF(AUTOEVENTO="Manual",IF(OFFSET(EVENTOS!$F$14,PLE!$B16,0)&gt;0,"F",""),IF(PLE!B16&lt;=MAX(CÁLCULO!$M$15:$M$89),"F",""))</f>
        <v>F</v>
      </c>
      <c r="B16" s="257">
        <f t="shared" ref="B16:B69" ca="1" si="1">OFFSET(B16,-1,0)+1</f>
        <v>1</v>
      </c>
      <c r="C16" s="768" t="str">
        <f ca="1">IF(AUTOEVENTO="Manual",OFFSET(EVENTOS!$D$15,$B16-$B$15,0),IF(B16&lt;=MAX(CÁLCULO!$M$15:$M$89),VLOOKUP($B16,CÁLCULO!$M$15:$N$89,2,FALSE),0))</f>
        <v xml:space="preserve">SERVIÇOS PRELIMINARES </v>
      </c>
      <c r="D16" s="768"/>
      <c r="F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row>
    <row r="17" spans="1:32" x14ac:dyDescent="0.2">
      <c r="A17" s="7" t="str">
        <f ca="1">IF(AUTOEVENTO="Manual",IF(OFFSET(EVENTOS!$F$14,PLE!$B17,0)&gt;0,"F",""),IF(PLE!B17&lt;=MAX(CÁLCULO!$M$15:$M$89),"F",""))</f>
        <v>F</v>
      </c>
      <c r="B17" s="257">
        <f t="shared" ca="1" si="1"/>
        <v>2</v>
      </c>
      <c r="C17" s="768" t="str">
        <f ca="1">IF(AUTOEVENTO="Manual",OFFSET(EVENTOS!$D$15,$B17-$B$15,0),IF(B17&lt;=MAX(CÁLCULO!$M$15:$M$89),VLOOKUP($B17,CÁLCULO!$M$15:$N$89,2,FALSE),0))</f>
        <v>ESTRUTURA METÁLICA - PILARES</v>
      </c>
      <c r="D17" s="768"/>
      <c r="F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row>
    <row r="18" spans="1:32" x14ac:dyDescent="0.2">
      <c r="A18" s="7" t="str">
        <f ca="1">IF(AUTOEVENTO="Manual",IF(OFFSET(EVENTOS!$F$14,PLE!$B18,0)&gt;0,"F",""),IF(PLE!B18&lt;=MAX(CÁLCULO!$M$15:$M$89),"F",""))</f>
        <v>F</v>
      </c>
      <c r="B18" s="257">
        <f t="shared" ca="1" si="1"/>
        <v>3</v>
      </c>
      <c r="C18" s="768" t="str">
        <f ca="1">IF(AUTOEVENTO="Manual",OFFSET(EVENTOS!$D$15,$B18-$B$15,0),IF(B18&lt;=MAX(CÁLCULO!$M$15:$M$89),VLOOKUP($B18,CÁLCULO!$M$15:$N$89,2,FALSE),0))</f>
        <v>FUNDAÇÕES</v>
      </c>
      <c r="D18" s="768"/>
      <c r="F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row>
    <row r="19" spans="1:32" x14ac:dyDescent="0.2">
      <c r="A19" s="7" t="str">
        <f ca="1">IF(AUTOEVENTO="Manual",IF(OFFSET(EVENTOS!$F$14,PLE!$B19,0)&gt;0,"F",""),IF(PLE!B19&lt;=MAX(CÁLCULO!$M$15:$M$89),"F",""))</f>
        <v>F</v>
      </c>
      <c r="B19" s="257">
        <f t="shared" ca="1" si="1"/>
        <v>4</v>
      </c>
      <c r="C19" s="768" t="str">
        <f ca="1">IF(AUTOEVENTO="Manual",OFFSET(EVENTOS!$D$15,$B19-$B$15,0),IF(B19&lt;=MAX(CÁLCULO!$M$15:$M$89),VLOOKUP($B19,CÁLCULO!$M$15:$N$89,2,FALSE),0))</f>
        <v>CONCRETO ARMADO - PILARES</v>
      </c>
      <c r="D19" s="768"/>
      <c r="F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row>
    <row r="20" spans="1:32" x14ac:dyDescent="0.2">
      <c r="A20" s="7" t="str">
        <f ca="1">IF(AUTOEVENTO="Manual",IF(OFFSET(EVENTOS!$F$14,PLE!$B20,0)&gt;0,"F",""),IF(PLE!B20&lt;=MAX(CÁLCULO!$M$15:$M$89),"F",""))</f>
        <v>F</v>
      </c>
      <c r="B20" s="257">
        <f t="shared" ca="1" si="1"/>
        <v>5</v>
      </c>
      <c r="C20" s="768" t="str">
        <f ca="1">IF(AUTOEVENTO="Manual",OFFSET(EVENTOS!$D$15,$B20-$B$15,0),IF(B20&lt;=MAX(CÁLCULO!$M$15:$M$89),VLOOKUP($B20,CÁLCULO!$M$15:$N$89,2,FALSE),0))</f>
        <v>CONCRETO ARMADO - VIGAS SUPERIORES</v>
      </c>
      <c r="D20" s="768"/>
      <c r="F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row>
    <row r="21" spans="1:32" x14ac:dyDescent="0.2">
      <c r="A21" s="7" t="str">
        <f ca="1">IF(AUTOEVENTO="Manual",IF(OFFSET(EVENTOS!$F$14,PLE!$B21,0)&gt;0,"F",""),IF(PLE!B21&lt;=MAX(CÁLCULO!$M$15:$M$89),"F",""))</f>
        <v>F</v>
      </c>
      <c r="B21" s="257">
        <f t="shared" ca="1" si="1"/>
        <v>6</v>
      </c>
      <c r="C21" s="768" t="str">
        <f ca="1">IF(AUTOEVENTO="Manual",OFFSET(EVENTOS!$D$15,$B21-$B$15,0),IF(B21&lt;=MAX(CÁLCULO!$M$15:$M$89),VLOOKUP($B21,CÁLCULO!$M$15:$N$89,2,FALSE),0))</f>
        <v xml:space="preserve">PAREDES </v>
      </c>
      <c r="D21" s="768"/>
      <c r="F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row>
    <row r="22" spans="1:32" x14ac:dyDescent="0.2">
      <c r="A22" s="7" t="str">
        <f ca="1">IF(AUTOEVENTO="Manual",IF(OFFSET(EVENTOS!$F$14,PLE!$B22,0)&gt;0,"F",""),IF(PLE!B22&lt;=MAX(CÁLCULO!$M$15:$M$89),"F",""))</f>
        <v>F</v>
      </c>
      <c r="B22" s="257">
        <f t="shared" ca="1" si="1"/>
        <v>7</v>
      </c>
      <c r="C22" s="768" t="str">
        <f ca="1">IF(AUTOEVENTO="Manual",OFFSET(EVENTOS!$D$15,$B22-$B$15,0),IF(B22&lt;=MAX(CÁLCULO!$M$15:$M$89),VLOOKUP($B22,CÁLCULO!$M$15:$N$89,2,FALSE),0))</f>
        <v>PISO DE CONCRETO CHURRASQUEIRA</v>
      </c>
      <c r="D22" s="768"/>
      <c r="F22" s="258"/>
      <c r="H22" s="258"/>
      <c r="I22" s="258"/>
      <c r="J22" s="258"/>
      <c r="K22" s="258"/>
      <c r="L22" s="258"/>
      <c r="M22" s="258"/>
      <c r="N22" s="258"/>
      <c r="O22" s="258"/>
      <c r="P22" s="258"/>
      <c r="Q22" s="258"/>
      <c r="R22" s="258"/>
      <c r="S22" s="258"/>
      <c r="T22" s="258"/>
      <c r="U22" s="258"/>
      <c r="V22" s="258"/>
      <c r="W22" s="258"/>
      <c r="X22" s="258"/>
      <c r="Y22" s="258"/>
      <c r="Z22" s="258"/>
      <c r="AA22" s="258"/>
      <c r="AB22" s="258"/>
      <c r="AC22" s="258"/>
      <c r="AD22" s="258"/>
      <c r="AE22" s="258"/>
      <c r="AF22" s="258"/>
    </row>
    <row r="23" spans="1:32" x14ac:dyDescent="0.2">
      <c r="A23" s="7" t="str">
        <f ca="1">IF(AUTOEVENTO="Manual",IF(OFFSET(EVENTOS!$F$14,PLE!$B23,0)&gt;0,"F",""),IF(PLE!B23&lt;=MAX(CÁLCULO!$M$15:$M$89),"F",""))</f>
        <v>F</v>
      </c>
      <c r="B23" s="257">
        <f t="shared" ca="1" si="1"/>
        <v>8</v>
      </c>
      <c r="C23" s="768" t="str">
        <f ca="1">IF(AUTOEVENTO="Manual",OFFSET(EVENTOS!$D$15,$B23-$B$15,0),IF(B23&lt;=MAX(CÁLCULO!$M$15:$M$89),VLOOKUP($B23,CÁLCULO!$M$15:$N$89,2,FALSE),0))</f>
        <v>INSTALAÇÃO DO TELHADO</v>
      </c>
      <c r="D23" s="768"/>
      <c r="F23" s="258"/>
      <c r="H23" s="258"/>
      <c r="I23" s="258"/>
      <c r="J23" s="258"/>
      <c r="K23" s="258"/>
      <c r="L23" s="258"/>
      <c r="M23" s="258"/>
      <c r="N23" s="258"/>
      <c r="O23" s="258"/>
      <c r="P23" s="258"/>
      <c r="Q23" s="258"/>
      <c r="R23" s="258"/>
      <c r="S23" s="258"/>
      <c r="T23" s="258"/>
      <c r="U23" s="258"/>
      <c r="V23" s="258"/>
      <c r="W23" s="258"/>
      <c r="X23" s="258"/>
      <c r="Y23" s="258"/>
      <c r="Z23" s="258"/>
      <c r="AA23" s="258"/>
      <c r="AB23" s="258"/>
      <c r="AC23" s="258"/>
      <c r="AD23" s="258"/>
      <c r="AE23" s="258"/>
      <c r="AF23" s="258"/>
    </row>
    <row r="24" spans="1:32" x14ac:dyDescent="0.2">
      <c r="A24" s="7" t="str">
        <f ca="1">IF(AUTOEVENTO="Manual",IF(OFFSET(EVENTOS!$F$14,PLE!$B24,0)&gt;0,"F",""),IF(PLE!B24&lt;=MAX(CÁLCULO!$M$15:$M$89),"F",""))</f>
        <v>F</v>
      </c>
      <c r="B24" s="257">
        <f t="shared" ca="1" si="1"/>
        <v>9</v>
      </c>
      <c r="C24" s="768" t="str">
        <f ca="1">IF(AUTOEVENTO="Manual",OFFSET(EVENTOS!$D$15,$B24-$B$15,0),IF(B24&lt;=MAX(CÁLCULO!$M$15:$M$89),VLOOKUP($B24,CÁLCULO!$M$15:$N$89,2,FALSE),0))</f>
        <v>ESQUADRIAS</v>
      </c>
      <c r="D24" s="768"/>
      <c r="F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row>
    <row r="25" spans="1:32" x14ac:dyDescent="0.2">
      <c r="A25" s="7" t="str">
        <f ca="1">IF(AUTOEVENTO="Manual",IF(OFFSET(EVENTOS!$F$14,PLE!$B25,0)&gt;0,"F",""),IF(PLE!B25&lt;=MAX(CÁLCULO!$M$15:$M$89),"F",""))</f>
        <v>F</v>
      </c>
      <c r="B25" s="257">
        <f t="shared" ca="1" si="1"/>
        <v>10</v>
      </c>
      <c r="C25" s="768" t="str">
        <f ca="1">IF(AUTOEVENTO="Manual",OFFSET(EVENTOS!$D$15,$B25-$B$15,0),IF(B25&lt;=MAX(CÁLCULO!$M$15:$M$89),VLOOKUP($B25,CÁLCULO!$M$15:$N$89,2,FALSE),0))</f>
        <v>INSTALAÇÕES ELÉTRICAS</v>
      </c>
      <c r="D25" s="768"/>
      <c r="F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c r="AF25" s="258"/>
    </row>
    <row r="26" spans="1:32" x14ac:dyDescent="0.2">
      <c r="A26" s="7" t="str">
        <f ca="1">IF(AUTOEVENTO="Manual",IF(OFFSET(EVENTOS!$F$14,PLE!$B26,0)&gt;0,"F",""),IF(PLE!B26&lt;=MAX(CÁLCULO!$M$15:$M$89),"F",""))</f>
        <v/>
      </c>
      <c r="B26" s="257">
        <f t="shared" ca="1" si="1"/>
        <v>11</v>
      </c>
      <c r="C26" s="768">
        <f ca="1">IF(AUTOEVENTO="Manual",OFFSET(EVENTOS!$D$15,$B26-$B$15,0),IF(B26&lt;=MAX(CÁLCULO!$M$15:$M$89),VLOOKUP($B26,CÁLCULO!$M$15:$N$89,2,FALSE),0))</f>
        <v>0</v>
      </c>
      <c r="D26" s="768"/>
      <c r="F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row>
    <row r="27" spans="1:32" x14ac:dyDescent="0.2">
      <c r="A27" s="7" t="str">
        <f ca="1">IF(AUTOEVENTO="Manual",IF(OFFSET(EVENTOS!$F$14,PLE!$B27,0)&gt;0,"F",""),IF(PLE!B27&lt;=MAX(CÁLCULO!$M$15:$M$89),"F",""))</f>
        <v/>
      </c>
      <c r="B27" s="257">
        <f t="shared" ca="1" si="1"/>
        <v>12</v>
      </c>
      <c r="C27" s="768">
        <f ca="1">IF(AUTOEVENTO="Manual",OFFSET(EVENTOS!$D$15,$B27-$B$15,0),IF(B27&lt;=MAX(CÁLCULO!$M$15:$M$89),VLOOKUP($B27,CÁLCULO!$M$15:$N$89,2,FALSE),0))</f>
        <v>0</v>
      </c>
      <c r="D27" s="768"/>
      <c r="F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row>
    <row r="28" spans="1:32" x14ac:dyDescent="0.2">
      <c r="A28" s="7" t="str">
        <f ca="1">IF(AUTOEVENTO="Manual",IF(OFFSET(EVENTOS!$F$14,PLE!$B28,0)&gt;0,"F",""),IF(PLE!B28&lt;=MAX(CÁLCULO!$M$15:$M$89),"F",""))</f>
        <v/>
      </c>
      <c r="B28" s="257">
        <f t="shared" ca="1" si="1"/>
        <v>13</v>
      </c>
      <c r="C28" s="768">
        <f ca="1">IF(AUTOEVENTO="Manual",OFFSET(EVENTOS!$D$15,$B28-$B$15,0),IF(B28&lt;=MAX(CÁLCULO!$M$15:$M$89),VLOOKUP($B28,CÁLCULO!$M$15:$N$89,2,FALSE),0))</f>
        <v>0</v>
      </c>
      <c r="D28" s="768"/>
      <c r="F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row>
    <row r="29" spans="1:32" x14ac:dyDescent="0.2">
      <c r="A29" s="7" t="str">
        <f ca="1">IF(AUTOEVENTO="Manual",IF(OFFSET(EVENTOS!$F$14,PLE!$B29,0)&gt;0,"F",""),IF(PLE!B29&lt;=MAX(CÁLCULO!$M$15:$M$89),"F",""))</f>
        <v/>
      </c>
      <c r="B29" s="257">
        <f t="shared" ca="1" si="1"/>
        <v>14</v>
      </c>
      <c r="C29" s="768">
        <f ca="1">IF(AUTOEVENTO="Manual",OFFSET(EVENTOS!$D$15,$B29-$B$15,0),IF(B29&lt;=MAX(CÁLCULO!$M$15:$M$89),VLOOKUP($B29,CÁLCULO!$M$15:$N$89,2,FALSE),0))</f>
        <v>0</v>
      </c>
      <c r="D29" s="768"/>
      <c r="F29" s="258"/>
      <c r="H29" s="258"/>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row>
    <row r="30" spans="1:32" x14ac:dyDescent="0.2">
      <c r="A30" s="7" t="str">
        <f ca="1">IF(AUTOEVENTO="Manual",IF(OFFSET(EVENTOS!$F$14,PLE!$B30,0)&gt;0,"F",""),IF(PLE!B30&lt;=MAX(CÁLCULO!$M$15:$M$89),"F",""))</f>
        <v/>
      </c>
      <c r="B30" s="257">
        <f t="shared" ca="1" si="1"/>
        <v>15</v>
      </c>
      <c r="C30" s="768">
        <f ca="1">IF(AUTOEVENTO="Manual",OFFSET(EVENTOS!$D$15,$B30-$B$15,0),IF(B30&lt;=MAX(CÁLCULO!$M$15:$M$89),VLOOKUP($B30,CÁLCULO!$M$15:$N$89,2,FALSE),0))</f>
        <v>0</v>
      </c>
      <c r="D30" s="768"/>
      <c r="F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row>
    <row r="31" spans="1:32" x14ac:dyDescent="0.2">
      <c r="A31" s="7" t="str">
        <f ca="1">IF(AUTOEVENTO="Manual",IF(OFFSET(EVENTOS!$F$14,PLE!$B31,0)&gt;0,"F",""),IF(PLE!B31&lt;=MAX(CÁLCULO!$M$15:$M$89),"F",""))</f>
        <v/>
      </c>
      <c r="B31" s="257">
        <f t="shared" ca="1" si="1"/>
        <v>16</v>
      </c>
      <c r="C31" s="768">
        <f ca="1">IF(AUTOEVENTO="Manual",OFFSET(EVENTOS!$D$15,$B31-$B$15,0),IF(B31&lt;=MAX(CÁLCULO!$M$15:$M$89),VLOOKUP($B31,CÁLCULO!$M$15:$N$89,2,FALSE),0))</f>
        <v>0</v>
      </c>
      <c r="D31" s="768"/>
      <c r="F31" s="258"/>
      <c r="H31" s="258"/>
      <c r="I31" s="258"/>
      <c r="J31" s="258"/>
      <c r="K31" s="258"/>
      <c r="L31" s="258"/>
      <c r="M31" s="258"/>
      <c r="N31" s="258"/>
      <c r="O31" s="258"/>
      <c r="P31" s="258"/>
      <c r="Q31" s="258"/>
      <c r="R31" s="258"/>
      <c r="S31" s="258"/>
      <c r="T31" s="258"/>
      <c r="U31" s="258"/>
      <c r="V31" s="258"/>
      <c r="W31" s="258"/>
      <c r="X31" s="258"/>
      <c r="Y31" s="258"/>
      <c r="Z31" s="258"/>
      <c r="AA31" s="258"/>
      <c r="AB31" s="258"/>
      <c r="AC31" s="258"/>
      <c r="AD31" s="258"/>
      <c r="AE31" s="258"/>
      <c r="AF31" s="258"/>
    </row>
    <row r="32" spans="1:32" x14ac:dyDescent="0.2">
      <c r="A32" s="7" t="str">
        <f ca="1">IF(AUTOEVENTO="Manual",IF(OFFSET(EVENTOS!$F$14,PLE!$B32,0)&gt;0,"F",""),IF(PLE!B32&lt;=MAX(CÁLCULO!$M$15:$M$89),"F",""))</f>
        <v/>
      </c>
      <c r="B32" s="257">
        <f t="shared" ca="1" si="1"/>
        <v>17</v>
      </c>
      <c r="C32" s="768">
        <f ca="1">IF(AUTOEVENTO="Manual",OFFSET(EVENTOS!$D$15,$B32-$B$15,0),IF(B32&lt;=MAX(CÁLCULO!$M$15:$M$89),VLOOKUP($B32,CÁLCULO!$M$15:$N$89,2,FALSE),0))</f>
        <v>0</v>
      </c>
      <c r="D32" s="768"/>
      <c r="F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row>
    <row r="33" spans="1:32" x14ac:dyDescent="0.2">
      <c r="A33" s="7" t="str">
        <f ca="1">IF(AUTOEVENTO="Manual",IF(OFFSET(EVENTOS!$F$14,PLE!$B33,0)&gt;0,"F",""),IF(PLE!B33&lt;=MAX(CÁLCULO!$M$15:$M$89),"F",""))</f>
        <v/>
      </c>
      <c r="B33" s="257">
        <f t="shared" ca="1" si="1"/>
        <v>18</v>
      </c>
      <c r="C33" s="768">
        <f ca="1">IF(AUTOEVENTO="Manual",OFFSET(EVENTOS!$D$15,$B33-$B$15,0),IF(B33&lt;=MAX(CÁLCULO!$M$15:$M$89),VLOOKUP($B33,CÁLCULO!$M$15:$N$89,2,FALSE),0))</f>
        <v>0</v>
      </c>
      <c r="D33" s="768"/>
      <c r="F33" s="258"/>
      <c r="H33" s="258"/>
      <c r="I33" s="258"/>
      <c r="J33" s="258"/>
      <c r="K33" s="258"/>
      <c r="L33" s="258"/>
      <c r="M33" s="258"/>
      <c r="N33" s="258"/>
      <c r="O33" s="258"/>
      <c r="P33" s="258"/>
      <c r="Q33" s="258"/>
      <c r="R33" s="258"/>
      <c r="S33" s="258"/>
      <c r="T33" s="258"/>
      <c r="U33" s="258"/>
      <c r="V33" s="258"/>
      <c r="W33" s="258"/>
      <c r="X33" s="258"/>
      <c r="Y33" s="258"/>
      <c r="Z33" s="258"/>
      <c r="AA33" s="258"/>
      <c r="AB33" s="258"/>
      <c r="AC33" s="258"/>
      <c r="AD33" s="258"/>
      <c r="AE33" s="258"/>
      <c r="AF33" s="258"/>
    </row>
    <row r="34" spans="1:32" x14ac:dyDescent="0.2">
      <c r="A34" s="7" t="str">
        <f ca="1">IF(AUTOEVENTO="Manual",IF(OFFSET(EVENTOS!$F$14,PLE!$B34,0)&gt;0,"F",""),IF(PLE!B34&lt;=MAX(CÁLCULO!$M$15:$M$89),"F",""))</f>
        <v/>
      </c>
      <c r="B34" s="257">
        <f t="shared" ca="1" si="1"/>
        <v>19</v>
      </c>
      <c r="C34" s="768">
        <f ca="1">IF(AUTOEVENTO="Manual",OFFSET(EVENTOS!$D$15,$B34-$B$15,0),IF(B34&lt;=MAX(CÁLCULO!$M$15:$M$89),VLOOKUP($B34,CÁLCULO!$M$15:$N$89,2,FALSE),0))</f>
        <v>0</v>
      </c>
      <c r="D34" s="768"/>
      <c r="F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row>
    <row r="35" spans="1:32" x14ac:dyDescent="0.2">
      <c r="A35" s="7" t="str">
        <f ca="1">IF(AUTOEVENTO="Manual",IF(OFFSET(EVENTOS!$F$14,PLE!$B35,0)&gt;0,"F",""),IF(PLE!B35&lt;=MAX(CÁLCULO!$M$15:$M$89),"F",""))</f>
        <v/>
      </c>
      <c r="B35" s="257">
        <f t="shared" ca="1" si="1"/>
        <v>20</v>
      </c>
      <c r="C35" s="768">
        <f ca="1">IF(AUTOEVENTO="Manual",OFFSET(EVENTOS!$D$15,$B35-$B$15,0),IF(B35&lt;=MAX(CÁLCULO!$M$15:$M$89),VLOOKUP($B35,CÁLCULO!$M$15:$N$89,2,FALSE),0))</f>
        <v>0</v>
      </c>
      <c r="D35" s="768"/>
      <c r="F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8"/>
    </row>
    <row r="36" spans="1:32" x14ac:dyDescent="0.2">
      <c r="A36" s="7" t="str">
        <f ca="1">IF(AUTOEVENTO="Manual",IF(OFFSET(EVENTOS!$F$14,PLE!$B36,0)&gt;0,"F",""),IF(PLE!B36&lt;=MAX(CÁLCULO!$M$15:$M$89),"F",""))</f>
        <v/>
      </c>
      <c r="B36" s="257">
        <f t="shared" ca="1" si="1"/>
        <v>21</v>
      </c>
      <c r="C36" s="768">
        <f ca="1">IF(AUTOEVENTO="Manual",OFFSET(EVENTOS!$D$15,$B36-$B$15,0),IF(B36&lt;=MAX(CÁLCULO!$M$15:$M$89),VLOOKUP($B36,CÁLCULO!$M$15:$N$89,2,FALSE),0))</f>
        <v>0</v>
      </c>
      <c r="D36" s="768"/>
      <c r="F36" s="258"/>
      <c r="H36" s="258"/>
      <c r="I36" s="258"/>
      <c r="J36" s="258"/>
      <c r="K36" s="258"/>
      <c r="L36" s="258"/>
      <c r="M36" s="258"/>
      <c r="N36" s="258"/>
      <c r="O36" s="258"/>
      <c r="P36" s="258"/>
      <c r="Q36" s="258"/>
      <c r="R36" s="258"/>
      <c r="S36" s="258"/>
      <c r="T36" s="258"/>
      <c r="U36" s="258"/>
      <c r="V36" s="258"/>
      <c r="W36" s="258"/>
      <c r="X36" s="258"/>
      <c r="Y36" s="258"/>
      <c r="Z36" s="258"/>
      <c r="AA36" s="258"/>
      <c r="AB36" s="258"/>
      <c r="AC36" s="258"/>
      <c r="AD36" s="258"/>
      <c r="AE36" s="258"/>
      <c r="AF36" s="258"/>
    </row>
    <row r="37" spans="1:32" x14ac:dyDescent="0.2">
      <c r="A37" s="7" t="str">
        <f ca="1">IF(AUTOEVENTO="Manual",IF(OFFSET(EVENTOS!$F$14,PLE!$B37,0)&gt;0,"F",""),IF(PLE!B37&lt;=MAX(CÁLCULO!$M$15:$M$89),"F",""))</f>
        <v/>
      </c>
      <c r="B37" s="257">
        <f t="shared" ca="1" si="1"/>
        <v>22</v>
      </c>
      <c r="C37" s="768">
        <f ca="1">IF(AUTOEVENTO="Manual",OFFSET(EVENTOS!$D$15,$B37-$B$15,0),IF(B37&lt;=MAX(CÁLCULO!$M$15:$M$89),VLOOKUP($B37,CÁLCULO!$M$15:$N$89,2,FALSE),0))</f>
        <v>0</v>
      </c>
      <c r="D37" s="768"/>
      <c r="F37" s="258"/>
      <c r="H37" s="258"/>
      <c r="I37" s="258"/>
      <c r="J37" s="258"/>
      <c r="K37" s="258"/>
      <c r="L37" s="258"/>
      <c r="M37" s="258"/>
      <c r="N37" s="258"/>
      <c r="O37" s="258"/>
      <c r="P37" s="258"/>
      <c r="Q37" s="258"/>
      <c r="R37" s="258"/>
      <c r="S37" s="258"/>
      <c r="T37" s="258"/>
      <c r="U37" s="258"/>
      <c r="V37" s="258"/>
      <c r="W37" s="258"/>
      <c r="X37" s="258"/>
      <c r="Y37" s="258"/>
      <c r="Z37" s="258"/>
      <c r="AA37" s="258"/>
      <c r="AB37" s="258"/>
      <c r="AC37" s="258"/>
      <c r="AD37" s="258"/>
      <c r="AE37" s="258"/>
      <c r="AF37" s="258"/>
    </row>
    <row r="38" spans="1:32" x14ac:dyDescent="0.2">
      <c r="A38" s="7" t="str">
        <f ca="1">IF(AUTOEVENTO="Manual",IF(OFFSET(EVENTOS!$F$14,PLE!$B38,0)&gt;0,"F",""),IF(PLE!B38&lt;=MAX(CÁLCULO!$M$15:$M$89),"F",""))</f>
        <v/>
      </c>
      <c r="B38" s="257">
        <f t="shared" ca="1" si="1"/>
        <v>23</v>
      </c>
      <c r="C38" s="768">
        <f ca="1">IF(AUTOEVENTO="Manual",OFFSET(EVENTOS!$D$15,$B38-$B$15,0),IF(B38&lt;=MAX(CÁLCULO!$M$15:$M$89),VLOOKUP($B38,CÁLCULO!$M$15:$N$89,2,FALSE),0))</f>
        <v>0</v>
      </c>
      <c r="D38" s="768"/>
      <c r="F38" s="258"/>
      <c r="H38" s="258"/>
      <c r="I38" s="258"/>
      <c r="J38" s="258"/>
      <c r="K38" s="258"/>
      <c r="L38" s="258"/>
      <c r="M38" s="258"/>
      <c r="N38" s="258"/>
      <c r="O38" s="258"/>
      <c r="P38" s="258"/>
      <c r="Q38" s="258"/>
      <c r="R38" s="258"/>
      <c r="S38" s="258"/>
      <c r="T38" s="258"/>
      <c r="U38" s="258"/>
      <c r="V38" s="258"/>
      <c r="W38" s="258"/>
      <c r="X38" s="258"/>
      <c r="Y38" s="258"/>
      <c r="Z38" s="258"/>
      <c r="AA38" s="258"/>
      <c r="AB38" s="258"/>
      <c r="AC38" s="258"/>
      <c r="AD38" s="258"/>
      <c r="AE38" s="258"/>
      <c r="AF38" s="258"/>
    </row>
    <row r="39" spans="1:32" x14ac:dyDescent="0.2">
      <c r="A39" s="7" t="str">
        <f ca="1">IF(AUTOEVENTO="Manual",IF(OFFSET(EVENTOS!$F$14,PLE!$B39,0)&gt;0,"F",""),IF(PLE!B39&lt;=MAX(CÁLCULO!$M$15:$M$89),"F",""))</f>
        <v/>
      </c>
      <c r="B39" s="257">
        <f t="shared" ca="1" si="1"/>
        <v>24</v>
      </c>
      <c r="C39" s="768">
        <f ca="1">IF(AUTOEVENTO="Manual",OFFSET(EVENTOS!$D$15,$B39-$B$15,0),IF(B39&lt;=MAX(CÁLCULO!$M$15:$M$89),VLOOKUP($B39,CÁLCULO!$M$15:$N$89,2,FALSE),0))</f>
        <v>0</v>
      </c>
      <c r="D39" s="768"/>
      <c r="F39" s="258"/>
      <c r="H39" s="258"/>
      <c r="I39" s="258"/>
      <c r="J39" s="258"/>
      <c r="K39" s="258"/>
      <c r="L39" s="258"/>
      <c r="M39" s="258"/>
      <c r="N39" s="258"/>
      <c r="O39" s="258"/>
      <c r="P39" s="258"/>
      <c r="Q39" s="258"/>
      <c r="R39" s="258"/>
      <c r="S39" s="258"/>
      <c r="T39" s="258"/>
      <c r="U39" s="258"/>
      <c r="V39" s="258"/>
      <c r="W39" s="258"/>
      <c r="X39" s="258"/>
      <c r="Y39" s="258"/>
      <c r="Z39" s="258"/>
      <c r="AA39" s="258"/>
      <c r="AB39" s="258"/>
      <c r="AC39" s="258"/>
      <c r="AD39" s="258"/>
      <c r="AE39" s="258"/>
      <c r="AF39" s="258"/>
    </row>
    <row r="40" spans="1:32" x14ac:dyDescent="0.2">
      <c r="A40" s="7" t="str">
        <f ca="1">IF(AUTOEVENTO="Manual",IF(OFFSET(EVENTOS!$F$14,PLE!$B40,0)&gt;0,"F",""),IF(PLE!B40&lt;=MAX(CÁLCULO!$M$15:$M$89),"F",""))</f>
        <v/>
      </c>
      <c r="B40" s="257">
        <f t="shared" ca="1" si="1"/>
        <v>25</v>
      </c>
      <c r="C40" s="768">
        <f ca="1">IF(AUTOEVENTO="Manual",OFFSET(EVENTOS!$D$15,$B40-$B$15,0),IF(B40&lt;=MAX(CÁLCULO!$M$15:$M$89),VLOOKUP($B40,CÁLCULO!$M$15:$N$89,2,FALSE),0))</f>
        <v>0</v>
      </c>
      <c r="D40" s="768"/>
      <c r="F40" s="258"/>
      <c r="H40" s="258"/>
      <c r="I40" s="258"/>
      <c r="J40" s="258"/>
      <c r="K40" s="258"/>
      <c r="L40" s="258"/>
      <c r="M40" s="258"/>
      <c r="N40" s="258"/>
      <c r="O40" s="258"/>
      <c r="P40" s="258"/>
      <c r="Q40" s="258"/>
      <c r="R40" s="258"/>
      <c r="S40" s="258"/>
      <c r="T40" s="258"/>
      <c r="U40" s="258"/>
      <c r="V40" s="258"/>
      <c r="W40" s="258"/>
      <c r="X40" s="258"/>
      <c r="Y40" s="258"/>
      <c r="Z40" s="258"/>
      <c r="AA40" s="258"/>
      <c r="AB40" s="258"/>
      <c r="AC40" s="258"/>
      <c r="AD40" s="258"/>
      <c r="AE40" s="258"/>
      <c r="AF40" s="258"/>
    </row>
    <row r="41" spans="1:32" x14ac:dyDescent="0.2">
      <c r="A41" s="7" t="str">
        <f ca="1">IF(AUTOEVENTO="Manual",IF(OFFSET(EVENTOS!$F$14,PLE!$B41,0)&gt;0,"F",""),IF(PLE!B41&lt;=MAX(CÁLCULO!$M$15:$M$89),"F",""))</f>
        <v/>
      </c>
      <c r="B41" s="257">
        <f t="shared" ca="1" si="1"/>
        <v>26</v>
      </c>
      <c r="C41" s="768">
        <f ca="1">IF(AUTOEVENTO="Manual",OFFSET(EVENTOS!$D$15,$B41-$B$15,0),IF(B41&lt;=MAX(CÁLCULO!$M$15:$M$89),VLOOKUP($B41,CÁLCULO!$M$15:$N$89,2,FALSE),0))</f>
        <v>0</v>
      </c>
      <c r="D41" s="768"/>
      <c r="F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row>
    <row r="42" spans="1:32" x14ac:dyDescent="0.2">
      <c r="A42" s="7" t="str">
        <f ca="1">IF(AUTOEVENTO="Manual",IF(OFFSET(EVENTOS!$F$14,PLE!$B42,0)&gt;0,"F",""),IF(PLE!B42&lt;=MAX(CÁLCULO!$M$15:$M$89),"F",""))</f>
        <v/>
      </c>
      <c r="B42" s="257">
        <f t="shared" ca="1" si="1"/>
        <v>27</v>
      </c>
      <c r="C42" s="768">
        <f ca="1">IF(AUTOEVENTO="Manual",OFFSET(EVENTOS!$D$15,$B42-$B$15,0),IF(B42&lt;=MAX(CÁLCULO!$M$15:$M$89),VLOOKUP($B42,CÁLCULO!$M$15:$N$89,2,FALSE),0))</f>
        <v>0</v>
      </c>
      <c r="D42" s="768"/>
      <c r="F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row>
    <row r="43" spans="1:32" x14ac:dyDescent="0.2">
      <c r="A43" s="7" t="str">
        <f ca="1">IF(AUTOEVENTO="Manual",IF(OFFSET(EVENTOS!$F$14,PLE!$B43,0)&gt;0,"F",""),IF(PLE!B43&lt;=MAX(CÁLCULO!$M$15:$M$89),"F",""))</f>
        <v/>
      </c>
      <c r="B43" s="257">
        <f t="shared" ca="1" si="1"/>
        <v>28</v>
      </c>
      <c r="C43" s="768">
        <f ca="1">IF(AUTOEVENTO="Manual",OFFSET(EVENTOS!$D$15,$B43-$B$15,0),IF(B43&lt;=MAX(CÁLCULO!$M$15:$M$89),VLOOKUP($B43,CÁLCULO!$M$15:$N$89,2,FALSE),0))</f>
        <v>0</v>
      </c>
      <c r="D43" s="768"/>
      <c r="F43" s="258"/>
      <c r="H43" s="258"/>
      <c r="I43" s="258"/>
      <c r="J43" s="258"/>
      <c r="K43" s="258"/>
      <c r="L43" s="258"/>
      <c r="M43" s="258"/>
      <c r="N43" s="258"/>
      <c r="O43" s="258"/>
      <c r="P43" s="258"/>
      <c r="Q43" s="258"/>
      <c r="R43" s="258"/>
      <c r="S43" s="258"/>
      <c r="T43" s="258"/>
      <c r="U43" s="258"/>
      <c r="V43" s="258"/>
      <c r="W43" s="258"/>
      <c r="X43" s="258"/>
      <c r="Y43" s="258"/>
      <c r="Z43" s="258"/>
      <c r="AA43" s="258"/>
      <c r="AB43" s="258"/>
      <c r="AC43" s="258"/>
      <c r="AD43" s="258"/>
      <c r="AE43" s="258"/>
      <c r="AF43" s="258"/>
    </row>
    <row r="44" spans="1:32" x14ac:dyDescent="0.2">
      <c r="A44" s="7" t="str">
        <f ca="1">IF(AUTOEVENTO="Manual",IF(OFFSET(EVENTOS!$F$14,PLE!$B44,0)&gt;0,"F",""),IF(PLE!B44&lt;=MAX(CÁLCULO!$M$15:$M$89),"F",""))</f>
        <v/>
      </c>
      <c r="B44" s="257">
        <f t="shared" ca="1" si="1"/>
        <v>29</v>
      </c>
      <c r="C44" s="768">
        <f ca="1">IF(AUTOEVENTO="Manual",OFFSET(EVENTOS!$D$15,$B44-$B$15,0),IF(B44&lt;=MAX(CÁLCULO!$M$15:$M$89),VLOOKUP($B44,CÁLCULO!$M$15:$N$89,2,FALSE),0))</f>
        <v>0</v>
      </c>
      <c r="D44" s="768"/>
      <c r="F44" s="258"/>
      <c r="H44" s="258"/>
      <c r="I44" s="258"/>
      <c r="J44" s="258"/>
      <c r="K44" s="258"/>
      <c r="L44" s="258"/>
      <c r="M44" s="258"/>
      <c r="N44" s="258"/>
      <c r="O44" s="258"/>
      <c r="P44" s="258"/>
      <c r="Q44" s="258"/>
      <c r="R44" s="258"/>
      <c r="S44" s="258"/>
      <c r="T44" s="258"/>
      <c r="U44" s="258"/>
      <c r="V44" s="258"/>
      <c r="W44" s="258"/>
      <c r="X44" s="258"/>
      <c r="Y44" s="258"/>
      <c r="Z44" s="258"/>
      <c r="AA44" s="258"/>
      <c r="AB44" s="258"/>
      <c r="AC44" s="258"/>
      <c r="AD44" s="258"/>
      <c r="AE44" s="258"/>
      <c r="AF44" s="258"/>
    </row>
    <row r="45" spans="1:32" x14ac:dyDescent="0.2">
      <c r="A45" s="7" t="str">
        <f ca="1">IF(AUTOEVENTO="Manual",IF(OFFSET(EVENTOS!$F$14,PLE!$B45,0)&gt;0,"F",""),IF(PLE!B45&lt;=MAX(CÁLCULO!$M$15:$M$89),"F",""))</f>
        <v/>
      </c>
      <c r="B45" s="257">
        <f t="shared" ca="1" si="1"/>
        <v>30</v>
      </c>
      <c r="C45" s="768">
        <f ca="1">IF(AUTOEVENTO="Manual",OFFSET(EVENTOS!$D$15,$B45-$B$15,0),IF(B45&lt;=MAX(CÁLCULO!$M$15:$M$89),VLOOKUP($B45,CÁLCULO!$M$15:$N$89,2,FALSE),0))</f>
        <v>0</v>
      </c>
      <c r="D45" s="768"/>
      <c r="F45" s="258"/>
      <c r="H45" s="258"/>
      <c r="I45" s="258"/>
      <c r="J45" s="258"/>
      <c r="K45" s="258"/>
      <c r="L45" s="258"/>
      <c r="M45" s="258"/>
      <c r="N45" s="258"/>
      <c r="O45" s="258"/>
      <c r="P45" s="258"/>
      <c r="Q45" s="258"/>
      <c r="R45" s="258"/>
      <c r="S45" s="258"/>
      <c r="T45" s="258"/>
      <c r="U45" s="258"/>
      <c r="V45" s="258"/>
      <c r="W45" s="258"/>
      <c r="X45" s="258"/>
      <c r="Y45" s="258"/>
      <c r="Z45" s="258"/>
      <c r="AA45" s="258"/>
      <c r="AB45" s="258"/>
      <c r="AC45" s="258"/>
      <c r="AD45" s="258"/>
      <c r="AE45" s="258"/>
      <c r="AF45" s="258"/>
    </row>
    <row r="46" spans="1:32" x14ac:dyDescent="0.2">
      <c r="A46" s="7" t="str">
        <f ca="1">IF(AUTOEVENTO="Manual",IF(OFFSET(EVENTOS!$F$14,PLE!$B46,0)&gt;0,"F",""),IF(PLE!B46&lt;=MAX(CÁLCULO!$M$15:$M$89),"F",""))</f>
        <v/>
      </c>
      <c r="B46" s="257">
        <f t="shared" ca="1" si="1"/>
        <v>31</v>
      </c>
      <c r="C46" s="768">
        <f ca="1">IF(AUTOEVENTO="Manual",OFFSET(EVENTOS!$D$15,$B46-$B$15,0),IF(B46&lt;=MAX(CÁLCULO!$M$15:$M$89),VLOOKUP($B46,CÁLCULO!$M$15:$N$89,2,FALSE),0))</f>
        <v>0</v>
      </c>
      <c r="D46" s="768"/>
      <c r="F46" s="258"/>
      <c r="H46" s="258"/>
      <c r="I46" s="258"/>
      <c r="J46" s="258"/>
      <c r="K46" s="258"/>
      <c r="L46" s="258"/>
      <c r="M46" s="258"/>
      <c r="N46" s="258"/>
      <c r="O46" s="258"/>
      <c r="P46" s="258"/>
      <c r="Q46" s="258"/>
      <c r="R46" s="258"/>
      <c r="S46" s="258"/>
      <c r="T46" s="258"/>
      <c r="U46" s="258"/>
      <c r="V46" s="258"/>
      <c r="W46" s="258"/>
      <c r="X46" s="258"/>
      <c r="Y46" s="258"/>
      <c r="Z46" s="258"/>
      <c r="AA46" s="258"/>
      <c r="AB46" s="258"/>
      <c r="AC46" s="258"/>
      <c r="AD46" s="258"/>
      <c r="AE46" s="258"/>
      <c r="AF46" s="258"/>
    </row>
    <row r="47" spans="1:32" x14ac:dyDescent="0.2">
      <c r="A47" s="7" t="str">
        <f ca="1">IF(AUTOEVENTO="Manual",IF(OFFSET(EVENTOS!$F$14,PLE!$B47,0)&gt;0,"F",""),IF(PLE!B47&lt;=MAX(CÁLCULO!$M$15:$M$89),"F",""))</f>
        <v/>
      </c>
      <c r="B47" s="257">
        <f t="shared" ca="1" si="1"/>
        <v>32</v>
      </c>
      <c r="C47" s="768">
        <f ca="1">IF(AUTOEVENTO="Manual",OFFSET(EVENTOS!$D$15,$B47-$B$15,0),IF(B47&lt;=MAX(CÁLCULO!$M$15:$M$89),VLOOKUP($B47,CÁLCULO!$M$15:$N$89,2,FALSE),0))</f>
        <v>0</v>
      </c>
      <c r="D47" s="768"/>
      <c r="F47" s="258"/>
      <c r="H47" s="258"/>
      <c r="I47" s="258"/>
      <c r="J47" s="258"/>
      <c r="K47" s="258"/>
      <c r="L47" s="258"/>
      <c r="M47" s="258"/>
      <c r="N47" s="258"/>
      <c r="O47" s="258"/>
      <c r="P47" s="258"/>
      <c r="Q47" s="258"/>
      <c r="R47" s="258"/>
      <c r="S47" s="258"/>
      <c r="T47" s="258"/>
      <c r="U47" s="258"/>
      <c r="V47" s="258"/>
      <c r="W47" s="258"/>
      <c r="X47" s="258"/>
      <c r="Y47" s="258"/>
      <c r="Z47" s="258"/>
      <c r="AA47" s="258"/>
      <c r="AB47" s="258"/>
      <c r="AC47" s="258"/>
      <c r="AD47" s="258"/>
      <c r="AE47" s="258"/>
      <c r="AF47" s="258"/>
    </row>
    <row r="48" spans="1:32" x14ac:dyDescent="0.2">
      <c r="A48" s="7" t="str">
        <f ca="1">IF(AUTOEVENTO="Manual",IF(OFFSET(EVENTOS!$F$14,PLE!$B48,0)&gt;0,"F",""),IF(PLE!B48&lt;=MAX(CÁLCULO!$M$15:$M$89),"F",""))</f>
        <v/>
      </c>
      <c r="B48" s="257">
        <f t="shared" ca="1" si="1"/>
        <v>33</v>
      </c>
      <c r="C48" s="768">
        <f ca="1">IF(AUTOEVENTO="Manual",OFFSET(EVENTOS!$D$15,$B48-$B$15,0),IF(B48&lt;=MAX(CÁLCULO!$M$15:$M$89),VLOOKUP($B48,CÁLCULO!$M$15:$N$89,2,FALSE),0))</f>
        <v>0</v>
      </c>
      <c r="D48" s="768"/>
      <c r="F48" s="258"/>
      <c r="H48" s="258"/>
      <c r="I48" s="258"/>
      <c r="J48" s="258"/>
      <c r="K48" s="258"/>
      <c r="L48" s="258"/>
      <c r="M48" s="258"/>
      <c r="N48" s="258"/>
      <c r="O48" s="258"/>
      <c r="P48" s="258"/>
      <c r="Q48" s="258"/>
      <c r="R48" s="258"/>
      <c r="S48" s="258"/>
      <c r="T48" s="258"/>
      <c r="U48" s="258"/>
      <c r="V48" s="258"/>
      <c r="W48" s="258"/>
      <c r="X48" s="258"/>
      <c r="Y48" s="258"/>
      <c r="Z48" s="258"/>
      <c r="AA48" s="258"/>
      <c r="AB48" s="258"/>
      <c r="AC48" s="258"/>
      <c r="AD48" s="258"/>
      <c r="AE48" s="258"/>
      <c r="AF48" s="258"/>
    </row>
    <row r="49" spans="1:32" x14ac:dyDescent="0.2">
      <c r="A49" s="7" t="str">
        <f ca="1">IF(AUTOEVENTO="Manual",IF(OFFSET(EVENTOS!$F$14,PLE!$B49,0)&gt;0,"F",""),IF(PLE!B49&lt;=MAX(CÁLCULO!$M$15:$M$89),"F",""))</f>
        <v/>
      </c>
      <c r="B49" s="257">
        <f t="shared" ca="1" si="1"/>
        <v>34</v>
      </c>
      <c r="C49" s="768">
        <f ca="1">IF(AUTOEVENTO="Manual",OFFSET(EVENTOS!$D$15,$B49-$B$15,0),IF(B49&lt;=MAX(CÁLCULO!$M$15:$M$89),VLOOKUP($B49,CÁLCULO!$M$15:$N$89,2,FALSE),0))</f>
        <v>0</v>
      </c>
      <c r="D49" s="768"/>
      <c r="F49" s="258"/>
      <c r="H49" s="258"/>
      <c r="I49" s="258"/>
      <c r="J49" s="258"/>
      <c r="K49" s="258"/>
      <c r="L49" s="258"/>
      <c r="M49" s="258"/>
      <c r="N49" s="258"/>
      <c r="O49" s="258"/>
      <c r="P49" s="258"/>
      <c r="Q49" s="258"/>
      <c r="R49" s="258"/>
      <c r="S49" s="258"/>
      <c r="T49" s="258"/>
      <c r="U49" s="258"/>
      <c r="V49" s="258"/>
      <c r="W49" s="258"/>
      <c r="X49" s="258"/>
      <c r="Y49" s="258"/>
      <c r="Z49" s="258"/>
      <c r="AA49" s="258"/>
      <c r="AB49" s="258"/>
      <c r="AC49" s="258"/>
      <c r="AD49" s="258"/>
      <c r="AE49" s="258"/>
      <c r="AF49" s="258"/>
    </row>
    <row r="50" spans="1:32" x14ac:dyDescent="0.2">
      <c r="A50" s="7" t="str">
        <f ca="1">IF(AUTOEVENTO="Manual",IF(OFFSET(EVENTOS!$F$14,PLE!$B50,0)&gt;0,"F",""),IF(PLE!B50&lt;=MAX(CÁLCULO!$M$15:$M$89),"F",""))</f>
        <v/>
      </c>
      <c r="B50" s="257">
        <f t="shared" ca="1" si="1"/>
        <v>35</v>
      </c>
      <c r="C50" s="768">
        <f ca="1">IF(AUTOEVENTO="Manual",OFFSET(EVENTOS!$D$15,$B50-$B$15,0),IF(B50&lt;=MAX(CÁLCULO!$M$15:$M$89),VLOOKUP($B50,CÁLCULO!$M$15:$N$89,2,FALSE),0))</f>
        <v>0</v>
      </c>
      <c r="D50" s="768"/>
      <c r="F50" s="258"/>
      <c r="H50" s="258"/>
      <c r="I50" s="258"/>
      <c r="J50" s="258"/>
      <c r="K50" s="258"/>
      <c r="L50" s="258"/>
      <c r="M50" s="258"/>
      <c r="N50" s="258"/>
      <c r="O50" s="258"/>
      <c r="P50" s="258"/>
      <c r="Q50" s="258"/>
      <c r="R50" s="258"/>
      <c r="S50" s="258"/>
      <c r="T50" s="258"/>
      <c r="U50" s="258"/>
      <c r="V50" s="258"/>
      <c r="W50" s="258"/>
      <c r="X50" s="258"/>
      <c r="Y50" s="258"/>
      <c r="Z50" s="258"/>
      <c r="AA50" s="258"/>
      <c r="AB50" s="258"/>
      <c r="AC50" s="258"/>
      <c r="AD50" s="258"/>
      <c r="AE50" s="258"/>
      <c r="AF50" s="258"/>
    </row>
    <row r="51" spans="1:32" x14ac:dyDescent="0.2">
      <c r="A51" s="7" t="str">
        <f ca="1">IF(AUTOEVENTO="Manual",IF(OFFSET(EVENTOS!$F$14,PLE!$B51,0)&gt;0,"F",""),IF(PLE!B51&lt;=MAX(CÁLCULO!$M$15:$M$89),"F",""))</f>
        <v/>
      </c>
      <c r="B51" s="257">
        <f t="shared" ca="1" si="1"/>
        <v>36</v>
      </c>
      <c r="C51" s="768">
        <f ca="1">IF(AUTOEVENTO="Manual",OFFSET(EVENTOS!$D$15,$B51-$B$15,0),IF(B51&lt;=MAX(CÁLCULO!$M$15:$M$89),VLOOKUP($B51,CÁLCULO!$M$15:$N$89,2,FALSE),0))</f>
        <v>0</v>
      </c>
      <c r="D51" s="768"/>
      <c r="F51" s="258"/>
      <c r="H51" s="258"/>
      <c r="I51" s="258"/>
      <c r="J51" s="258"/>
      <c r="K51" s="258"/>
      <c r="L51" s="258"/>
      <c r="M51" s="258"/>
      <c r="N51" s="258"/>
      <c r="O51" s="258"/>
      <c r="P51" s="258"/>
      <c r="Q51" s="258"/>
      <c r="R51" s="258"/>
      <c r="S51" s="258"/>
      <c r="T51" s="258"/>
      <c r="U51" s="258"/>
      <c r="V51" s="258"/>
      <c r="W51" s="258"/>
      <c r="X51" s="258"/>
      <c r="Y51" s="258"/>
      <c r="Z51" s="258"/>
      <c r="AA51" s="258"/>
      <c r="AB51" s="258"/>
      <c r="AC51" s="258"/>
      <c r="AD51" s="258"/>
      <c r="AE51" s="258"/>
      <c r="AF51" s="258"/>
    </row>
    <row r="52" spans="1:32" x14ac:dyDescent="0.2">
      <c r="A52" s="7" t="str">
        <f ca="1">IF(AUTOEVENTO="Manual",IF(OFFSET(EVENTOS!$F$14,PLE!$B52,0)&gt;0,"F",""),IF(PLE!B52&lt;=MAX(CÁLCULO!$M$15:$M$89),"F",""))</f>
        <v/>
      </c>
      <c r="B52" s="257">
        <f t="shared" ca="1" si="1"/>
        <v>37</v>
      </c>
      <c r="C52" s="768">
        <f ca="1">IF(AUTOEVENTO="Manual",OFFSET(EVENTOS!$D$15,$B52-$B$15,0),IF(B52&lt;=MAX(CÁLCULO!$M$15:$M$89),VLOOKUP($B52,CÁLCULO!$M$15:$N$89,2,FALSE),0))</f>
        <v>0</v>
      </c>
      <c r="D52" s="768"/>
      <c r="F52" s="258"/>
      <c r="H52" s="258"/>
      <c r="I52" s="258"/>
      <c r="J52" s="258"/>
      <c r="K52" s="258"/>
      <c r="L52" s="258"/>
      <c r="M52" s="258"/>
      <c r="N52" s="258"/>
      <c r="O52" s="258"/>
      <c r="P52" s="258"/>
      <c r="Q52" s="258"/>
      <c r="R52" s="258"/>
      <c r="S52" s="258"/>
      <c r="T52" s="258"/>
      <c r="U52" s="258"/>
      <c r="V52" s="258"/>
      <c r="W52" s="258"/>
      <c r="X52" s="258"/>
      <c r="Y52" s="258"/>
      <c r="Z52" s="258"/>
      <c r="AA52" s="258"/>
      <c r="AB52" s="258"/>
      <c r="AC52" s="258"/>
      <c r="AD52" s="258"/>
      <c r="AE52" s="258"/>
      <c r="AF52" s="258"/>
    </row>
    <row r="53" spans="1:32" x14ac:dyDescent="0.2">
      <c r="A53" s="7" t="str">
        <f ca="1">IF(AUTOEVENTO="Manual",IF(OFFSET(EVENTOS!$F$14,PLE!$B53,0)&gt;0,"F",""),IF(PLE!B53&lt;=MAX(CÁLCULO!$M$15:$M$89),"F",""))</f>
        <v/>
      </c>
      <c r="B53" s="257">
        <f t="shared" ca="1" si="1"/>
        <v>38</v>
      </c>
      <c r="C53" s="768">
        <f ca="1">IF(AUTOEVENTO="Manual",OFFSET(EVENTOS!$D$15,$B53-$B$15,0),IF(B53&lt;=MAX(CÁLCULO!$M$15:$M$89),VLOOKUP($B53,CÁLCULO!$M$15:$N$89,2,FALSE),0))</f>
        <v>0</v>
      </c>
      <c r="D53" s="768"/>
      <c r="F53" s="258"/>
      <c r="H53" s="258"/>
      <c r="I53" s="258"/>
      <c r="J53" s="258"/>
      <c r="K53" s="258"/>
      <c r="L53" s="258"/>
      <c r="M53" s="258"/>
      <c r="N53" s="258"/>
      <c r="O53" s="258"/>
      <c r="P53" s="258"/>
      <c r="Q53" s="258"/>
      <c r="R53" s="258"/>
      <c r="S53" s="258"/>
      <c r="T53" s="258"/>
      <c r="U53" s="258"/>
      <c r="V53" s="258"/>
      <c r="W53" s="258"/>
      <c r="X53" s="258"/>
      <c r="Y53" s="258"/>
      <c r="Z53" s="258"/>
      <c r="AA53" s="258"/>
      <c r="AB53" s="258"/>
      <c r="AC53" s="258"/>
      <c r="AD53" s="258"/>
      <c r="AE53" s="258"/>
      <c r="AF53" s="258"/>
    </row>
    <row r="54" spans="1:32" x14ac:dyDescent="0.2">
      <c r="A54" s="7" t="str">
        <f ca="1">IF(AUTOEVENTO="Manual",IF(OFFSET(EVENTOS!$F$14,PLE!$B54,0)&gt;0,"F",""),IF(PLE!B54&lt;=MAX(CÁLCULO!$M$15:$M$89),"F",""))</f>
        <v/>
      </c>
      <c r="B54" s="257">
        <f t="shared" ca="1" si="1"/>
        <v>39</v>
      </c>
      <c r="C54" s="768">
        <f ca="1">IF(AUTOEVENTO="Manual",OFFSET(EVENTOS!$D$15,$B54-$B$15,0),IF(B54&lt;=MAX(CÁLCULO!$M$15:$M$89),VLOOKUP($B54,CÁLCULO!$M$15:$N$89,2,FALSE),0))</f>
        <v>0</v>
      </c>
      <c r="D54" s="768"/>
      <c r="F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row>
    <row r="55" spans="1:32" x14ac:dyDescent="0.2">
      <c r="A55" s="7" t="str">
        <f ca="1">IF(AUTOEVENTO="Manual",IF(OFFSET(EVENTOS!$F$14,PLE!$B55,0)&gt;0,"F",""),IF(PLE!B55&lt;=MAX(CÁLCULO!$M$15:$M$89),"F",""))</f>
        <v/>
      </c>
      <c r="B55" s="257">
        <f t="shared" ca="1" si="1"/>
        <v>40</v>
      </c>
      <c r="C55" s="768">
        <f ca="1">IF(AUTOEVENTO="Manual",OFFSET(EVENTOS!$D$15,$B55-$B$15,0),IF(B55&lt;=MAX(CÁLCULO!$M$15:$M$89),VLOOKUP($B55,CÁLCULO!$M$15:$N$89,2,FALSE),0))</f>
        <v>0</v>
      </c>
      <c r="D55" s="768"/>
      <c r="F55" s="258"/>
      <c r="H55" s="258"/>
      <c r="I55" s="258"/>
      <c r="J55" s="258"/>
      <c r="K55" s="258"/>
      <c r="L55" s="258"/>
      <c r="M55" s="258"/>
      <c r="N55" s="258"/>
      <c r="O55" s="258"/>
      <c r="P55" s="258"/>
      <c r="Q55" s="258"/>
      <c r="R55" s="258"/>
      <c r="S55" s="258"/>
      <c r="T55" s="258"/>
      <c r="U55" s="258"/>
      <c r="V55" s="258"/>
      <c r="W55" s="258"/>
      <c r="X55" s="258"/>
      <c r="Y55" s="258"/>
      <c r="Z55" s="258"/>
      <c r="AA55" s="258"/>
      <c r="AB55" s="258"/>
      <c r="AC55" s="258"/>
      <c r="AD55" s="258"/>
      <c r="AE55" s="258"/>
      <c r="AF55" s="258"/>
    </row>
    <row r="56" spans="1:32" x14ac:dyDescent="0.2">
      <c r="A56" s="7" t="str">
        <f ca="1">IF(AUTOEVENTO="Manual",IF(OFFSET(EVENTOS!$F$14,PLE!$B56,0)&gt;0,"F",""),IF(PLE!B56&lt;=MAX(CÁLCULO!$M$15:$M$89),"F",""))</f>
        <v/>
      </c>
      <c r="B56" s="257">
        <f t="shared" ca="1" si="1"/>
        <v>41</v>
      </c>
      <c r="C56" s="768">
        <f ca="1">IF(AUTOEVENTO="Manual",OFFSET(EVENTOS!$D$15,$B56-$B$15,0),IF(B56&lt;=MAX(CÁLCULO!$M$15:$M$89),VLOOKUP($B56,CÁLCULO!$M$15:$N$89,2,FALSE),0))</f>
        <v>0</v>
      </c>
      <c r="D56" s="768"/>
      <c r="F56" s="258"/>
      <c r="H56" s="258"/>
      <c r="I56" s="258"/>
      <c r="J56" s="258"/>
      <c r="K56" s="258"/>
      <c r="L56" s="258"/>
      <c r="M56" s="258"/>
      <c r="N56" s="258"/>
      <c r="O56" s="258"/>
      <c r="P56" s="258"/>
      <c r="Q56" s="258"/>
      <c r="R56" s="258"/>
      <c r="S56" s="258"/>
      <c r="T56" s="258"/>
      <c r="U56" s="258"/>
      <c r="V56" s="258"/>
      <c r="W56" s="258"/>
      <c r="X56" s="258"/>
      <c r="Y56" s="258"/>
      <c r="Z56" s="258"/>
      <c r="AA56" s="258"/>
      <c r="AB56" s="258"/>
      <c r="AC56" s="258"/>
      <c r="AD56" s="258"/>
      <c r="AE56" s="258"/>
      <c r="AF56" s="258"/>
    </row>
    <row r="57" spans="1:32" x14ac:dyDescent="0.2">
      <c r="A57" s="7" t="str">
        <f ca="1">IF(AUTOEVENTO="Manual",IF(OFFSET(EVENTOS!$F$14,PLE!$B57,0)&gt;0,"F",""),IF(PLE!B57&lt;=MAX(CÁLCULO!$M$15:$M$89),"F",""))</f>
        <v/>
      </c>
      <c r="B57" s="257">
        <f t="shared" ca="1" si="1"/>
        <v>42</v>
      </c>
      <c r="C57" s="768">
        <f ca="1">IF(AUTOEVENTO="Manual",OFFSET(EVENTOS!$D$15,$B57-$B$15,0),IF(B57&lt;=MAX(CÁLCULO!$M$15:$M$89),VLOOKUP($B57,CÁLCULO!$M$15:$N$89,2,FALSE),0))</f>
        <v>0</v>
      </c>
      <c r="D57" s="768"/>
      <c r="F57" s="258"/>
      <c r="H57" s="258"/>
      <c r="I57" s="258"/>
      <c r="J57" s="258"/>
      <c r="K57" s="258"/>
      <c r="L57" s="258"/>
      <c r="M57" s="258"/>
      <c r="N57" s="258"/>
      <c r="O57" s="258"/>
      <c r="P57" s="258"/>
      <c r="Q57" s="258"/>
      <c r="R57" s="258"/>
      <c r="S57" s="258"/>
      <c r="T57" s="258"/>
      <c r="U57" s="258"/>
      <c r="V57" s="258"/>
      <c r="W57" s="258"/>
      <c r="X57" s="258"/>
      <c r="Y57" s="258"/>
      <c r="Z57" s="258"/>
      <c r="AA57" s="258"/>
      <c r="AB57" s="258"/>
      <c r="AC57" s="258"/>
      <c r="AD57" s="258"/>
      <c r="AE57" s="258"/>
      <c r="AF57" s="258"/>
    </row>
    <row r="58" spans="1:32" x14ac:dyDescent="0.2">
      <c r="A58" s="7" t="str">
        <f ca="1">IF(AUTOEVENTO="Manual",IF(OFFSET(EVENTOS!$F$14,PLE!$B58,0)&gt;0,"F",""),IF(PLE!B58&lt;=MAX(CÁLCULO!$M$15:$M$89),"F",""))</f>
        <v/>
      </c>
      <c r="B58" s="257">
        <f t="shared" ca="1" si="1"/>
        <v>43</v>
      </c>
      <c r="C58" s="768">
        <f ca="1">IF(AUTOEVENTO="Manual",OFFSET(EVENTOS!$D$15,$B58-$B$15,0),IF(B58&lt;=MAX(CÁLCULO!$M$15:$M$89),VLOOKUP($B58,CÁLCULO!$M$15:$N$89,2,FALSE),0))</f>
        <v>0</v>
      </c>
      <c r="D58" s="768"/>
      <c r="F58" s="258"/>
      <c r="H58" s="258"/>
      <c r="I58" s="258"/>
      <c r="J58" s="258"/>
      <c r="K58" s="258"/>
      <c r="L58" s="258"/>
      <c r="M58" s="258"/>
      <c r="N58" s="258"/>
      <c r="O58" s="258"/>
      <c r="P58" s="258"/>
      <c r="Q58" s="258"/>
      <c r="R58" s="258"/>
      <c r="S58" s="258"/>
      <c r="T58" s="258"/>
      <c r="U58" s="258"/>
      <c r="V58" s="258"/>
      <c r="W58" s="258"/>
      <c r="X58" s="258"/>
      <c r="Y58" s="258"/>
      <c r="Z58" s="258"/>
      <c r="AA58" s="258"/>
      <c r="AB58" s="258"/>
      <c r="AC58" s="258"/>
      <c r="AD58" s="258"/>
      <c r="AE58" s="258"/>
      <c r="AF58" s="258"/>
    </row>
    <row r="59" spans="1:32" x14ac:dyDescent="0.2">
      <c r="A59" s="7" t="str">
        <f ca="1">IF(AUTOEVENTO="Manual",IF(OFFSET(EVENTOS!$F$14,PLE!$B59,0)&gt;0,"F",""),IF(PLE!B59&lt;=MAX(CÁLCULO!$M$15:$M$89),"F",""))</f>
        <v/>
      </c>
      <c r="B59" s="257">
        <f t="shared" ca="1" si="1"/>
        <v>44</v>
      </c>
      <c r="C59" s="768">
        <f ca="1">IF(AUTOEVENTO="Manual",OFFSET(EVENTOS!$D$15,$B59-$B$15,0),IF(B59&lt;=MAX(CÁLCULO!$M$15:$M$89),VLOOKUP($B59,CÁLCULO!$M$15:$N$89,2,FALSE),0))</f>
        <v>0</v>
      </c>
      <c r="D59" s="768"/>
      <c r="F59" s="258"/>
      <c r="H59" s="258"/>
      <c r="I59" s="258"/>
      <c r="J59" s="258"/>
      <c r="K59" s="258"/>
      <c r="L59" s="258"/>
      <c r="M59" s="258"/>
      <c r="N59" s="258"/>
      <c r="O59" s="258"/>
      <c r="P59" s="258"/>
      <c r="Q59" s="258"/>
      <c r="R59" s="258"/>
      <c r="S59" s="258"/>
      <c r="T59" s="258"/>
      <c r="U59" s="258"/>
      <c r="V59" s="258"/>
      <c r="W59" s="258"/>
      <c r="X59" s="258"/>
      <c r="Y59" s="258"/>
      <c r="Z59" s="258"/>
      <c r="AA59" s="258"/>
      <c r="AB59" s="258"/>
      <c r="AC59" s="258"/>
      <c r="AD59" s="258"/>
      <c r="AE59" s="258"/>
      <c r="AF59" s="258"/>
    </row>
    <row r="60" spans="1:32" x14ac:dyDescent="0.2">
      <c r="A60" s="7" t="str">
        <f ca="1">IF(AUTOEVENTO="Manual",IF(OFFSET(EVENTOS!$F$14,PLE!$B60,0)&gt;0,"F",""),IF(PLE!B60&lt;=MAX(CÁLCULO!$M$15:$M$89),"F",""))</f>
        <v/>
      </c>
      <c r="B60" s="257">
        <f t="shared" ca="1" si="1"/>
        <v>45</v>
      </c>
      <c r="C60" s="768">
        <f ca="1">IF(AUTOEVENTO="Manual",OFFSET(EVENTOS!$D$15,$B60-$B$15,0),IF(B60&lt;=MAX(CÁLCULO!$M$15:$M$89),VLOOKUP($B60,CÁLCULO!$M$15:$N$89,2,FALSE),0))</f>
        <v>0</v>
      </c>
      <c r="D60" s="768"/>
      <c r="F60" s="258"/>
      <c r="H60" s="258"/>
      <c r="I60" s="258"/>
      <c r="J60" s="258"/>
      <c r="K60" s="258"/>
      <c r="L60" s="258"/>
      <c r="M60" s="258"/>
      <c r="N60" s="258"/>
      <c r="O60" s="258"/>
      <c r="P60" s="258"/>
      <c r="Q60" s="258"/>
      <c r="R60" s="258"/>
      <c r="S60" s="258"/>
      <c r="T60" s="258"/>
      <c r="U60" s="258"/>
      <c r="V60" s="258"/>
      <c r="W60" s="258"/>
      <c r="X60" s="258"/>
      <c r="Y60" s="258"/>
      <c r="Z60" s="258"/>
      <c r="AA60" s="258"/>
      <c r="AB60" s="258"/>
      <c r="AC60" s="258"/>
      <c r="AD60" s="258"/>
      <c r="AE60" s="258"/>
      <c r="AF60" s="258"/>
    </row>
    <row r="61" spans="1:32" x14ac:dyDescent="0.2">
      <c r="A61" s="7" t="str">
        <f ca="1">IF(AUTOEVENTO="Manual",IF(OFFSET(EVENTOS!$F$14,PLE!$B61,0)&gt;0,"F",""),IF(PLE!B61&lt;=MAX(CÁLCULO!$M$15:$M$89),"F",""))</f>
        <v/>
      </c>
      <c r="B61" s="257">
        <f t="shared" ca="1" si="1"/>
        <v>46</v>
      </c>
      <c r="C61" s="768">
        <f ca="1">IF(AUTOEVENTO="Manual",OFFSET(EVENTOS!$D$15,$B61-$B$15,0),IF(B61&lt;=MAX(CÁLCULO!$M$15:$M$89),VLOOKUP($B61,CÁLCULO!$M$15:$N$89,2,FALSE),0))</f>
        <v>0</v>
      </c>
      <c r="D61" s="768"/>
      <c r="F61" s="258"/>
      <c r="H61" s="258"/>
      <c r="I61" s="258"/>
      <c r="J61" s="258"/>
      <c r="K61" s="258"/>
      <c r="L61" s="258"/>
      <c r="M61" s="258"/>
      <c r="N61" s="258"/>
      <c r="O61" s="258"/>
      <c r="P61" s="258"/>
      <c r="Q61" s="258"/>
      <c r="R61" s="258"/>
      <c r="S61" s="258"/>
      <c r="T61" s="258"/>
      <c r="U61" s="258"/>
      <c r="V61" s="258"/>
      <c r="W61" s="258"/>
      <c r="X61" s="258"/>
      <c r="Y61" s="258"/>
      <c r="Z61" s="258"/>
      <c r="AA61" s="258"/>
      <c r="AB61" s="258"/>
      <c r="AC61" s="258"/>
      <c r="AD61" s="258"/>
      <c r="AE61" s="258"/>
      <c r="AF61" s="258"/>
    </row>
    <row r="62" spans="1:32" x14ac:dyDescent="0.2">
      <c r="A62" s="7" t="str">
        <f ca="1">IF(AUTOEVENTO="Manual",IF(OFFSET(EVENTOS!$F$14,PLE!$B62,0)&gt;0,"F",""),IF(PLE!B62&lt;=MAX(CÁLCULO!$M$15:$M$89),"F",""))</f>
        <v/>
      </c>
      <c r="B62" s="257">
        <f t="shared" ca="1" si="1"/>
        <v>47</v>
      </c>
      <c r="C62" s="768">
        <f ca="1">IF(AUTOEVENTO="Manual",OFFSET(EVENTOS!$D$15,$B62-$B$15,0),IF(B62&lt;=MAX(CÁLCULO!$M$15:$M$89),VLOOKUP($B62,CÁLCULO!$M$15:$N$89,2,FALSE),0))</f>
        <v>0</v>
      </c>
      <c r="D62" s="768"/>
      <c r="F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row>
    <row r="63" spans="1:32" x14ac:dyDescent="0.2">
      <c r="A63" s="7" t="str">
        <f ca="1">IF(AUTOEVENTO="Manual",IF(OFFSET(EVENTOS!$F$14,PLE!$B63,0)&gt;0,"F",""),IF(PLE!B63&lt;=MAX(CÁLCULO!$M$15:$M$89),"F",""))</f>
        <v/>
      </c>
      <c r="B63" s="257">
        <f t="shared" ca="1" si="1"/>
        <v>48</v>
      </c>
      <c r="C63" s="768">
        <f ca="1">IF(AUTOEVENTO="Manual",OFFSET(EVENTOS!$D$15,$B63-$B$15,0),IF(B63&lt;=MAX(CÁLCULO!$M$15:$M$89),VLOOKUP($B63,CÁLCULO!$M$15:$N$89,2,FALSE),0))</f>
        <v>0</v>
      </c>
      <c r="D63" s="768"/>
      <c r="F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row>
    <row r="64" spans="1:32" x14ac:dyDescent="0.2">
      <c r="A64" s="7" t="str">
        <f ca="1">IF(AUTOEVENTO="Manual",IF(OFFSET(EVENTOS!$F$14,PLE!$B64,0)&gt;0,"F",""),IF(PLE!B64&lt;=MAX(CÁLCULO!$M$15:$M$89),"F",""))</f>
        <v/>
      </c>
      <c r="B64" s="257">
        <f t="shared" ca="1" si="1"/>
        <v>49</v>
      </c>
      <c r="C64" s="768">
        <f ca="1">IF(AUTOEVENTO="Manual",OFFSET(EVENTOS!$D$15,$B64-$B$15,0),IF(B64&lt;=MAX(CÁLCULO!$M$15:$M$89),VLOOKUP($B64,CÁLCULO!$M$15:$N$89,2,FALSE),0))</f>
        <v>0</v>
      </c>
      <c r="D64" s="768"/>
      <c r="F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row>
    <row r="65" spans="1:32" x14ac:dyDescent="0.2">
      <c r="A65" s="7" t="str">
        <f ca="1">IF(AUTOEVENTO="Manual",IF(OFFSET(EVENTOS!$F$14,PLE!$B65,0)&gt;0,"F",""),IF(PLE!B65&lt;=MAX(CÁLCULO!$M$15:$M$89),"F",""))</f>
        <v/>
      </c>
      <c r="B65" s="257">
        <f t="shared" ca="1" si="1"/>
        <v>50</v>
      </c>
      <c r="C65" s="768">
        <f ca="1">IF(AUTOEVENTO="Manual",OFFSET(EVENTOS!$D$15,$B65-$B$15,0),IF(B65&lt;=MAX(CÁLCULO!$M$15:$M$89),VLOOKUP($B65,CÁLCULO!$M$15:$N$89,2,FALSE),0))</f>
        <v>0</v>
      </c>
      <c r="D65" s="768"/>
      <c r="F65" s="258"/>
      <c r="H65" s="258"/>
      <c r="I65" s="258"/>
      <c r="J65" s="258"/>
      <c r="K65" s="258"/>
      <c r="L65" s="258"/>
      <c r="M65" s="258"/>
      <c r="N65" s="258"/>
      <c r="O65" s="258"/>
      <c r="P65" s="258"/>
      <c r="Q65" s="258"/>
      <c r="R65" s="258"/>
      <c r="S65" s="258"/>
      <c r="T65" s="258"/>
      <c r="U65" s="258"/>
      <c r="V65" s="258"/>
      <c r="W65" s="258"/>
      <c r="X65" s="258"/>
      <c r="Y65" s="258"/>
      <c r="Z65" s="258"/>
      <c r="AA65" s="258"/>
      <c r="AB65" s="258"/>
      <c r="AC65" s="258"/>
      <c r="AD65" s="258"/>
      <c r="AE65" s="258"/>
      <c r="AF65" s="258"/>
    </row>
    <row r="66" spans="1:32" x14ac:dyDescent="0.2">
      <c r="A66" s="7" t="str">
        <f ca="1">IF(AUTOEVENTO="Manual",IF(OFFSET(EVENTOS!$F$14,PLE!$B66,0)&gt;0,"F",""),IF(PLE!B66&lt;=MAX(CÁLCULO!$M$15:$M$89),"F",""))</f>
        <v/>
      </c>
      <c r="B66" s="257">
        <f t="shared" ca="1" si="1"/>
        <v>51</v>
      </c>
      <c r="C66" s="768">
        <f ca="1">IF(AUTOEVENTO="Manual",OFFSET(EVENTOS!$D$15,$B66-$B$15,0),IF(B66&lt;=MAX(CÁLCULO!$M$15:$M$89),VLOOKUP($B66,CÁLCULO!$M$15:$N$89,2,FALSE),0))</f>
        <v>0</v>
      </c>
      <c r="D66" s="768"/>
      <c r="F66" s="258"/>
      <c r="H66" s="258"/>
      <c r="I66" s="258"/>
      <c r="J66" s="258"/>
      <c r="K66" s="258"/>
      <c r="L66" s="258"/>
      <c r="M66" s="258"/>
      <c r="N66" s="258"/>
      <c r="O66" s="258"/>
      <c r="P66" s="258"/>
      <c r="Q66" s="258"/>
      <c r="R66" s="258"/>
      <c r="S66" s="258"/>
      <c r="T66" s="258"/>
      <c r="U66" s="258"/>
      <c r="V66" s="258"/>
      <c r="W66" s="258"/>
      <c r="X66" s="258"/>
      <c r="Y66" s="258"/>
      <c r="Z66" s="258"/>
      <c r="AA66" s="258"/>
      <c r="AB66" s="258"/>
      <c r="AC66" s="258"/>
      <c r="AD66" s="258"/>
      <c r="AE66" s="258"/>
      <c r="AF66" s="258"/>
    </row>
    <row r="67" spans="1:32" x14ac:dyDescent="0.2">
      <c r="A67" s="7" t="str">
        <f ca="1">IF(AUTOEVENTO="Manual",IF(OFFSET(EVENTOS!$F$14,PLE!$B67,0)&gt;0,"F",""),IF(PLE!B67&lt;=MAX(CÁLCULO!$M$15:$M$89),"F",""))</f>
        <v/>
      </c>
      <c r="B67" s="257">
        <f t="shared" ca="1" si="1"/>
        <v>52</v>
      </c>
      <c r="C67" s="768">
        <f ca="1">IF(AUTOEVENTO="Manual",OFFSET(EVENTOS!$D$15,$B67-$B$15,0),IF(B67&lt;=MAX(CÁLCULO!$M$15:$M$89),VLOOKUP($B67,CÁLCULO!$M$15:$N$89,2,FALSE),0))</f>
        <v>0</v>
      </c>
      <c r="D67" s="768"/>
      <c r="F67" s="258"/>
      <c r="H67" s="258"/>
      <c r="I67" s="258"/>
      <c r="J67" s="258"/>
      <c r="K67" s="258"/>
      <c r="L67" s="258"/>
      <c r="M67" s="258"/>
      <c r="N67" s="258"/>
      <c r="O67" s="258"/>
      <c r="P67" s="258"/>
      <c r="Q67" s="258"/>
      <c r="R67" s="258"/>
      <c r="S67" s="258"/>
      <c r="T67" s="258"/>
      <c r="U67" s="258"/>
      <c r="V67" s="258"/>
      <c r="W67" s="258"/>
      <c r="X67" s="258"/>
      <c r="Y67" s="258"/>
      <c r="Z67" s="258"/>
      <c r="AA67" s="258"/>
      <c r="AB67" s="258"/>
      <c r="AC67" s="258"/>
      <c r="AD67" s="258"/>
      <c r="AE67" s="258"/>
      <c r="AF67" s="258"/>
    </row>
    <row r="68" spans="1:32" x14ac:dyDescent="0.2">
      <c r="A68" s="7" t="str">
        <f ca="1">IF(AUTOEVENTO="Manual",IF(OFFSET(EVENTOS!$F$14,PLE!$B68,0)&gt;0,"F",""),IF(PLE!B68&lt;=MAX(CÁLCULO!$M$15:$M$89),"F",""))</f>
        <v/>
      </c>
      <c r="B68" s="257">
        <f t="shared" ca="1" si="1"/>
        <v>53</v>
      </c>
      <c r="C68" s="768">
        <f ca="1">IF(AUTOEVENTO="Manual",OFFSET(EVENTOS!$D$15,$B68-$B$15,0),IF(B68&lt;=MAX(CÁLCULO!$M$15:$M$89),VLOOKUP($B68,CÁLCULO!$M$15:$N$89,2,FALSE),0))</f>
        <v>0</v>
      </c>
      <c r="D68" s="768"/>
      <c r="F68" s="258"/>
      <c r="H68" s="258"/>
      <c r="I68" s="258"/>
      <c r="J68" s="258"/>
      <c r="K68" s="258"/>
      <c r="L68" s="258"/>
      <c r="M68" s="258"/>
      <c r="N68" s="258"/>
      <c r="O68" s="258"/>
      <c r="P68" s="258"/>
      <c r="Q68" s="258"/>
      <c r="R68" s="258"/>
      <c r="S68" s="258"/>
      <c r="T68" s="258"/>
      <c r="U68" s="258"/>
      <c r="V68" s="258"/>
      <c r="W68" s="258"/>
      <c r="X68" s="258"/>
      <c r="Y68" s="258"/>
      <c r="Z68" s="258"/>
      <c r="AA68" s="258"/>
      <c r="AB68" s="258"/>
      <c r="AC68" s="258"/>
      <c r="AD68" s="258"/>
      <c r="AE68" s="258"/>
      <c r="AF68" s="258"/>
    </row>
    <row r="69" spans="1:32" x14ac:dyDescent="0.2">
      <c r="A69" s="7" t="str">
        <f ca="1">IF(AUTOEVENTO="Manual",IF(OFFSET(EVENTOS!$F$14,PLE!$B69,0)&gt;0,"F",""),IF(PLE!B69&lt;=MAX(CÁLCULO!$M$15:$M$89),"F",""))</f>
        <v/>
      </c>
      <c r="B69" s="257">
        <f t="shared" ca="1" si="1"/>
        <v>54</v>
      </c>
      <c r="C69" s="768">
        <f ca="1">IF(AUTOEVENTO="Manual",OFFSET(EVENTOS!$D$15,$B69-$B$15,0),IF(B69&lt;=MAX(CÁLCULO!$M$15:$M$89),VLOOKUP($B69,CÁLCULO!$M$15:$N$89,2,FALSE),0))</f>
        <v>0</v>
      </c>
      <c r="D69" s="768"/>
      <c r="F69" s="258"/>
      <c r="H69" s="258"/>
      <c r="I69" s="258"/>
      <c r="J69" s="258"/>
      <c r="K69" s="258"/>
      <c r="L69" s="258"/>
      <c r="M69" s="258"/>
      <c r="N69" s="258"/>
      <c r="O69" s="258"/>
      <c r="P69" s="258"/>
      <c r="Q69" s="258"/>
      <c r="R69" s="258"/>
      <c r="S69" s="258"/>
      <c r="T69" s="258"/>
      <c r="U69" s="258"/>
      <c r="V69" s="258"/>
      <c r="W69" s="258"/>
      <c r="X69" s="258"/>
      <c r="Y69" s="258"/>
      <c r="Z69" s="258"/>
      <c r="AA69" s="258"/>
      <c r="AB69" s="258"/>
      <c r="AC69" s="258"/>
      <c r="AD69" s="258"/>
      <c r="AE69" s="258"/>
      <c r="AF69" s="258"/>
    </row>
    <row r="70" spans="1:32" ht="4.5" customHeight="1" x14ac:dyDescent="0.2">
      <c r="A70" s="7" t="s">
        <v>244</v>
      </c>
      <c r="B70" s="440"/>
      <c r="C70" s="441"/>
      <c r="D70" s="442"/>
      <c r="F70" s="138"/>
      <c r="H70" s="440"/>
      <c r="I70" s="441"/>
      <c r="J70" s="441"/>
      <c r="K70" s="441"/>
      <c r="L70" s="441"/>
      <c r="M70" s="441"/>
      <c r="N70" s="441"/>
      <c r="O70" s="441"/>
      <c r="P70" s="441"/>
      <c r="Q70" s="441"/>
      <c r="R70" s="441"/>
      <c r="S70" s="441"/>
      <c r="T70" s="441"/>
      <c r="U70" s="441"/>
      <c r="V70" s="441"/>
      <c r="W70" s="441"/>
      <c r="X70" s="441"/>
      <c r="Y70" s="441"/>
      <c r="Z70" s="441"/>
      <c r="AA70" s="441"/>
      <c r="AB70" s="441"/>
      <c r="AC70" s="441"/>
      <c r="AD70" s="441"/>
      <c r="AE70" s="441"/>
      <c r="AF70" s="442"/>
    </row>
    <row r="71" spans="1:32" x14ac:dyDescent="0.2">
      <c r="A71" s="7" t="s">
        <v>244</v>
      </c>
    </row>
    <row r="72" spans="1:32" x14ac:dyDescent="0.2">
      <c r="A72" s="7" t="s">
        <v>244</v>
      </c>
      <c r="I72" s="788" t="s">
        <v>292</v>
      </c>
      <c r="J72" s="788"/>
      <c r="K72" s="788"/>
      <c r="L72" s="788"/>
      <c r="M72" s="788"/>
      <c r="N72" s="788"/>
      <c r="O72" s="788"/>
      <c r="P72" s="788"/>
      <c r="Q72" s="788"/>
      <c r="R72" s="788"/>
      <c r="S72" s="788"/>
      <c r="T72" s="788"/>
      <c r="U72" s="788"/>
      <c r="V72" s="788"/>
      <c r="W72" s="788"/>
      <c r="X72" s="788"/>
      <c r="Y72" s="788"/>
      <c r="Z72" s="788"/>
      <c r="AA72" s="788"/>
      <c r="AB72" s="788"/>
      <c r="AC72" s="788"/>
      <c r="AD72" s="788"/>
      <c r="AE72" s="788"/>
      <c r="AF72" s="788"/>
    </row>
    <row r="73" spans="1:32" x14ac:dyDescent="0.2">
      <c r="A73" s="7" t="s">
        <v>244</v>
      </c>
      <c r="H73" s="642" t="str">
        <f>IF(INDEX($I$73:$AG$73,MATCH(PLE.Medicao,$I$74:$AG$74,0))="","Preencher a data da medição "&amp;PLE.Medicao,"")</f>
        <v>Preencher a data da medição 1</v>
      </c>
      <c r="I73" s="789"/>
      <c r="J73" s="774"/>
      <c r="K73" s="774"/>
      <c r="L73" s="774"/>
      <c r="M73" s="774"/>
      <c r="N73" s="774"/>
      <c r="O73" s="774"/>
      <c r="P73" s="774"/>
      <c r="Q73" s="774"/>
      <c r="R73" s="774"/>
      <c r="S73" s="774"/>
      <c r="T73" s="774"/>
      <c r="U73" s="774"/>
      <c r="V73" s="774"/>
      <c r="W73" s="774"/>
      <c r="X73" s="774"/>
      <c r="Y73" s="774"/>
      <c r="Z73" s="774"/>
      <c r="AA73" s="774"/>
      <c r="AB73" s="774"/>
      <c r="AC73" s="774"/>
      <c r="AD73" s="774"/>
      <c r="AE73" s="774"/>
      <c r="AF73" s="790"/>
    </row>
    <row r="74" spans="1:32" x14ac:dyDescent="0.2">
      <c r="A74" s="7" t="s">
        <v>244</v>
      </c>
      <c r="D74" s="279" t="s">
        <v>293</v>
      </c>
      <c r="I74" s="775">
        <f>IF(PLE.Medicao&lt;=12,1,TRUNC((PLE.Medicao - 2)/11,0) * 11 + 1)</f>
        <v>1</v>
      </c>
      <c r="J74" s="775"/>
      <c r="K74" s="775">
        <f>I74+1</f>
        <v>2</v>
      </c>
      <c r="L74" s="775"/>
      <c r="M74" s="775">
        <f>K74+1</f>
        <v>3</v>
      </c>
      <c r="N74" s="775"/>
      <c r="O74" s="775">
        <f>M74+1</f>
        <v>4</v>
      </c>
      <c r="P74" s="775"/>
      <c r="Q74" s="775">
        <f>O74+1</f>
        <v>5</v>
      </c>
      <c r="R74" s="775"/>
      <c r="S74" s="775">
        <f>Q74+1</f>
        <v>6</v>
      </c>
      <c r="T74" s="775"/>
      <c r="U74" s="775">
        <f>S74+1</f>
        <v>7</v>
      </c>
      <c r="V74" s="775"/>
      <c r="W74" s="775">
        <f>U74+1</f>
        <v>8</v>
      </c>
      <c r="X74" s="775"/>
      <c r="Y74" s="775">
        <f>W74+1</f>
        <v>9</v>
      </c>
      <c r="Z74" s="775"/>
      <c r="AA74" s="775">
        <f>Y74+1</f>
        <v>10</v>
      </c>
      <c r="AB74" s="775"/>
      <c r="AC74" s="775">
        <f>AA74+1</f>
        <v>11</v>
      </c>
      <c r="AD74" s="775"/>
      <c r="AE74" s="775">
        <f>AC74+1</f>
        <v>12</v>
      </c>
      <c r="AF74" s="775"/>
    </row>
    <row r="75" spans="1:32" x14ac:dyDescent="0.2">
      <c r="A75" s="7" t="s">
        <v>244</v>
      </c>
      <c r="D75" s="776" t="s">
        <v>279</v>
      </c>
      <c r="H75" s="280" t="s">
        <v>294</v>
      </c>
      <c r="I75" s="787" t="e">
        <f ca="1">ROUND(I76,2)/ORÇAMENTO!$X$15</f>
        <v>#DIV/0!</v>
      </c>
      <c r="J75" s="787"/>
      <c r="K75" s="772" t="e">
        <f ca="1">ROUND(K76,2)/ORÇAMENTO!$X$15</f>
        <v>#DIV/0!</v>
      </c>
      <c r="L75" s="772"/>
      <c r="M75" s="773" t="e">
        <f ca="1">ROUND(M76,2)/ORÇAMENTO!$X$15</f>
        <v>#DIV/0!</v>
      </c>
      <c r="N75" s="773"/>
      <c r="O75" s="772" t="e">
        <f ca="1">ROUND(O76,2)/ORÇAMENTO!$X$15</f>
        <v>#DIV/0!</v>
      </c>
      <c r="P75" s="772"/>
      <c r="Q75" s="773" t="e">
        <f ca="1">ROUND(Q76,2)/ORÇAMENTO!$X$15</f>
        <v>#DIV/0!</v>
      </c>
      <c r="R75" s="773"/>
      <c r="S75" s="772" t="e">
        <f ca="1">ROUND(S76,2)/ORÇAMENTO!$X$15</f>
        <v>#DIV/0!</v>
      </c>
      <c r="T75" s="772"/>
      <c r="U75" s="773" t="e">
        <f ca="1">ROUND(U76,2)/ORÇAMENTO!$X$15</f>
        <v>#DIV/0!</v>
      </c>
      <c r="V75" s="773"/>
      <c r="W75" s="772" t="e">
        <f ca="1">ROUND(W76,2)/ORÇAMENTO!$X$15</f>
        <v>#DIV/0!</v>
      </c>
      <c r="X75" s="772"/>
      <c r="Y75" s="773" t="e">
        <f ca="1">ROUND(Y76,2)/ORÇAMENTO!$X$15</f>
        <v>#DIV/0!</v>
      </c>
      <c r="Z75" s="773"/>
      <c r="AA75" s="772" t="e">
        <f ca="1">ROUND(AA76,2)/ORÇAMENTO!$X$15</f>
        <v>#DIV/0!</v>
      </c>
      <c r="AB75" s="772"/>
      <c r="AC75" s="773" t="e">
        <f ca="1">ROUND(AC76,2)/ORÇAMENTO!$X$15</f>
        <v>#DIV/0!</v>
      </c>
      <c r="AD75" s="773"/>
      <c r="AE75" s="772" t="e">
        <f ca="1">ROUND(AE76,2)/ORÇAMENTO!$X$15</f>
        <v>#DIV/0!</v>
      </c>
      <c r="AF75" s="772"/>
    </row>
    <row r="76" spans="1:32" x14ac:dyDescent="0.2">
      <c r="A76" s="7" t="s">
        <v>244</v>
      </c>
      <c r="D76" s="776"/>
      <c r="H76" s="12" t="s">
        <v>295</v>
      </c>
      <c r="I76" s="767">
        <f ca="1">IF(I74=1,I78,AH11ARRED(I78,2)-ROUND(SUMIF(CÁLCULO!$AX$15:$BH$89,"&lt;="&amp;PLE!I74-1,CÁLCULO!$AB$15:$AL$89)*IF(AdmLocal="Automática",(1+CÁLCULO.TotalAdmLocal/(ORÇAMENTO!$X$15-CÁLCULO.TotalAdmLocal)),1),2))</f>
        <v>0</v>
      </c>
      <c r="J76" s="767"/>
      <c r="K76" s="767">
        <f ca="1">ROUND(K78,2)-ROUND(I78,2)</f>
        <v>0</v>
      </c>
      <c r="L76" s="767"/>
      <c r="M76" s="769">
        <f ca="1">ROUND(M78,2)-ROUND(K78,2)</f>
        <v>0</v>
      </c>
      <c r="N76" s="769"/>
      <c r="O76" s="767">
        <f ca="1">ROUND(O78,2)-ROUND(M78,2)</f>
        <v>0</v>
      </c>
      <c r="P76" s="767"/>
      <c r="Q76" s="769">
        <f ca="1">ROUND(Q78,2)-ROUND(O78,2)</f>
        <v>0</v>
      </c>
      <c r="R76" s="769"/>
      <c r="S76" s="767">
        <f ca="1">ROUND(S78,2)-ROUND(Q78,2)</f>
        <v>0</v>
      </c>
      <c r="T76" s="767"/>
      <c r="U76" s="769">
        <f ca="1">ROUND(U78,2)-ROUND(S78,2)</f>
        <v>0</v>
      </c>
      <c r="V76" s="769"/>
      <c r="W76" s="767">
        <f ca="1">ROUND(W78,2)-ROUND(U78,2)</f>
        <v>0</v>
      </c>
      <c r="X76" s="767"/>
      <c r="Y76" s="769">
        <f ca="1">ROUND(Y78,2)-ROUND(W78,2)</f>
        <v>0</v>
      </c>
      <c r="Z76" s="769"/>
      <c r="AA76" s="767">
        <f ca="1">ROUND(AA78,2)-ROUND(Y78,2)</f>
        <v>0</v>
      </c>
      <c r="AB76" s="767"/>
      <c r="AC76" s="769">
        <f ca="1">ROUND(AC78,2)-ROUND(AA78,2)</f>
        <v>0</v>
      </c>
      <c r="AD76" s="769"/>
      <c r="AE76" s="767">
        <f ca="1">ROUND(AE78,2)-ROUND(AC78,2)</f>
        <v>0</v>
      </c>
      <c r="AF76" s="767"/>
    </row>
    <row r="77" spans="1:32" x14ac:dyDescent="0.2">
      <c r="A77" s="7" t="s">
        <v>244</v>
      </c>
      <c r="D77" s="776" t="s">
        <v>283</v>
      </c>
      <c r="H77" s="280" t="s">
        <v>294</v>
      </c>
      <c r="I77" s="778" t="e">
        <f ca="1">ROUND(I78,2)/ORÇAMENTO!$X$15</f>
        <v>#DIV/0!</v>
      </c>
      <c r="J77" s="778"/>
      <c r="K77" s="770" t="e">
        <f ca="1">ROUND(K78,2)/ORÇAMENTO!$X$15</f>
        <v>#DIV/0!</v>
      </c>
      <c r="L77" s="770"/>
      <c r="M77" s="771" t="e">
        <f ca="1">ROUND(M78,2)/ORÇAMENTO!$X$15</f>
        <v>#DIV/0!</v>
      </c>
      <c r="N77" s="771"/>
      <c r="O77" s="770" t="e">
        <f ca="1">ROUND(O78,2)/ORÇAMENTO!$X$15</f>
        <v>#DIV/0!</v>
      </c>
      <c r="P77" s="770"/>
      <c r="Q77" s="771" t="e">
        <f ca="1">ROUND(Q78,2)/ORÇAMENTO!$X$15</f>
        <v>#DIV/0!</v>
      </c>
      <c r="R77" s="771"/>
      <c r="S77" s="770" t="e">
        <f ca="1">ROUND(S78,2)/ORÇAMENTO!$X$15</f>
        <v>#DIV/0!</v>
      </c>
      <c r="T77" s="770"/>
      <c r="U77" s="771" t="e">
        <f ca="1">ROUND(U78,2)/ORÇAMENTO!$X$15</f>
        <v>#DIV/0!</v>
      </c>
      <c r="V77" s="771"/>
      <c r="W77" s="770" t="e">
        <f ca="1">ROUND(W78,2)/ORÇAMENTO!$X$15</f>
        <v>#DIV/0!</v>
      </c>
      <c r="X77" s="770"/>
      <c r="Y77" s="771" t="e">
        <f ca="1">ROUND(Y78,2)/ORÇAMENTO!$X$15</f>
        <v>#DIV/0!</v>
      </c>
      <c r="Z77" s="771"/>
      <c r="AA77" s="770" t="e">
        <f ca="1">ROUND(AA78,2)/ORÇAMENTO!$X$15</f>
        <v>#DIV/0!</v>
      </c>
      <c r="AB77" s="770"/>
      <c r="AC77" s="771" t="e">
        <f ca="1">ROUND(AC78,2)/ORÇAMENTO!$X$15</f>
        <v>#DIV/0!</v>
      </c>
      <c r="AD77" s="771"/>
      <c r="AE77" s="770" t="e">
        <f ca="1">ROUND(AE78,2)/ORÇAMENTO!$X$15</f>
        <v>#DIV/0!</v>
      </c>
      <c r="AF77" s="770"/>
    </row>
    <row r="78" spans="1:32" x14ac:dyDescent="0.2">
      <c r="A78" s="7" t="s">
        <v>244</v>
      </c>
      <c r="D78" s="776"/>
      <c r="H78" s="12" t="s">
        <v>295</v>
      </c>
      <c r="I78" s="777">
        <f ca="1">SUMIF(CÁLCULO!$AX$15:$BH$89,"&lt;="&amp;PLE!I74,CÁLCULO!$AB$15:$AL$89)*IF(AdmLocal="Automática",(1+CÁLCULO.TotalAdmLocal/(ORÇAMENTO!$X$15-CÁLCULO.TotalAdmLocal)),1)</f>
        <v>0</v>
      </c>
      <c r="J78" s="777"/>
      <c r="K78" s="767">
        <f ca="1">SUMIF(CÁLCULO!$AX$15:$BH$89,"&lt;="&amp;PLE!K74,CÁLCULO!$AB$15:$AL$89)*IF(AdmLocal="Automática",(1+CÁLCULO.TotalAdmLocal/(ORÇAMENTO!$X$15-CÁLCULO.TotalAdmLocal)),1)</f>
        <v>0</v>
      </c>
      <c r="L78" s="767"/>
      <c r="M78" s="769">
        <f ca="1">SUMIF(CÁLCULO!$AX$15:$BH$89,"&lt;="&amp;PLE!M74,CÁLCULO!$AB$15:$AL$89)*IF(AdmLocal="Automática",(1+CÁLCULO.TotalAdmLocal/(ORÇAMENTO!$X$15-CÁLCULO.TotalAdmLocal)),1)</f>
        <v>0</v>
      </c>
      <c r="N78" s="769"/>
      <c r="O78" s="767">
        <f ca="1">SUMIF(CÁLCULO!$AX$15:$BH$89,"&lt;="&amp;PLE!O74,CÁLCULO!$AB$15:$AL$89)*IF(AdmLocal="Automática",(1+CÁLCULO.TotalAdmLocal/(ORÇAMENTO!$X$15-CÁLCULO.TotalAdmLocal)),1)</f>
        <v>0</v>
      </c>
      <c r="P78" s="767"/>
      <c r="Q78" s="769">
        <f ca="1">SUMIF(CÁLCULO!$AX$15:$BH$89,"&lt;="&amp;PLE!Q74,CÁLCULO!$AB$15:$AL$89)*IF(AdmLocal="Automática",(1+CÁLCULO.TotalAdmLocal/(ORÇAMENTO!$X$15-CÁLCULO.TotalAdmLocal)),1)</f>
        <v>0</v>
      </c>
      <c r="R78" s="769"/>
      <c r="S78" s="767">
        <f ca="1">SUMIF(CÁLCULO!$AX$15:$BH$89,"&lt;="&amp;PLE!S74,CÁLCULO!$AB$15:$AL$89)*IF(AdmLocal="Automática",(1+CÁLCULO.TotalAdmLocal/(ORÇAMENTO!$X$15-CÁLCULO.TotalAdmLocal)),1)</f>
        <v>0</v>
      </c>
      <c r="T78" s="767"/>
      <c r="U78" s="769">
        <f ca="1">SUMIF(CÁLCULO!$AX$15:$BH$89,"&lt;="&amp;PLE!U74,CÁLCULO!$AB$15:$AL$89)*IF(AdmLocal="Automática",(1+CÁLCULO.TotalAdmLocal/(ORÇAMENTO!$X$15-CÁLCULO.TotalAdmLocal)),1)</f>
        <v>0</v>
      </c>
      <c r="V78" s="769"/>
      <c r="W78" s="767">
        <f ca="1">SUMIF(CÁLCULO!$AX$15:$BH$89,"&lt;="&amp;PLE!W74,CÁLCULO!$AB$15:$AL$89)*IF(AdmLocal="Automática",(1+CÁLCULO.TotalAdmLocal/(ORÇAMENTO!$X$15-CÁLCULO.TotalAdmLocal)),1)</f>
        <v>0</v>
      </c>
      <c r="X78" s="767"/>
      <c r="Y78" s="769">
        <f ca="1">SUMIF(CÁLCULO!$AX$15:$BH$89,"&lt;="&amp;PLE!Y74,CÁLCULO!$AB$15:$AL$89)*IF(AdmLocal="Automática",(1+CÁLCULO.TotalAdmLocal/(ORÇAMENTO!$X$15-CÁLCULO.TotalAdmLocal)),1)</f>
        <v>0</v>
      </c>
      <c r="Z78" s="769"/>
      <c r="AA78" s="767">
        <f ca="1">SUMIF(CÁLCULO!$AX$15:$BH$89,"&lt;="&amp;PLE!AA74,CÁLCULO!$AB$15:$AL$89)*IF(AdmLocal="Automática",(1+CÁLCULO.TotalAdmLocal/(ORÇAMENTO!$X$15-CÁLCULO.TotalAdmLocal)),1)</f>
        <v>0</v>
      </c>
      <c r="AB78" s="767"/>
      <c r="AC78" s="769">
        <f ca="1">SUMIF(CÁLCULO!$AX$15:$BH$89,"&lt;="&amp;PLE!AC74,CÁLCULO!$AB$15:$AL$89)*IF(AdmLocal="Automática",(1+CÁLCULO.TotalAdmLocal/(ORÇAMENTO!$X$15-CÁLCULO.TotalAdmLocal)),1)</f>
        <v>0</v>
      </c>
      <c r="AD78" s="769"/>
      <c r="AE78" s="767">
        <f ca="1">SUMIF(CÁLCULO!$AX$15:$BH$89,"&lt;="&amp;PLE!AE74,CÁLCULO!$AB$15:$AL$89)*IF(AdmLocal="Automática",(1+CÁLCULO.TotalAdmLocal/(ORÇAMENTO!$X$15-CÁLCULO.TotalAdmLocal)),1)</f>
        <v>0</v>
      </c>
      <c r="AF78" s="767"/>
    </row>
    <row r="79" spans="1:32" ht="12.75" customHeight="1" x14ac:dyDescent="0.2">
      <c r="A79" s="7"/>
      <c r="D79" s="606" t="s">
        <v>911</v>
      </c>
      <c r="H79" s="605" t="s">
        <v>294</v>
      </c>
      <c r="I79" s="727" t="e">
        <f ca="1">IF(OR(ACOMPANHAMENTO&lt;&gt;"PLE",I74&gt;PLE.Medicao),0,
   IF(AUTOEVENTO="Manual",
      IF(AdmLocal="Automática",I77,
         IF(Import.EventoAdmLocal="","",SUMIF(OFFSET($G$14,CRONOPLE!$A$8+1,1,1,OFFSET($AG$12,0,-1)),"&lt;="&amp;I74,OFFSET(EVENTOS!$G$14,CRONOPLE!$A$8+1,1,1,OFFSET($AG$12,0,-1)))/OFFSET(EVENTOS!$G$14,CRONOPLE!$A$8+1,-1))),
      IF(Import.EventoAdmLocal="","",SUMIF(OFFSET(CÁLCULO!$AW$15,CRONOPLE!$A$10,1,OFFSET(ORÇAMENTO!$D$15,CRONOPLE!$A$10,0),COLUMN(CÁLCULO!$BH$15)-COLUMN(CÁLCULO!$AW$15)-1),"&lt;="&amp;I74,OFFSET(CÁLCULO!$AA$15,CRONOPLE!$A$10,1,OFFSET(ORÇAMENTO!$D$15,CRONOPLE!$A$10,0),COLUMN(CÁLCULO!$AL$15)-COLUMN(CÁLCULO!$AA$15)-1))/OFFSET(ORÇAMENTO!$X$15,CRONOPLE!$A$10,0))))</f>
        <v>#DIV/0!</v>
      </c>
      <c r="J79" s="727"/>
      <c r="K79" s="727">
        <f ca="1">IF(OR(ACOMPANHAMENTO&lt;&gt;"PLE",K74&gt;PLE.Medicao),0,
   IF(AUTOEVENTO="Manual",
      IF(AdmLocal="Automática",K77,
         IF(Import.EventoAdmLocal="","",SUMIF(OFFSET($G$14,CRONOPLE!$A$8+1,1,1,OFFSET($AG$12,0,-1)),"&lt;="&amp;K74,OFFSET(EVENTOS!$G$14,CRONOPLE!$A$8+1,1,1,OFFSET($AG$12,0,-1)))/OFFSET(EVENTOS!$G$14,CRONOPLE!$A$8+1,-1))),
      IF(Import.EventoAdmLocal="","",SUMIF(OFFSET(CÁLCULO!$AW$15,CRONOPLE!$A$10,1,OFFSET(ORÇAMENTO!$D$15,CRONOPLE!$A$10,0),COLUMN(CÁLCULO!$BH$15)-COLUMN(CÁLCULO!$AW$15)-1),"&lt;="&amp;K74,OFFSET(CÁLCULO!$AA$15,CRONOPLE!$A$10,1,OFFSET(ORÇAMENTO!$D$15,CRONOPLE!$A$10,0),COLUMN(CÁLCULO!$AL$15)-COLUMN(CÁLCULO!$AA$15)-1))/OFFSET(ORÇAMENTO!$X$15,CRONOPLE!$A$10,0))))</f>
        <v>0</v>
      </c>
      <c r="L79" s="727"/>
      <c r="M79" s="727">
        <f ca="1">IF(OR(ACOMPANHAMENTO&lt;&gt;"PLE",M74&gt;PLE.Medicao),0,
   IF(AUTOEVENTO="Manual",
      IF(AdmLocal="Automática",M77,
         IF(Import.EventoAdmLocal="","",SUMIF(OFFSET($G$14,CRONOPLE!$A$8+1,1,1,OFFSET($AG$12,0,-1)),"&lt;="&amp;M74,OFFSET(EVENTOS!$G$14,CRONOPLE!$A$8+1,1,1,OFFSET($AG$12,0,-1)))/OFFSET(EVENTOS!$G$14,CRONOPLE!$A$8+1,-1))),
      IF(Import.EventoAdmLocal="","",SUMIF(OFFSET(CÁLCULO!$AW$15,CRONOPLE!$A$10,1,OFFSET(ORÇAMENTO!$D$15,CRONOPLE!$A$10,0),COLUMN(CÁLCULO!$BH$15)-COLUMN(CÁLCULO!$AW$15)-1),"&lt;="&amp;M74,OFFSET(CÁLCULO!$AA$15,CRONOPLE!$A$10,1,OFFSET(ORÇAMENTO!$D$15,CRONOPLE!$A$10,0),COLUMN(CÁLCULO!$AL$15)-COLUMN(CÁLCULO!$AA$15)-1))/OFFSET(ORÇAMENTO!$X$15,CRONOPLE!$A$10,0))))</f>
        <v>0</v>
      </c>
      <c r="N79" s="727"/>
      <c r="O79" s="727">
        <f ca="1">IF(OR(ACOMPANHAMENTO&lt;&gt;"PLE",O74&gt;PLE.Medicao),0,
   IF(AUTOEVENTO="Manual",
      IF(AdmLocal="Automática",O77,
         IF(Import.EventoAdmLocal="","",SUMIF(OFFSET($G$14,CRONOPLE!$A$8+1,1,1,OFFSET($AG$12,0,-1)),"&lt;="&amp;O74,OFFSET(EVENTOS!$G$14,CRONOPLE!$A$8+1,1,1,OFFSET($AG$12,0,-1)))/OFFSET(EVENTOS!$G$14,CRONOPLE!$A$8+1,-1))),
      IF(Import.EventoAdmLocal="","",SUMIF(OFFSET(CÁLCULO!$AW$15,CRONOPLE!$A$10,1,OFFSET(ORÇAMENTO!$D$15,CRONOPLE!$A$10,0),COLUMN(CÁLCULO!$BH$15)-COLUMN(CÁLCULO!$AW$15)-1),"&lt;="&amp;O74,OFFSET(CÁLCULO!$AA$15,CRONOPLE!$A$10,1,OFFSET(ORÇAMENTO!$D$15,CRONOPLE!$A$10,0),COLUMN(CÁLCULO!$AL$15)-COLUMN(CÁLCULO!$AA$15)-1))/OFFSET(ORÇAMENTO!$X$15,CRONOPLE!$A$10,0))))</f>
        <v>0</v>
      </c>
      <c r="P79" s="727"/>
      <c r="Q79" s="727">
        <f ca="1">IF(OR(ACOMPANHAMENTO&lt;&gt;"PLE",Q74&gt;PLE.Medicao),0,
   IF(AUTOEVENTO="Manual",
      IF(AdmLocal="Automática",Q77,
         IF(Import.EventoAdmLocal="","",SUMIF(OFFSET($G$14,CRONOPLE!$A$8+1,1,1,OFFSET($AG$12,0,-1)),"&lt;="&amp;Q74,OFFSET(EVENTOS!$G$14,CRONOPLE!$A$8+1,1,1,OFFSET($AG$12,0,-1)))/OFFSET(EVENTOS!$G$14,CRONOPLE!$A$8+1,-1))),
      IF(Import.EventoAdmLocal="","",SUMIF(OFFSET(CÁLCULO!$AW$15,CRONOPLE!$A$10,1,OFFSET(ORÇAMENTO!$D$15,CRONOPLE!$A$10,0),COLUMN(CÁLCULO!$BH$15)-COLUMN(CÁLCULO!$AW$15)-1),"&lt;="&amp;Q74,OFFSET(CÁLCULO!$AA$15,CRONOPLE!$A$10,1,OFFSET(ORÇAMENTO!$D$15,CRONOPLE!$A$10,0),COLUMN(CÁLCULO!$AL$15)-COLUMN(CÁLCULO!$AA$15)-1))/OFFSET(ORÇAMENTO!$X$15,CRONOPLE!$A$10,0))))</f>
        <v>0</v>
      </c>
      <c r="R79" s="727"/>
      <c r="S79" s="727">
        <f ca="1">IF(OR(ACOMPANHAMENTO&lt;&gt;"PLE",S74&gt;PLE.Medicao),0,
   IF(AUTOEVENTO="Manual",
      IF(AdmLocal="Automática",S77,
         IF(Import.EventoAdmLocal="","",SUMIF(OFFSET($G$14,CRONOPLE!$A$8+1,1,1,OFFSET($AG$12,0,-1)),"&lt;="&amp;S74,OFFSET(EVENTOS!$G$14,CRONOPLE!$A$8+1,1,1,OFFSET($AG$12,0,-1)))/OFFSET(EVENTOS!$G$14,CRONOPLE!$A$8+1,-1))),
      IF(Import.EventoAdmLocal="","",SUMIF(OFFSET(CÁLCULO!$AW$15,CRONOPLE!$A$10,1,OFFSET(ORÇAMENTO!$D$15,CRONOPLE!$A$10,0),COLUMN(CÁLCULO!$BH$15)-COLUMN(CÁLCULO!$AW$15)-1),"&lt;="&amp;S74,OFFSET(CÁLCULO!$AA$15,CRONOPLE!$A$10,1,OFFSET(ORÇAMENTO!$D$15,CRONOPLE!$A$10,0),COLUMN(CÁLCULO!$AL$15)-COLUMN(CÁLCULO!$AA$15)-1))/OFFSET(ORÇAMENTO!$X$15,CRONOPLE!$A$10,0))))</f>
        <v>0</v>
      </c>
      <c r="T79" s="727"/>
      <c r="U79" s="727">
        <f ca="1">IF(OR(ACOMPANHAMENTO&lt;&gt;"PLE",U74&gt;PLE.Medicao),0,
   IF(AUTOEVENTO="Manual",
      IF(AdmLocal="Automática",U77,
         IF(Import.EventoAdmLocal="","",SUMIF(OFFSET($G$14,CRONOPLE!$A$8+1,1,1,OFFSET($AG$12,0,-1)),"&lt;="&amp;U74,OFFSET(EVENTOS!$G$14,CRONOPLE!$A$8+1,1,1,OFFSET($AG$12,0,-1)))/OFFSET(EVENTOS!$G$14,CRONOPLE!$A$8+1,-1))),
      IF(Import.EventoAdmLocal="","",SUMIF(OFFSET(CÁLCULO!$AW$15,CRONOPLE!$A$10,1,OFFSET(ORÇAMENTO!$D$15,CRONOPLE!$A$10,0),COLUMN(CÁLCULO!$BH$15)-COLUMN(CÁLCULO!$AW$15)-1),"&lt;="&amp;U74,OFFSET(CÁLCULO!$AA$15,CRONOPLE!$A$10,1,OFFSET(ORÇAMENTO!$D$15,CRONOPLE!$A$10,0),COLUMN(CÁLCULO!$AL$15)-COLUMN(CÁLCULO!$AA$15)-1))/OFFSET(ORÇAMENTO!$X$15,CRONOPLE!$A$10,0))))</f>
        <v>0</v>
      </c>
      <c r="V79" s="727"/>
      <c r="W79" s="727">
        <f ca="1">IF(OR(ACOMPANHAMENTO&lt;&gt;"PLE",W74&gt;PLE.Medicao),0,
   IF(AUTOEVENTO="Manual",
      IF(AdmLocal="Automática",W77,
         IF(Import.EventoAdmLocal="","",SUMIF(OFFSET($G$14,CRONOPLE!$A$8+1,1,1,OFFSET($AG$12,0,-1)),"&lt;="&amp;W74,OFFSET(EVENTOS!$G$14,CRONOPLE!$A$8+1,1,1,OFFSET($AG$12,0,-1)))/OFFSET(EVENTOS!$G$14,CRONOPLE!$A$8+1,-1))),
      IF(Import.EventoAdmLocal="","",SUMIF(OFFSET(CÁLCULO!$AW$15,CRONOPLE!$A$10,1,OFFSET(ORÇAMENTO!$D$15,CRONOPLE!$A$10,0),COLUMN(CÁLCULO!$BH$15)-COLUMN(CÁLCULO!$AW$15)-1),"&lt;="&amp;W74,OFFSET(CÁLCULO!$AA$15,CRONOPLE!$A$10,1,OFFSET(ORÇAMENTO!$D$15,CRONOPLE!$A$10,0),COLUMN(CÁLCULO!$AL$15)-COLUMN(CÁLCULO!$AA$15)-1))/OFFSET(ORÇAMENTO!$X$15,CRONOPLE!$A$10,0))))</f>
        <v>0</v>
      </c>
      <c r="X79" s="727"/>
      <c r="Y79" s="727">
        <f ca="1">IF(OR(ACOMPANHAMENTO&lt;&gt;"PLE",Y74&gt;PLE.Medicao),0,
   IF(AUTOEVENTO="Manual",
      IF(AdmLocal="Automática",Y77,
         IF(Import.EventoAdmLocal="","",SUMIF(OFFSET($G$14,CRONOPLE!$A$8+1,1,1,OFFSET($AG$12,0,-1)),"&lt;="&amp;Y74,OFFSET(EVENTOS!$G$14,CRONOPLE!$A$8+1,1,1,OFFSET($AG$12,0,-1)))/OFFSET(EVENTOS!$G$14,CRONOPLE!$A$8+1,-1))),
      IF(Import.EventoAdmLocal="","",SUMIF(OFFSET(CÁLCULO!$AW$15,CRONOPLE!$A$10,1,OFFSET(ORÇAMENTO!$D$15,CRONOPLE!$A$10,0),COLUMN(CÁLCULO!$BH$15)-COLUMN(CÁLCULO!$AW$15)-1),"&lt;="&amp;Y74,OFFSET(CÁLCULO!$AA$15,CRONOPLE!$A$10,1,OFFSET(ORÇAMENTO!$D$15,CRONOPLE!$A$10,0),COLUMN(CÁLCULO!$AL$15)-COLUMN(CÁLCULO!$AA$15)-1))/OFFSET(ORÇAMENTO!$X$15,CRONOPLE!$A$10,0))))</f>
        <v>0</v>
      </c>
      <c r="Z79" s="727"/>
      <c r="AA79" s="727">
        <f ca="1">IF(OR(ACOMPANHAMENTO&lt;&gt;"PLE",AA74&gt;PLE.Medicao),0,
   IF(AUTOEVENTO="Manual",
      IF(AdmLocal="Automática",AA77,
         IF(Import.EventoAdmLocal="","",SUMIF(OFFSET($G$14,CRONOPLE!$A$8+1,1,1,OFFSET($AG$12,0,-1)),"&lt;="&amp;AA74,OFFSET(EVENTOS!$G$14,CRONOPLE!$A$8+1,1,1,OFFSET($AG$12,0,-1)))/OFFSET(EVENTOS!$G$14,CRONOPLE!$A$8+1,-1))),
      IF(Import.EventoAdmLocal="","",SUMIF(OFFSET(CÁLCULO!$AW$15,CRONOPLE!$A$10,1,OFFSET(ORÇAMENTO!$D$15,CRONOPLE!$A$10,0),COLUMN(CÁLCULO!$BH$15)-COLUMN(CÁLCULO!$AW$15)-1),"&lt;="&amp;AA74,OFFSET(CÁLCULO!$AA$15,CRONOPLE!$A$10,1,OFFSET(ORÇAMENTO!$D$15,CRONOPLE!$A$10,0),COLUMN(CÁLCULO!$AL$15)-COLUMN(CÁLCULO!$AA$15)-1))/OFFSET(ORÇAMENTO!$X$15,CRONOPLE!$A$10,0))))</f>
        <v>0</v>
      </c>
      <c r="AB79" s="727"/>
      <c r="AC79" s="727">
        <f ca="1">IF(OR(ACOMPANHAMENTO&lt;&gt;"PLE",AC74&gt;PLE.Medicao),0,
   IF(AUTOEVENTO="Manual",
      IF(AdmLocal="Automática",AC77,
         IF(Import.EventoAdmLocal="","",SUMIF(OFFSET($G$14,CRONOPLE!$A$8+1,1,1,OFFSET($AG$12,0,-1)),"&lt;="&amp;AC74,OFFSET(EVENTOS!$G$14,CRONOPLE!$A$8+1,1,1,OFFSET($AG$12,0,-1)))/OFFSET(EVENTOS!$G$14,CRONOPLE!$A$8+1,-1))),
      IF(Import.EventoAdmLocal="","",SUMIF(OFFSET(CÁLCULO!$AW$15,CRONOPLE!$A$10,1,OFFSET(ORÇAMENTO!$D$15,CRONOPLE!$A$10,0),COLUMN(CÁLCULO!$BH$15)-COLUMN(CÁLCULO!$AW$15)-1),"&lt;="&amp;AC74,OFFSET(CÁLCULO!$AA$15,CRONOPLE!$A$10,1,OFFSET(ORÇAMENTO!$D$15,CRONOPLE!$A$10,0),COLUMN(CÁLCULO!$AL$15)-COLUMN(CÁLCULO!$AA$15)-1))/OFFSET(ORÇAMENTO!$X$15,CRONOPLE!$A$10,0))))</f>
        <v>0</v>
      </c>
      <c r="AD79" s="727"/>
      <c r="AE79" s="727">
        <f ca="1">IF(OR(ACOMPANHAMENTO&lt;&gt;"PLE",AE74&gt;PLE.Medicao),0,
   IF(AUTOEVENTO="Manual",
      IF(AdmLocal="Automática",AE77,
         IF(Import.EventoAdmLocal="","",SUMIF(OFFSET($G$14,CRONOPLE!$A$8+1,1,1,OFFSET($AG$12,0,-1)),"&lt;="&amp;AE74,OFFSET(EVENTOS!$G$14,CRONOPLE!$A$8+1,1,1,OFFSET($AG$12,0,-1)))/OFFSET(EVENTOS!$G$14,CRONOPLE!$A$8+1,-1))),
      IF(Import.EventoAdmLocal="","",SUMIF(OFFSET(CÁLCULO!$AW$15,CRONOPLE!$A$10,1,OFFSET(ORÇAMENTO!$D$15,CRONOPLE!$A$10,0),COLUMN(CÁLCULO!$BH$15)-COLUMN(CÁLCULO!$AW$15)-1),"&lt;="&amp;AE74,OFFSET(CÁLCULO!$AA$15,CRONOPLE!$A$10,1,OFFSET(ORÇAMENTO!$D$15,CRONOPLE!$A$10,0),COLUMN(CÁLCULO!$AL$15)-COLUMN(CÁLCULO!$AA$15)-1))/OFFSET(ORÇAMENTO!$X$15,CRONOPLE!$A$10,0))))</f>
        <v>0</v>
      </c>
      <c r="AF79" s="727"/>
    </row>
    <row r="80" spans="1:32" ht="13.5" x14ac:dyDescent="0.25">
      <c r="A80" s="7" t="s">
        <v>244</v>
      </c>
      <c r="D80" s="566"/>
      <c r="H80" s="642" t="str">
        <f ca="1">IF(COUNTIF(I80:AG80,"%Adm&gt;%Global")&gt;0,"Verificar proporcionalidade da Administração Local","")</f>
        <v/>
      </c>
      <c r="I80" s="578" t="e">
        <f ca="1">IF(I79="","",IF(ROUND(I79,4)&gt;ROUND(I77,4),"%Adm&gt;%Global",""))</f>
        <v>#DIV/0!</v>
      </c>
      <c r="J80" s="567"/>
      <c r="K80" s="578" t="e">
        <f t="shared" ref="K80" ca="1" si="2">IF(K79="","",IF(ROUND(K79,4)&gt;ROUND(K77,4),"%Adm&gt;%Global",""))</f>
        <v>#DIV/0!</v>
      </c>
      <c r="L80" s="567"/>
      <c r="M80" s="578" t="e">
        <f t="shared" ref="M80" ca="1" si="3">IF(M79="","",IF(ROUND(M79,4)&gt;ROUND(M77,4),"%Adm&gt;%Global",""))</f>
        <v>#DIV/0!</v>
      </c>
      <c r="N80" s="567"/>
      <c r="O80" s="578" t="e">
        <f t="shared" ref="O80" ca="1" si="4">IF(O79="","",IF(ROUND(O79,4)&gt;ROUND(O77,4),"%Adm&gt;%Global",""))</f>
        <v>#DIV/0!</v>
      </c>
      <c r="P80" s="567"/>
      <c r="Q80" s="578" t="e">
        <f t="shared" ref="Q80" ca="1" si="5">IF(Q79="","",IF(ROUND(Q79,4)&gt;ROUND(Q77,4),"%Adm&gt;%Global",""))</f>
        <v>#DIV/0!</v>
      </c>
      <c r="R80" s="567"/>
      <c r="S80" s="578" t="e">
        <f t="shared" ref="S80" ca="1" si="6">IF(S79="","",IF(ROUND(S79,4)&gt;ROUND(S77,4),"%Adm&gt;%Global",""))</f>
        <v>#DIV/0!</v>
      </c>
      <c r="T80" s="567"/>
      <c r="U80" s="578" t="e">
        <f t="shared" ref="U80" ca="1" si="7">IF(U79="","",IF(ROUND(U79,4)&gt;ROUND(U77,4),"%Adm&gt;%Global",""))</f>
        <v>#DIV/0!</v>
      </c>
      <c r="V80" s="567"/>
      <c r="W80" s="578" t="e">
        <f t="shared" ref="W80" ca="1" si="8">IF(W79="","",IF(ROUND(W79,4)&gt;ROUND(W77,4),"%Adm&gt;%Global",""))</f>
        <v>#DIV/0!</v>
      </c>
      <c r="X80" s="567"/>
      <c r="Y80" s="578" t="e">
        <f t="shared" ref="Y80" ca="1" si="9">IF(Y79="","",IF(ROUND(Y79,4)&gt;ROUND(Y77,4),"%Adm&gt;%Global",""))</f>
        <v>#DIV/0!</v>
      </c>
      <c r="Z80" s="567"/>
      <c r="AA80" s="578" t="e">
        <f t="shared" ref="AA80" ca="1" si="10">IF(AA79="","",IF(ROUND(AA79,4)&gt;ROUND(AA77,4),"%Adm&gt;%Global",""))</f>
        <v>#DIV/0!</v>
      </c>
      <c r="AB80" s="567"/>
      <c r="AC80" s="578" t="e">
        <f t="shared" ref="AC80" ca="1" si="11">IF(AC79="","",IF(ROUND(AC79,4)&gt;ROUND(AC77,4),"%Adm&gt;%Global",""))</f>
        <v>#DIV/0!</v>
      </c>
      <c r="AD80" s="567"/>
      <c r="AE80" s="578" t="e">
        <f t="shared" ref="AE80" ca="1" si="12">IF(AE79="","",IF(ROUND(AE79,4)&gt;ROUND(AE77,4),"%Adm&gt;%Global",""))</f>
        <v>#DIV/0!</v>
      </c>
      <c r="AF80" s="567"/>
    </row>
    <row r="81" spans="1:30" ht="20.25" customHeight="1" x14ac:dyDescent="0.2">
      <c r="A81" s="7" t="s">
        <v>244</v>
      </c>
      <c r="I81" s="779"/>
      <c r="J81" s="779"/>
    </row>
    <row r="82" spans="1:30" ht="15" x14ac:dyDescent="0.25">
      <c r="A82" s="7" t="s">
        <v>244</v>
      </c>
      <c r="B82" s="676" t="str">
        <f>Import.Município</f>
        <v>SARANDI/RS</v>
      </c>
      <c r="C82" s="676"/>
      <c r="D82" s="676"/>
      <c r="S82" s="616" t="str">
        <f ca="1">IF(DADOS!$D$50&lt;&gt;"","Preencher os Dados do Responsável pela Fiscalização, na aba DADOS.","")</f>
        <v/>
      </c>
      <c r="U82" s="145"/>
      <c r="V82" s="145"/>
      <c r="W82" s="145"/>
      <c r="X82" s="145"/>
      <c r="Y82" s="189"/>
      <c r="Z82" s="189"/>
      <c r="AA82" s="189"/>
      <c r="AB82" s="189"/>
      <c r="AC82" s="189"/>
      <c r="AD82" s="189"/>
    </row>
    <row r="83" spans="1:30" x14ac:dyDescent="0.2">
      <c r="A83" s="7" t="s">
        <v>244</v>
      </c>
      <c r="B83" s="10" t="s">
        <v>186</v>
      </c>
      <c r="U83" s="190" t="s">
        <v>296</v>
      </c>
    </row>
    <row r="84" spans="1:30" x14ac:dyDescent="0.2">
      <c r="A84" s="7" t="s">
        <v>244</v>
      </c>
      <c r="I84" s="80"/>
      <c r="U84" s="78" t="s">
        <v>108</v>
      </c>
      <c r="W84" s="281">
        <f t="array" ref="W84:W87">Import.RespFiscalização</f>
        <v>0</v>
      </c>
    </row>
    <row r="85" spans="1:30" x14ac:dyDescent="0.2">
      <c r="A85" s="7" t="s">
        <v>244</v>
      </c>
      <c r="B85" s="671">
        <f>DADOS!$C$48</f>
        <v>0</v>
      </c>
      <c r="C85" s="671"/>
      <c r="D85" s="671"/>
      <c r="I85" s="80"/>
      <c r="U85" s="78" t="s">
        <v>127</v>
      </c>
      <c r="W85" s="281">
        <v>0</v>
      </c>
    </row>
    <row r="86" spans="1:30" x14ac:dyDescent="0.2">
      <c r="A86" s="7" t="s">
        <v>244</v>
      </c>
      <c r="B86" s="146" t="s">
        <v>187</v>
      </c>
      <c r="C86" s="1"/>
      <c r="D86" s="1"/>
      <c r="I86" s="80"/>
      <c r="U86" s="78" t="s">
        <v>109</v>
      </c>
      <c r="W86" s="281">
        <v>0</v>
      </c>
    </row>
    <row r="87" spans="1:30" x14ac:dyDescent="0.2">
      <c r="U87" s="78" t="s">
        <v>110</v>
      </c>
      <c r="W87" s="13">
        <v>0</v>
      </c>
    </row>
  </sheetData>
  <sheetProtection algorithmName="SHA-512" hashValue="uO0zAJijST1/y3JcgYaWWRhRRRaEr6ZwEaPD5T1u7kblvKD/vCk5lXbcKrT7I+RzK7qFaJJD5ZrJbi5Sd3Vclw==" saltValue="z1sUjMPUsRzWyMXtgb2W+Q==" spinCount="100000" sheet="1" objects="1" scenarios="1" autoFilter="0"/>
  <autoFilter ref="A13:A86" xr:uid="{00000000-0009-0000-0000-000009000000}"/>
  <mergeCells count="161">
    <mergeCell ref="C68:D68"/>
    <mergeCell ref="C69:D69"/>
    <mergeCell ref="C58:D58"/>
    <mergeCell ref="C60:D60"/>
    <mergeCell ref="C61:D61"/>
    <mergeCell ref="C62:D62"/>
    <mergeCell ref="C63:D63"/>
    <mergeCell ref="C64:D64"/>
    <mergeCell ref="C65:D65"/>
    <mergeCell ref="C66:D66"/>
    <mergeCell ref="C67:D67"/>
    <mergeCell ref="C45:D45"/>
    <mergeCell ref="C46:D46"/>
    <mergeCell ref="C47:D47"/>
    <mergeCell ref="C48:D48"/>
    <mergeCell ref="C49:D49"/>
    <mergeCell ref="C54:D54"/>
    <mergeCell ref="C55:D55"/>
    <mergeCell ref="C56:D56"/>
    <mergeCell ref="C57:D57"/>
    <mergeCell ref="C16:D16"/>
    <mergeCell ref="C23:D23"/>
    <mergeCell ref="C24:D24"/>
    <mergeCell ref="C25:D25"/>
    <mergeCell ref="C29:D29"/>
    <mergeCell ref="C26:D26"/>
    <mergeCell ref="C27:D27"/>
    <mergeCell ref="Q73:R73"/>
    <mergeCell ref="I72:AF72"/>
    <mergeCell ref="O73:P73"/>
    <mergeCell ref="I73:J73"/>
    <mergeCell ref="M73:N73"/>
    <mergeCell ref="S73:T73"/>
    <mergeCell ref="AE73:AF73"/>
    <mergeCell ref="Y73:Z73"/>
    <mergeCell ref="C35:D35"/>
    <mergeCell ref="C36:D36"/>
    <mergeCell ref="C37:D37"/>
    <mergeCell ref="C38:D38"/>
    <mergeCell ref="C39:D39"/>
    <mergeCell ref="C40:D40"/>
    <mergeCell ref="C41:D41"/>
    <mergeCell ref="C42:D42"/>
    <mergeCell ref="C44:D44"/>
    <mergeCell ref="O79:P79"/>
    <mergeCell ref="Q79:R79"/>
    <mergeCell ref="O78:P78"/>
    <mergeCell ref="O77:P77"/>
    <mergeCell ref="AC79:AD79"/>
    <mergeCell ref="AE79:AF79"/>
    <mergeCell ref="S79:T79"/>
    <mergeCell ref="U79:V79"/>
    <mergeCell ref="W79:X79"/>
    <mergeCell ref="Y79:Z79"/>
    <mergeCell ref="AA79:AB79"/>
    <mergeCell ref="W77:X77"/>
    <mergeCell ref="S77:T77"/>
    <mergeCell ref="AC78:AD78"/>
    <mergeCell ref="AA77:AB77"/>
    <mergeCell ref="AE78:AF78"/>
    <mergeCell ref="Q78:R78"/>
    <mergeCell ref="Y78:Z78"/>
    <mergeCell ref="AA78:AB78"/>
    <mergeCell ref="S78:T78"/>
    <mergeCell ref="C15:D15"/>
    <mergeCell ref="B12:B13"/>
    <mergeCell ref="C22:D22"/>
    <mergeCell ref="D75:D76"/>
    <mergeCell ref="K74:L74"/>
    <mergeCell ref="K73:L73"/>
    <mergeCell ref="O76:P76"/>
    <mergeCell ref="M76:N76"/>
    <mergeCell ref="K76:L76"/>
    <mergeCell ref="I76:J76"/>
    <mergeCell ref="C50:D50"/>
    <mergeCell ref="C51:D51"/>
    <mergeCell ref="C52:D52"/>
    <mergeCell ref="C43:D43"/>
    <mergeCell ref="C30:D30"/>
    <mergeCell ref="C31:D31"/>
    <mergeCell ref="C32:D32"/>
    <mergeCell ref="C33:D33"/>
    <mergeCell ref="C34:D34"/>
    <mergeCell ref="C53:D53"/>
    <mergeCell ref="C59:D59"/>
    <mergeCell ref="I74:J74"/>
    <mergeCell ref="I75:J75"/>
    <mergeCell ref="M74:N74"/>
    <mergeCell ref="W74:X74"/>
    <mergeCell ref="AE74:AF74"/>
    <mergeCell ref="S75:T75"/>
    <mergeCell ref="U74:V74"/>
    <mergeCell ref="Q74:R74"/>
    <mergeCell ref="AA75:AB75"/>
    <mergeCell ref="AC74:AD74"/>
    <mergeCell ref="AA74:AB74"/>
    <mergeCell ref="S74:T74"/>
    <mergeCell ref="Y75:Z75"/>
    <mergeCell ref="AE75:AF75"/>
    <mergeCell ref="W75:X75"/>
    <mergeCell ref="B7:C7"/>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B85:D85"/>
    <mergeCell ref="B82:D82"/>
    <mergeCell ref="D77:D78"/>
    <mergeCell ref="M77:N77"/>
    <mergeCell ref="M78:N78"/>
    <mergeCell ref="I78:J78"/>
    <mergeCell ref="K78:L78"/>
    <mergeCell ref="K77:L77"/>
    <mergeCell ref="I77:J77"/>
    <mergeCell ref="I81:J81"/>
    <mergeCell ref="I79:J79"/>
    <mergeCell ref="K79:L79"/>
    <mergeCell ref="M79:N79"/>
    <mergeCell ref="Y76:Z76"/>
    <mergeCell ref="U76:V76"/>
    <mergeCell ref="W78:X78"/>
    <mergeCell ref="U78:V78"/>
    <mergeCell ref="U77:V77"/>
    <mergeCell ref="Y77:Z77"/>
    <mergeCell ref="AC76:AD76"/>
    <mergeCell ref="AC77:AD77"/>
    <mergeCell ref="AA76:AB76"/>
    <mergeCell ref="S76:T76"/>
    <mergeCell ref="C17:D17"/>
    <mergeCell ref="C18:D18"/>
    <mergeCell ref="C19:D19"/>
    <mergeCell ref="C20:D20"/>
    <mergeCell ref="C21:D21"/>
    <mergeCell ref="Q76:R76"/>
    <mergeCell ref="AE77:AF77"/>
    <mergeCell ref="Q77:R77"/>
    <mergeCell ref="W76:X76"/>
    <mergeCell ref="AE76:AF76"/>
    <mergeCell ref="K75:L75"/>
    <mergeCell ref="U75:V75"/>
    <mergeCell ref="C28:D28"/>
    <mergeCell ref="AC75:AD75"/>
    <mergeCell ref="Q75:R75"/>
    <mergeCell ref="U73:V73"/>
    <mergeCell ref="AC73:AD73"/>
    <mergeCell ref="W73:X73"/>
    <mergeCell ref="AA73:AB73"/>
    <mergeCell ref="O74:P74"/>
    <mergeCell ref="O75:P75"/>
    <mergeCell ref="M75:N75"/>
    <mergeCell ref="Y74:Z74"/>
  </mergeCells>
  <phoneticPr fontId="38" type="noConversion"/>
  <conditionalFormatting sqref="F1:F2">
    <cfRule type="expression" dxfId="123" priority="1675" stopIfTrue="1">
      <formula>IF(OR(ACOMPANHAMENTO="BM",F$12&gt;CÁLCULO.NúmeroDeFrentes),TRUE,PLE.ValorDoEvento=0)</formula>
    </cfRule>
    <cfRule type="cellIs" dxfId="122" priority="1676" stopIfTrue="1" operator="equal">
      <formula>$J$9</formula>
    </cfRule>
  </conditionalFormatting>
  <conditionalFormatting sqref="I75:AF75">
    <cfRule type="expression" dxfId="121" priority="1677" stopIfTrue="1">
      <formula>I74=$J$9</formula>
    </cfRule>
  </conditionalFormatting>
  <conditionalFormatting sqref="I76:AF76">
    <cfRule type="expression" dxfId="120" priority="1678" stopIfTrue="1">
      <formula>I74=$J$9</formula>
    </cfRule>
  </conditionalFormatting>
  <conditionalFormatting sqref="I77:AF77">
    <cfRule type="expression" dxfId="119" priority="1679" stopIfTrue="1">
      <formula>I74=$J$9</formula>
    </cfRule>
  </conditionalFormatting>
  <conditionalFormatting sqref="I78:AF78">
    <cfRule type="expression" dxfId="118" priority="1680" stopIfTrue="1">
      <formula>I74=$J$9</formula>
    </cfRule>
  </conditionalFormatting>
  <conditionalFormatting sqref="I74:J74">
    <cfRule type="cellIs" dxfId="117" priority="1674" stopIfTrue="1" operator="notEqual">
      <formula>1</formula>
    </cfRule>
  </conditionalFormatting>
  <conditionalFormatting sqref="H1:AF1">
    <cfRule type="expression" dxfId="116" priority="1692" stopIfTrue="1">
      <formula>IF(OR(ACOMPANHAMENTO="BM",TIPOORCAMENTO="Proposto",H$12&gt;CÁLCULO.NúmeroDeFrentes),TRUE,PLE.ValorDoEvento=0)</formula>
    </cfRule>
    <cfRule type="cellIs" dxfId="115" priority="1693" stopIfTrue="1" operator="equal">
      <formula>$J$9</formula>
    </cfRule>
  </conditionalFormatting>
  <conditionalFormatting sqref="AE6:AE7">
    <cfRule type="expression" dxfId="114" priority="1681" stopIfTrue="1">
      <formula>TIPOORCAMENTO&lt;&gt;"Licitado"</formula>
    </cfRule>
  </conditionalFormatting>
  <conditionalFormatting sqref="N9:T9">
    <cfRule type="expression" dxfId="113" priority="1682" stopIfTrue="1">
      <formula>COLUMN(N9)&gt;COLUMN($AF$12)</formula>
    </cfRule>
    <cfRule type="expression" dxfId="112" priority="1683" stopIfTrue="1">
      <formula>$N$9="DIGITE A DATA DA MEDIÇÃO"</formula>
    </cfRule>
  </conditionalFormatting>
  <conditionalFormatting sqref="I9:M9 U9:AF9">
    <cfRule type="expression" dxfId="111" priority="1684" stopIfTrue="1">
      <formula>COLUMN(I9)&gt;COLUMN($AF$12)</formula>
    </cfRule>
  </conditionalFormatting>
  <conditionalFormatting sqref="K75:AF78">
    <cfRule type="expression" dxfId="110" priority="690" stopIfTrue="1">
      <formula>I$77=100%</formula>
    </cfRule>
  </conditionalFormatting>
  <conditionalFormatting sqref="J80 L80 N80 P80 R80 T80 V80 X80 Z80 AB80 AD80 AF80">
    <cfRule type="expression" dxfId="109" priority="13401" stopIfTrue="1">
      <formula>J75=$J$9</formula>
    </cfRule>
  </conditionalFormatting>
  <conditionalFormatting sqref="K79:AF79">
    <cfRule type="expression" dxfId="108" priority="689">
      <formula>OFFSET(K79,-2,-2)=1</formula>
    </cfRule>
  </conditionalFormatting>
  <conditionalFormatting sqref="I79:AF79">
    <cfRule type="expression" dxfId="107" priority="688">
      <formula>ROUND(I79,4)&gt;ROUND(I77,4)</formula>
    </cfRule>
  </conditionalFormatting>
  <conditionalFormatting sqref="N13">
    <cfRule type="expression" dxfId="106" priority="687">
      <formula>$Y$9=0</formula>
    </cfRule>
  </conditionalFormatting>
  <conditionalFormatting sqref="F16 F22:F29">
    <cfRule type="expression" dxfId="105" priority="25" stopIfTrue="1">
      <formula>IF(OR(ACOMPANHAMENTO="BM",F$12&gt;CÁLCULO.NúmeroDeFrentes),TRUE,PLE.ValorDoEvento=0)</formula>
    </cfRule>
    <cfRule type="cellIs" dxfId="104" priority="26" stopIfTrue="1" operator="equal">
      <formula>$J$9</formula>
    </cfRule>
  </conditionalFormatting>
  <conditionalFormatting sqref="H16:AF16 H22:AF29">
    <cfRule type="expression" dxfId="103" priority="27" stopIfTrue="1">
      <formula>IF(OR(ACOMPANHAMENTO="BM",TIPOORCAMENTO="Proposto",H$12&gt;CÁLCULO.NúmeroDeFrentes),TRUE,PLE.ValorDoEvento=0)</formula>
    </cfRule>
    <cfRule type="cellIs" dxfId="102" priority="28" stopIfTrue="1" operator="equal">
      <formula>$J$9</formula>
    </cfRule>
  </conditionalFormatting>
  <conditionalFormatting sqref="F30:F38">
    <cfRule type="expression" dxfId="101" priority="21" stopIfTrue="1">
      <formula>IF(OR(ACOMPANHAMENTO="BM",F$12&gt;CÁLCULO.NúmeroDeFrentes),TRUE,PLE.ValorDoEvento=0)</formula>
    </cfRule>
    <cfRule type="cellIs" dxfId="100" priority="22" stopIfTrue="1" operator="equal">
      <formula>$J$9</formula>
    </cfRule>
  </conditionalFormatting>
  <conditionalFormatting sqref="H30:AF38">
    <cfRule type="expression" dxfId="99" priority="23" stopIfTrue="1">
      <formula>IF(OR(ACOMPANHAMENTO="BM",TIPOORCAMENTO="Proposto",H$12&gt;CÁLCULO.NúmeroDeFrentes),TRUE,PLE.ValorDoEvento=0)</formula>
    </cfRule>
    <cfRule type="cellIs" dxfId="98" priority="24" stopIfTrue="1" operator="equal">
      <formula>$J$9</formula>
    </cfRule>
  </conditionalFormatting>
  <conditionalFormatting sqref="F39:F47">
    <cfRule type="expression" dxfId="97" priority="17" stopIfTrue="1">
      <formula>IF(OR(ACOMPANHAMENTO="BM",F$12&gt;CÁLCULO.NúmeroDeFrentes),TRUE,PLE.ValorDoEvento=0)</formula>
    </cfRule>
    <cfRule type="cellIs" dxfId="96" priority="18" stopIfTrue="1" operator="equal">
      <formula>$J$9</formula>
    </cfRule>
  </conditionalFormatting>
  <conditionalFormatting sqref="H39:AF47">
    <cfRule type="expression" dxfId="95" priority="19" stopIfTrue="1">
      <formula>IF(OR(ACOMPANHAMENTO="BM",TIPOORCAMENTO="Proposto",H$12&gt;CÁLCULO.NúmeroDeFrentes),TRUE,PLE.ValorDoEvento=0)</formula>
    </cfRule>
    <cfRule type="cellIs" dxfId="94" priority="20" stopIfTrue="1" operator="equal">
      <formula>$J$9</formula>
    </cfRule>
  </conditionalFormatting>
  <conditionalFormatting sqref="F48:F56">
    <cfRule type="expression" dxfId="93" priority="13" stopIfTrue="1">
      <formula>IF(OR(ACOMPANHAMENTO="BM",F$12&gt;CÁLCULO.NúmeroDeFrentes),TRUE,PLE.ValorDoEvento=0)</formula>
    </cfRule>
    <cfRule type="cellIs" dxfId="92" priority="14" stopIfTrue="1" operator="equal">
      <formula>$J$9</formula>
    </cfRule>
  </conditionalFormatting>
  <conditionalFormatting sqref="H48:AF56">
    <cfRule type="expression" dxfId="91" priority="15" stopIfTrue="1">
      <formula>IF(OR(ACOMPANHAMENTO="BM",TIPOORCAMENTO="Proposto",H$12&gt;CÁLCULO.NúmeroDeFrentes),TRUE,PLE.ValorDoEvento=0)</formula>
    </cfRule>
    <cfRule type="cellIs" dxfId="90" priority="16" stopIfTrue="1" operator="equal">
      <formula>$J$9</formula>
    </cfRule>
  </conditionalFormatting>
  <conditionalFormatting sqref="F57:F65">
    <cfRule type="expression" dxfId="89" priority="9" stopIfTrue="1">
      <formula>IF(OR(ACOMPANHAMENTO="BM",F$12&gt;CÁLCULO.NúmeroDeFrentes),TRUE,PLE.ValorDoEvento=0)</formula>
    </cfRule>
    <cfRule type="cellIs" dxfId="88" priority="10" stopIfTrue="1" operator="equal">
      <formula>$J$9</formula>
    </cfRule>
  </conditionalFormatting>
  <conditionalFormatting sqref="H57:AF65">
    <cfRule type="expression" dxfId="87" priority="11" stopIfTrue="1">
      <formula>IF(OR(ACOMPANHAMENTO="BM",TIPOORCAMENTO="Proposto",H$12&gt;CÁLCULO.NúmeroDeFrentes),TRUE,PLE.ValorDoEvento=0)</formula>
    </cfRule>
    <cfRule type="cellIs" dxfId="86" priority="12" stopIfTrue="1" operator="equal">
      <formula>$J$9</formula>
    </cfRule>
  </conditionalFormatting>
  <conditionalFormatting sqref="F66:F69">
    <cfRule type="expression" dxfId="85" priority="5" stopIfTrue="1">
      <formula>IF(OR(ACOMPANHAMENTO="BM",F$12&gt;CÁLCULO.NúmeroDeFrentes),TRUE,PLE.ValorDoEvento=0)</formula>
    </cfRule>
    <cfRule type="cellIs" dxfId="84" priority="6" stopIfTrue="1" operator="equal">
      <formula>$J$9</formula>
    </cfRule>
  </conditionalFormatting>
  <conditionalFormatting sqref="H66:AF69">
    <cfRule type="expression" dxfId="83" priority="7" stopIfTrue="1">
      <formula>IF(OR(ACOMPANHAMENTO="BM",TIPOORCAMENTO="Proposto",H$12&gt;CÁLCULO.NúmeroDeFrentes),TRUE,PLE.ValorDoEvento=0)</formula>
    </cfRule>
    <cfRule type="cellIs" dxfId="82" priority="8" stopIfTrue="1" operator="equal">
      <formula>$J$9</formula>
    </cfRule>
  </conditionalFormatting>
  <conditionalFormatting sqref="F17:F21">
    <cfRule type="expression" dxfId="81" priority="1" stopIfTrue="1">
      <formula>IF(OR(ACOMPANHAMENTO="BM",F$12&gt;CÁLCULO.NúmeroDeFrentes),TRUE,PLE.ValorDoEvento=0)</formula>
    </cfRule>
    <cfRule type="cellIs" dxfId="80" priority="2" stopIfTrue="1" operator="equal">
      <formula>$J$9</formula>
    </cfRule>
  </conditionalFormatting>
  <conditionalFormatting sqref="H17:AF21">
    <cfRule type="expression" dxfId="79" priority="3" stopIfTrue="1">
      <formula>IF(OR(ACOMPANHAMENTO="BM",TIPOORCAMENTO="Proposto",H$12&gt;CÁLCULO.NúmeroDeFrentes),TRUE,PLE.ValorDoEvento=0)</formula>
    </cfRule>
    <cfRule type="cellIs" dxfId="78" priority="4" stopIfTrue="1" operator="equal">
      <formula>$J$9</formula>
    </cfRule>
  </conditionalFormatting>
  <dataValidations count="3">
    <dataValidation type="whole" operator="greaterThan" allowBlank="1" showErrorMessage="1" sqref="I3:AC4 J9:K9 F1:F4 F16:F69"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9"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&amp;LPMv3.08&amp;R&amp;P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04"/>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88" sqref="A88"/>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30" t="str">
        <f>IF(CAIXA.Modo,"BA - Boletim de Aferição","BM - Boletim de Medição")</f>
        <v>BM - Boletim de Medição</v>
      </c>
      <c r="G1" s="331"/>
      <c r="J1" s="331"/>
      <c r="K1" s="331"/>
      <c r="L1" s="331"/>
      <c r="M1" s="331"/>
      <c r="N1" s="331"/>
      <c r="O1" s="53" t="s">
        <v>139</v>
      </c>
    </row>
    <row r="2" spans="1:41" ht="15" x14ac:dyDescent="0.2">
      <c r="A2" s="332" t="s">
        <v>325</v>
      </c>
      <c r="B2" s="2"/>
      <c r="E2" s="333" t="str">
        <f ca="1">IF(Import.RegimeExecução="(SELECIONAR)","Selecione o Regime de Execução na Aba Dados",Import.RegimeExecução&amp;" - "&amp;import.recurso)</f>
        <v>EMPREITADA POR PREÇO GLOBAL - OGU</v>
      </c>
      <c r="O2" s="12" t="s">
        <v>142</v>
      </c>
    </row>
    <row r="3" spans="1:41" x14ac:dyDescent="0.2">
      <c r="A3" s="802" t="b">
        <v>0</v>
      </c>
      <c r="B3" s="802"/>
      <c r="E3" s="87"/>
    </row>
    <row r="4" spans="1:41" x14ac:dyDescent="0.2">
      <c r="D4" s="662" t="s">
        <v>146</v>
      </c>
      <c r="E4" s="662"/>
      <c r="F4" s="663" t="s">
        <v>145</v>
      </c>
      <c r="G4" s="663"/>
      <c r="H4" s="663"/>
      <c r="I4" s="151" t="s">
        <v>422</v>
      </c>
      <c r="J4" s="662" t="s">
        <v>200</v>
      </c>
      <c r="K4" s="662"/>
      <c r="L4" s="662"/>
      <c r="M4" s="662"/>
      <c r="N4" s="662"/>
      <c r="O4" s="153" t="s">
        <v>326</v>
      </c>
    </row>
    <row r="5" spans="1:41" ht="12.75" customHeight="1" x14ac:dyDescent="0.2">
      <c r="A5" t="s">
        <v>327</v>
      </c>
      <c r="D5" s="668" t="str">
        <f>Import.Proponente</f>
        <v>PREFEITURA MUNICIPAL DE SARANDI/RS</v>
      </c>
      <c r="E5" s="668"/>
      <c r="F5" s="670" t="str">
        <f>Import.CR</f>
        <v>000000-00</v>
      </c>
      <c r="G5" s="670"/>
      <c r="H5" s="670"/>
      <c r="I5" s="334" t="str">
        <f>Import.TransfereGOV</f>
        <v>000000</v>
      </c>
      <c r="J5" s="668" t="str">
        <f>Import.Apelido</f>
        <v>PAVILHÃO COMUNITÁRIO COMUNIDADE ÁREA 10</v>
      </c>
      <c r="K5" s="668"/>
      <c r="L5" s="668"/>
      <c r="M5" s="668"/>
      <c r="N5" s="668"/>
      <c r="O5" s="335">
        <f>Import.DataInicioObra</f>
        <v>0</v>
      </c>
      <c r="AO5" s="336" t="s">
        <v>328</v>
      </c>
    </row>
    <row r="6" spans="1:41" ht="5.0999999999999996" customHeight="1" x14ac:dyDescent="0.2">
      <c r="D6" s="95"/>
      <c r="E6" s="96"/>
      <c r="F6" s="95"/>
      <c r="G6" s="95"/>
      <c r="H6" s="95"/>
      <c r="I6" s="95"/>
      <c r="J6" s="95"/>
      <c r="K6" s="95"/>
      <c r="L6" s="95"/>
      <c r="M6" s="95"/>
      <c r="N6" s="95"/>
      <c r="O6" s="95"/>
      <c r="AO6" s="337"/>
    </row>
    <row r="7" spans="1:41" ht="12.75" customHeight="1" x14ac:dyDescent="0.2">
      <c r="A7" t="str">
        <f ca="1">RegimeExecucao</f>
        <v>Global</v>
      </c>
      <c r="D7" s="89" t="s">
        <v>329</v>
      </c>
      <c r="E7" s="89" t="s">
        <v>330</v>
      </c>
      <c r="F7" s="662" t="s">
        <v>331</v>
      </c>
      <c r="G7" s="662"/>
      <c r="H7" s="662"/>
      <c r="I7" s="662" t="str">
        <f>IF(TIPOORCAMENTO="Licitado","REGIME DE EXECUÇÃO","MUNICÍPIO / UF")</f>
        <v>MUNICÍPIO / UF</v>
      </c>
      <c r="J7" s="662"/>
      <c r="K7" s="662"/>
      <c r="L7" s="662"/>
      <c r="M7" s="662" t="s">
        <v>332</v>
      </c>
      <c r="N7" s="662"/>
      <c r="O7" s="89" t="s">
        <v>333</v>
      </c>
      <c r="AO7" s="285">
        <f ca="1">BM.MEDAcumulado</f>
        <v>0</v>
      </c>
    </row>
    <row r="8" spans="1:41" ht="12.75" customHeight="1" x14ac:dyDescent="0.2">
      <c r="A8" s="332" t="s">
        <v>334</v>
      </c>
      <c r="B8" s="2"/>
      <c r="C8" s="665" t="s">
        <v>207</v>
      </c>
      <c r="D8" s="338">
        <f>Import.CTEF</f>
        <v>0</v>
      </c>
      <c r="E8" s="57">
        <f>Import.empresa</f>
        <v>0</v>
      </c>
      <c r="F8" s="668">
        <f>Import.CNPJ</f>
        <v>0</v>
      </c>
      <c r="G8" s="668"/>
      <c r="H8" s="668"/>
      <c r="I8" s="668" t="str">
        <f>IF(TIPOORCAMENTO="Licitado",Import.RegimeExecução,Import.Município)</f>
        <v>SARANDI/RS</v>
      </c>
      <c r="J8" s="668"/>
      <c r="K8" s="668"/>
      <c r="L8" s="668"/>
      <c r="M8" s="668" t="str">
        <f ca="1">TEXT(IF(BM.medicao=1,Import.DataInicioObra,OFFSET($AB$12,0,BM.medicao-1-$AB$13)+1),"dd/mm/aaaa")&amp;" a "&amp;TEXT(OFFSET($AB$12,0,BM.medicao-$AB$13),"dd/mm/aaaa")</f>
        <v>00/01/1900 a 00/01/1900</v>
      </c>
      <c r="N8" s="668"/>
      <c r="O8" s="445">
        <v>1</v>
      </c>
    </row>
    <row r="9" spans="1:41" ht="12.75" customHeight="1" x14ac:dyDescent="0.2">
      <c r="A9" s="613" t="b">
        <v>1</v>
      </c>
      <c r="B9" s="4"/>
      <c r="C9" s="665"/>
    </row>
    <row r="10" spans="1:41" ht="13.35" customHeight="1" x14ac:dyDescent="0.2">
      <c r="A10" s="427" t="s">
        <v>913</v>
      </c>
      <c r="B10" s="429"/>
      <c r="C10" s="665"/>
      <c r="E10" s="610"/>
      <c r="F10" s="801" t="str">
        <f>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IF($J$99&lt;&gt;"",UPPER($J$99),
 "")))))))</f>
        <v>Foi selecionado na aba 'MENU' o acompanhamento por PLE.</v>
      </c>
      <c r="G10" s="801"/>
      <c r="H10" s="801"/>
      <c r="I10" s="801"/>
      <c r="O10" s="612" t="str">
        <f ca="1">"Realizado Acumulado: "&amp;TEXT(P10,"0,00%")</f>
        <v>Realizado Acumulado: 0,00%</v>
      </c>
      <c r="P10" s="615">
        <f ca="1">ROUND($O$15/($I$15+10^-12),4)</f>
        <v>0</v>
      </c>
      <c r="AB10" s="629" t="str">
        <f ca="1">IF(INDEX($AB$12:$AN$12,MATCH($O$8,$AB$13:$AN$13,0))=0,"Preencher a data da medição "&amp;$O$8,"")</f>
        <v>Preencher a data da medição 1</v>
      </c>
    </row>
    <row r="11" spans="1:41" ht="15" customHeight="1" x14ac:dyDescent="0.25">
      <c r="A11" s="614">
        <f ca="1">OFFSET(CRONO!$F$13,CRONO!$F$103,0)</f>
        <v>2</v>
      </c>
      <c r="B11" s="436"/>
      <c r="C11" s="665"/>
      <c r="E11" s="610"/>
      <c r="F11" s="801"/>
      <c r="G11" s="801"/>
      <c r="H11" s="801"/>
      <c r="I11" s="801"/>
      <c r="N11" s="611"/>
      <c r="O11" s="612" t="e">
        <f ca="1">"Administração Local Acumulada: "&amp;TEXT(P11,"0,00%")</f>
        <v>#DIV/0!</v>
      </c>
      <c r="P11" s="615" t="e">
        <f ca="1">OFFSET($O$15,$A$11,0)/OFFSET($I$15,$A$11,0)</f>
        <v>#DIV/0!</v>
      </c>
      <c r="T11" s="800" t="s">
        <v>335</v>
      </c>
      <c r="U11" s="800"/>
      <c r="Z11" s="4"/>
      <c r="AB11" s="788" t="s">
        <v>336</v>
      </c>
      <c r="AC11" s="788"/>
      <c r="AD11" s="788"/>
      <c r="AE11" s="788"/>
      <c r="AF11" s="788"/>
      <c r="AG11" s="788"/>
      <c r="AH11" s="788"/>
      <c r="AI11" s="788"/>
      <c r="AJ11" s="788"/>
      <c r="AK11" s="788"/>
      <c r="AL11" s="788"/>
      <c r="AM11" s="788"/>
    </row>
    <row r="12" spans="1:41" ht="15" customHeight="1" x14ac:dyDescent="0.25">
      <c r="C12" s="665"/>
      <c r="E12" s="85" t="s">
        <v>337</v>
      </c>
      <c r="J12" s="707" t="str">
        <f ca="1">"Evolução Física "&amp;CHOOSE(MATCH(RegimeExecucao,{"Unitário","Global"},0),"(Qtde.)","(%)")</f>
        <v>Evolução Física (%)</v>
      </c>
      <c r="K12" s="707"/>
      <c r="L12" s="707"/>
      <c r="M12" s="707" t="s">
        <v>338</v>
      </c>
      <c r="N12" s="707"/>
      <c r="O12" s="707"/>
      <c r="Q12" s="707" t="str">
        <f ca="1">"Aferido (CAIXA) "&amp;CHOOSE(MATCH(RegimeExecucao,{"Unitário","Global"},0),"(Qtde.)","(%)")</f>
        <v>Aferido (CAIXA) (%)</v>
      </c>
      <c r="R12" s="707"/>
      <c r="T12" s="339" t="s">
        <v>339</v>
      </c>
      <c r="U12" s="189"/>
      <c r="V12" s="189"/>
      <c r="W12" s="189"/>
      <c r="X12" s="189"/>
      <c r="Y12" s="189"/>
      <c r="Z12" s="43"/>
      <c r="AB12" s="340"/>
      <c r="AC12" s="341"/>
      <c r="AD12" s="341"/>
      <c r="AE12" s="341"/>
      <c r="AF12" s="341"/>
      <c r="AG12" s="341"/>
      <c r="AH12" s="341"/>
      <c r="AI12" s="341"/>
      <c r="AJ12" s="341"/>
      <c r="AK12" s="341"/>
      <c r="AL12" s="341"/>
      <c r="AM12" s="342"/>
    </row>
    <row r="13" spans="1:41" ht="45" customHeight="1" x14ac:dyDescent="0.2">
      <c r="A13" s="109" t="s">
        <v>220</v>
      </c>
      <c r="B13" s="109" t="s">
        <v>219</v>
      </c>
      <c r="C13" s="108" t="s">
        <v>215</v>
      </c>
      <c r="D13" s="304" t="s">
        <v>229</v>
      </c>
      <c r="E13" s="304" t="s">
        <v>232</v>
      </c>
      <c r="F13" s="343" t="s">
        <v>233</v>
      </c>
      <c r="G13" s="304" t="s">
        <v>201</v>
      </c>
      <c r="H13" s="304" t="s">
        <v>234</v>
      </c>
      <c r="I13" s="304" t="s">
        <v>235</v>
      </c>
      <c r="J13" s="304" t="s">
        <v>340</v>
      </c>
      <c r="K13" s="304" t="s">
        <v>341</v>
      </c>
      <c r="L13" s="304" t="s">
        <v>342</v>
      </c>
      <c r="M13" s="304" t="s">
        <v>340</v>
      </c>
      <c r="N13" s="304" t="s">
        <v>341</v>
      </c>
      <c r="O13" s="304" t="s">
        <v>342</v>
      </c>
      <c r="Q13" s="304" t="s">
        <v>340</v>
      </c>
      <c r="R13" s="304" t="s">
        <v>342</v>
      </c>
      <c r="T13" s="304" t="s">
        <v>229</v>
      </c>
      <c r="U13" s="304" t="s">
        <v>232</v>
      </c>
      <c r="V13" s="343" t="str">
        <f ca="1">IF(RegimeExecucao="Unitário","Unidade","")</f>
        <v/>
      </c>
      <c r="W13" s="304" t="str">
        <f ca="1">CHOOSE(MATCH(RegimeExecucao,{"Unitário","Global"},0),"Quant. Glosada (unid)","Percentual Glosado (%)")</f>
        <v>Percentual Glosado (%)</v>
      </c>
      <c r="X13" s="304" t="str">
        <f ca="1">CHOOSE(MATCH(RegimeExecucao,{"Unitário","Global"},0),"Preço Unitário (R$)","Valor Total do Item (R$)")</f>
        <v>Valor Total do Item (R$)</v>
      </c>
      <c r="Y13" s="304" t="s">
        <v>343</v>
      </c>
      <c r="Z13" s="304" t="s">
        <v>344</v>
      </c>
      <c r="AA13" s="114"/>
      <c r="AB13" s="344">
        <f ca="1">IF(BM.medicao&lt;=12,1,TRUNC((BM.medicao - 2)/11,0) * 11 + 1)</f>
        <v>1</v>
      </c>
      <c r="AC13" s="344">
        <f ca="1">OFFSET(AC13,0,-1)+1</f>
        <v>2</v>
      </c>
      <c r="AD13" s="344">
        <f t="shared" ref="AD13:AM13" ca="1" si="0">OFFSET(AD13,0,-1)+1</f>
        <v>3</v>
      </c>
      <c r="AE13" s="344">
        <f t="shared" ca="1" si="0"/>
        <v>4</v>
      </c>
      <c r="AF13" s="344">
        <f t="shared" ca="1" si="0"/>
        <v>5</v>
      </c>
      <c r="AG13" s="344">
        <f t="shared" ca="1" si="0"/>
        <v>6</v>
      </c>
      <c r="AH13" s="344">
        <f t="shared" ca="1" si="0"/>
        <v>7</v>
      </c>
      <c r="AI13" s="344">
        <f t="shared" ca="1" si="0"/>
        <v>8</v>
      </c>
      <c r="AJ13" s="344">
        <f t="shared" ca="1" si="0"/>
        <v>9</v>
      </c>
      <c r="AK13" s="344">
        <f t="shared" ca="1" si="0"/>
        <v>10</v>
      </c>
      <c r="AL13" s="344">
        <f t="shared" ca="1" si="0"/>
        <v>11</v>
      </c>
      <c r="AM13" s="344">
        <f t="shared" ca="1" si="0"/>
        <v>12</v>
      </c>
      <c r="AO13" s="109" t="s">
        <v>345</v>
      </c>
    </row>
    <row r="14" spans="1:41" hidden="1" x14ac:dyDescent="0.2">
      <c r="A14" t="str">
        <f ca="1">ORÇAMENTO!C14</f>
        <v>S</v>
      </c>
      <c r="B14">
        <f ca="1">ORÇAMENTO!D14</f>
        <v>0</v>
      </c>
      <c r="C14" s="116" t="str">
        <f ca="1">IF(OR($I14&gt;0,$A14=1,$A14=2,$A14=3,$A14=4),"F","")</f>
        <v/>
      </c>
      <c r="D14" s="119" t="str">
        <f ca="1">ORÇAMENTO!O14</f>
        <v>-</v>
      </c>
      <c r="E14" s="170" t="str">
        <f ca="1">ORÇAMENTO.Descricao</f>
        <v>(abra o arquivo 'Referência 04-2026.xlsm)</v>
      </c>
      <c r="F14" s="171" t="str">
        <f ca="1">IF(RegimeExecucao="Global","",ORÇAMENTO.Unidade)</f>
        <v/>
      </c>
      <c r="G14" s="124" t="str">
        <f ca="1">IF(RegimeExecucao="Global","",ORÇAMENTO!T14)</f>
        <v/>
      </c>
      <c r="H14" s="124" t="str">
        <f ca="1">IF(RegimeExecucao="Global","",ORÇAMENTO!W14)</f>
        <v/>
      </c>
      <c r="I14" s="127">
        <f ca="1">ORÇAMENTO!X14</f>
        <v>0</v>
      </c>
      <c r="J14" s="345">
        <f ca="1">IF($A14="S",IF(CAIXA.Modo,BM.AFAnterior,BM.MEDAnterior),IF(AND(RegimeExecucao="Global",$I14&gt;0,COUNTIF($AB$13:$AM$13,BM.medicao-1)&gt;0),M14/$I14*100,0))</f>
        <v>0</v>
      </c>
      <c r="K14" s="124">
        <f ca="1">L14-J14</f>
        <v>0</v>
      </c>
      <c r="L14" s="346">
        <f ca="1">IF($A14="S",IF(CAIXA.Modo,BM.AFAcumulado,BM.MEDAcumulado),IF(AND(RegimeExecucao="Global",$I14&gt;0,COUNTIF($AB$13:$AM$13,BM.medicao)&gt;0),O14/$I14*100,0))</f>
        <v>0</v>
      </c>
      <c r="M14" s="347">
        <f ca="1">IF($A14="S",VTOTALBM,IF($A14=0,0,ROUND(SomaAgrupBM,15-13*ORÇAMENTO!$AF$11)))</f>
        <v>0</v>
      </c>
      <c r="N14" s="348">
        <f ca="1">O14-M14</f>
        <v>0</v>
      </c>
      <c r="O14" s="127">
        <f ca="1">IF($A14="S",VTOTALBM,IF($A14=0,0,ROUND(SomaAgrupBM,15-13*ORÇAMENTO!$AF$11)))</f>
        <v>0</v>
      </c>
      <c r="Q14" s="349"/>
      <c r="R14" s="350"/>
      <c r="T14" s="119" t="str">
        <f ca="1">IF($W14&gt;0,$D14,"")</f>
        <v/>
      </c>
      <c r="U14" s="170" t="str">
        <f ca="1">IF($W14&gt;0,$E14,"")</f>
        <v/>
      </c>
      <c r="V14" s="171" t="str">
        <f ca="1">IF(AND($W14&gt;0,RegimeExecucao="Unitário"),$F14,"")</f>
        <v/>
      </c>
      <c r="W14" s="486">
        <f ca="1">IF($Y14&gt;0,CHOOSE(MATCH(RegimeExecucao,{"Unitário","Global"},0),IF($A14="S",$Y14/$X14,""),($Y14/$X14)*100),0)</f>
        <v>0</v>
      </c>
      <c r="X14" s="351" t="str">
        <f ca="1">IF($Y14&gt;0,CHOOSE(MATCH(RegimeExecucao,{"Unitário","Global"},0),IF($A14="S",ROUND($H14,ORÇAMENTO!$AF$10),""),ROUND($I14,ORÇAMENTO!$AF$11)),"")</f>
        <v/>
      </c>
      <c r="Y14" s="351">
        <f ca="1">AO14-O14</f>
        <v>0</v>
      </c>
      <c r="Z14" s="507"/>
      <c r="AB14" s="349"/>
      <c r="AC14" s="469"/>
      <c r="AD14" s="469"/>
      <c r="AE14" s="469"/>
      <c r="AF14" s="469"/>
      <c r="AG14" s="469"/>
      <c r="AH14" s="469"/>
      <c r="AI14" s="469"/>
      <c r="AJ14" s="469"/>
      <c r="AK14" s="469"/>
      <c r="AL14" s="469"/>
      <c r="AM14" s="350"/>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244</v>
      </c>
      <c r="D15" s="799" t="str">
        <f>"Objeto do CTEF: "&amp;Import.DescLote</f>
        <v>Objeto do CTEF: PAVILHÃO COMUNITÁRIO COMUNIDADE ÁREA 10</v>
      </c>
      <c r="E15" s="799"/>
      <c r="F15" s="487"/>
      <c r="G15" s="488"/>
      <c r="H15" s="488" t="s">
        <v>346</v>
      </c>
      <c r="I15" s="489">
        <f>IF(OR(ACOMPANHAMENTO="PLE",TIPOORCAMENTO="Proposto"),0,ORÇAMENTO!$X$15)</f>
        <v>0</v>
      </c>
      <c r="J15" s="352">
        <f ca="1">IF(M$15=0,0,IF(RegimeExecucao="Global",M$15/$I$15*100,0))</f>
        <v>0</v>
      </c>
      <c r="K15" s="352">
        <f ca="1">L15-J15</f>
        <v>0</v>
      </c>
      <c r="L15" s="352">
        <f ca="1">IF(O$15=0,0,IF(RegimeExecucao="Global",O$15/$I$15*100,0))</f>
        <v>0</v>
      </c>
      <c r="M15" s="353">
        <f ca="1">IF(OR(ACOMPANHAMENTO="PLE",TIPOORCAMENTO="Proposto"),0,SUMIF(OFFSET($A15,1,0):$A$89,"S",OFFSET(M15,1,0):M$89))</f>
        <v>0</v>
      </c>
      <c r="N15" s="353">
        <f ca="1">O15-M15</f>
        <v>0</v>
      </c>
      <c r="O15" s="353">
        <f ca="1">IF(OR(ACOMPANHAMENTO="PLE",TIPOORCAMENTO="Proposto"),0,SUMIF(OFFSET($A15,1,0):$A$89,"S",OFFSET(O15,1,0):O$89))</f>
        <v>0</v>
      </c>
      <c r="Q15" s="354"/>
      <c r="R15" s="354"/>
      <c r="T15" s="355"/>
      <c r="U15" s="356"/>
      <c r="V15" s="356"/>
      <c r="W15" s="356"/>
      <c r="X15" s="356"/>
      <c r="Y15" s="356"/>
      <c r="Z15" s="357"/>
      <c r="AB15" s="795" t="str">
        <f ca="1">"Preencher abaixo com a "&amp;CHOOSE(MATCH(RegimeExecucao,{"Unitário","Global"},0),"QUANTIDADE","PORCENTAGEM")&amp;" executada no PERÍODO"</f>
        <v>Preencher abaixo com a PORCENTAGEM executada no PERÍODO</v>
      </c>
      <c r="AC15" s="795"/>
      <c r="AD15" s="795"/>
      <c r="AE15" s="795"/>
      <c r="AF15" s="795"/>
      <c r="AG15" s="795"/>
      <c r="AH15" s="795"/>
      <c r="AI15" s="795"/>
      <c r="AJ15" s="795"/>
      <c r="AK15" s="795"/>
      <c r="AL15" s="795"/>
      <c r="AM15" s="795"/>
    </row>
    <row r="16" spans="1:41" x14ac:dyDescent="0.2">
      <c r="A16">
        <f ca="1">ORÇAMENTO!C16</f>
        <v>1</v>
      </c>
      <c r="B16">
        <f ca="1">ORÇAMENTO!D16</f>
        <v>13</v>
      </c>
      <c r="C16" s="116" t="str">
        <f t="shared" ref="C16:C55" ca="1" si="1">IF(OR($I16&gt;0,$A16=1,$A16=2,$A16=3,$A16=4),"F","")</f>
        <v>F</v>
      </c>
      <c r="D16" s="119" t="str">
        <f ca="1">ORÇAMENTO!O16</f>
        <v>1.</v>
      </c>
      <c r="E16" s="170" t="str">
        <f t="shared" ref="E16:E55" si="2">ORÇAMENTO.Descricao</f>
        <v>REFORMA E AMPLIAÇÃO DE PAVILHÃO</v>
      </c>
      <c r="F16" s="171" t="str">
        <f ca="1">IF(RegimeExecucao="Global","",ORÇAMENTO.Unidade)</f>
        <v/>
      </c>
      <c r="G16" s="124" t="str">
        <f ca="1">IF(RegimeExecucao="Global","",ORÇAMENTO!T16)</f>
        <v/>
      </c>
      <c r="H16" s="124" t="str">
        <f ca="1">IF(RegimeExecucao="Global","",ORÇAMENTO!W16)</f>
        <v/>
      </c>
      <c r="I16" s="127">
        <f ca="1">ORÇAMENTO!X16</f>
        <v>0</v>
      </c>
      <c r="J16" s="345">
        <f ca="1">IF($A16="S",IF(CAIXA.Modo,BM.AFAnterior,BM.MEDAnterior),IF(AND(RegimeExecucao="Global",$I16&gt;0,COUNTIF($AB$13:$AM$13,BM.medicao-1)&gt;0),M16/$I16*100,0))</f>
        <v>0</v>
      </c>
      <c r="K16" s="124">
        <f t="shared" ref="K16:K55" ca="1" si="3">L16-J16</f>
        <v>0</v>
      </c>
      <c r="L16" s="346">
        <f ca="1">IF($A16="S",IF(CAIXA.Modo,BM.AFAcumulado,BM.MEDAcumulado),IF(AND(RegimeExecucao="Global",$I16&gt;0,COUNTIF($AB$13:$AM$13,BM.medicao)&gt;0),O16/$I16*100,0))</f>
        <v>0</v>
      </c>
      <c r="M16" s="347">
        <f ca="1">IF($A16="S",VTOTALBM,IF($A16=0,0,ROUND(SomaAgrupBM,15-13*ORÇAMENTO!$AF$11)))</f>
        <v>0</v>
      </c>
      <c r="N16" s="348">
        <f t="shared" ref="N16:N55" ca="1" si="4">O16-M16</f>
        <v>0</v>
      </c>
      <c r="O16" s="127">
        <f ca="1">IF($A16="S",VTOTALBM,IF($A16=0,0,ROUND(SomaAgrupBM,15-13*ORÇAMENTO!$AF$11)))</f>
        <v>0</v>
      </c>
      <c r="Q16" s="349"/>
      <c r="R16" s="350"/>
      <c r="T16" s="119" t="str">
        <f t="shared" ref="T16:T55" ca="1" si="5">IF($W16&gt;0,$D16,"")</f>
        <v/>
      </c>
      <c r="U16" s="170" t="str">
        <f t="shared" ref="U16:U55" ca="1" si="6">IF($W16&gt;0,$E16,"")</f>
        <v/>
      </c>
      <c r="V16" s="171" t="str">
        <f ca="1">IF(AND($W16&gt;0,RegimeExecucao="Unitário"),$F16,"")</f>
        <v/>
      </c>
      <c r="W16" s="486">
        <f ca="1">IF($Y16&gt;0,CHOOSE(MATCH(RegimeExecucao,{"Unitário","Global"},0),IF($A16="S",$Y16/$X16,""),($Y16/$X16)*100),0)</f>
        <v>0</v>
      </c>
      <c r="X16" s="351" t="str">
        <f ca="1">IF($Y16&gt;0,CHOOSE(MATCH(RegimeExecucao,{"Unitário","Global"},0),IF($A16="S",ROUND($H16,ORÇAMENTO!$AF$10),""),ROUND($I16,ORÇAMENTO!$AF$11)),"")</f>
        <v/>
      </c>
      <c r="Y16" s="351">
        <f t="shared" ref="Y16:Y55" ca="1" si="7">AO16-O16</f>
        <v>0</v>
      </c>
      <c r="Z16" s="507"/>
      <c r="AB16" s="349"/>
      <c r="AC16" s="469"/>
      <c r="AD16" s="469"/>
      <c r="AE16" s="469"/>
      <c r="AF16" s="469"/>
      <c r="AG16" s="469"/>
      <c r="AH16" s="469"/>
      <c r="AI16" s="469"/>
      <c r="AJ16" s="469"/>
      <c r="AK16" s="469"/>
      <c r="AL16" s="469"/>
      <c r="AM16" s="350"/>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3</v>
      </c>
      <c r="C17" s="116" t="str">
        <f t="shared" ca="1" si="1"/>
        <v>F</v>
      </c>
      <c r="D17" s="119" t="str">
        <f ca="1">ORÇAMENTO!O17</f>
        <v>1.1.</v>
      </c>
      <c r="E17" s="170" t="str">
        <f t="shared" si="2"/>
        <v xml:space="preserve">SERVIÇOS PRELIMINARES </v>
      </c>
      <c r="F17" s="171" t="str">
        <f ca="1">IF(RegimeExecucao="Global","",ORÇAMENTO.Unidade)</f>
        <v/>
      </c>
      <c r="G17" s="124" t="str">
        <f ca="1">IF(RegimeExecucao="Global","",ORÇAMENTO!T17)</f>
        <v/>
      </c>
      <c r="H17" s="124" t="str">
        <f ca="1">IF(RegimeExecucao="Global","",ORÇAMENTO!W17)</f>
        <v/>
      </c>
      <c r="I17" s="127">
        <f ca="1">ORÇAMENTO!X17</f>
        <v>0</v>
      </c>
      <c r="J17" s="345">
        <f ca="1">IF($A17="S",IF(CAIXA.Modo,BM.AFAnterior,BM.MEDAnterior),IF(AND(RegimeExecucao="Global",$I17&gt;0,COUNTIF($AB$13:$AM$13,BM.medicao-1)&gt;0),M17/$I17*100,0))</f>
        <v>0</v>
      </c>
      <c r="K17" s="124">
        <f t="shared" ca="1" si="3"/>
        <v>0</v>
      </c>
      <c r="L17" s="346">
        <f ca="1">IF($A17="S",IF(CAIXA.Modo,BM.AFAcumulado,BM.MEDAcumulado),IF(AND(RegimeExecucao="Global",$I17&gt;0,COUNTIF($AB$13:$AM$13,BM.medicao)&gt;0),O17/$I17*100,0))</f>
        <v>0</v>
      </c>
      <c r="M17" s="347">
        <f ca="1">IF($A17="S",VTOTALBM,IF($A17=0,0,ROUND(SomaAgrupBM,15-13*ORÇAMENTO!$AF$11)))</f>
        <v>0</v>
      </c>
      <c r="N17" s="348">
        <f t="shared" ca="1" si="4"/>
        <v>0</v>
      </c>
      <c r="O17" s="127">
        <f ca="1">IF($A17="S",VTOTALBM,IF($A17=0,0,ROUND(SomaAgrupBM,15-13*ORÇAMENTO!$AF$11)))</f>
        <v>0</v>
      </c>
      <c r="Q17" s="349"/>
      <c r="R17" s="350"/>
      <c r="T17" s="119" t="str">
        <f t="shared" ca="1" si="5"/>
        <v/>
      </c>
      <c r="U17" s="170" t="str">
        <f t="shared" ca="1" si="6"/>
        <v/>
      </c>
      <c r="V17" s="171" t="str">
        <f ca="1">IF(AND($W17&gt;0,RegimeExecucao="Unitário"),$F17,"")</f>
        <v/>
      </c>
      <c r="W17" s="486">
        <f ca="1">IF($Y17&gt;0,CHOOSE(MATCH(RegimeExecucao,{"Unitário","Global"},0),IF($A17="S",$Y17/$X17,""),($Y17/$X17)*100),0)</f>
        <v>0</v>
      </c>
      <c r="X17" s="351" t="str">
        <f ca="1">IF($Y17&gt;0,CHOOSE(MATCH(RegimeExecucao,{"Unitário","Global"},0),IF($A17="S",ROUND($H17,ORÇAMENTO!$AF$10),""),ROUND($I17,ORÇAMENTO!$AF$11)),"")</f>
        <v/>
      </c>
      <c r="Y17" s="351">
        <f t="shared" ca="1" si="7"/>
        <v>0</v>
      </c>
      <c r="Z17" s="507"/>
      <c r="AB17" s="349"/>
      <c r="AC17" s="469"/>
      <c r="AD17" s="469"/>
      <c r="AE17" s="469"/>
      <c r="AF17" s="469"/>
      <c r="AG17" s="469"/>
      <c r="AH17" s="469"/>
      <c r="AI17" s="469"/>
      <c r="AJ17" s="469"/>
      <c r="AK17" s="469"/>
      <c r="AL17" s="469"/>
      <c r="AM17" s="350"/>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6" t="str">
        <f t="shared" ca="1" si="1"/>
        <v/>
      </c>
      <c r="D18" s="119" t="str">
        <f ca="1">ORÇAMENTO!O18</f>
        <v>-</v>
      </c>
      <c r="E18" s="170" t="str">
        <f t="shared" ca="1" si="2"/>
        <v>(abra o arquivo 'Referência 04-2026.xlsm)</v>
      </c>
      <c r="F18" s="171" t="str">
        <f ca="1">IF(RegimeExecucao="Global","",ORÇAMENTO.Unidade)</f>
        <v/>
      </c>
      <c r="G18" s="124" t="str">
        <f ca="1">IF(RegimeExecucao="Global","",ORÇAMENTO!T18)</f>
        <v/>
      </c>
      <c r="H18" s="124" t="str">
        <f ca="1">IF(RegimeExecucao="Global","",ORÇAMENTO!W18)</f>
        <v/>
      </c>
      <c r="I18" s="127">
        <f ca="1">ORÇAMENTO!X18</f>
        <v>0</v>
      </c>
      <c r="J18" s="345">
        <f ca="1">IF($A18="S",IF(CAIXA.Modo,BM.AFAnterior,BM.MEDAnterior),IF(AND(RegimeExecucao="Global",$I18&gt;0,COUNTIF($AB$13:$AM$13,BM.medicao-1)&gt;0),M18/$I18*100,0))</f>
        <v>0</v>
      </c>
      <c r="K18" s="124">
        <f t="shared" ca="1" si="3"/>
        <v>0</v>
      </c>
      <c r="L18" s="346">
        <f ca="1">IF($A18="S",IF(CAIXA.Modo,BM.AFAcumulado,BM.MEDAcumulado),IF(AND(RegimeExecucao="Global",$I18&gt;0,COUNTIF($AB$13:$AM$13,BM.medicao)&gt;0),O18/$I18*100,0))</f>
        <v>0</v>
      </c>
      <c r="M18" s="347">
        <f ca="1">IF($A18="S",VTOTALBM,IF($A18=0,0,ROUND(SomaAgrupBM,15-13*ORÇAMENTO!$AF$11)))</f>
        <v>0</v>
      </c>
      <c r="N18" s="348">
        <f t="shared" ca="1" si="4"/>
        <v>0</v>
      </c>
      <c r="O18" s="127">
        <f ca="1">IF($A18="S",VTOTALBM,IF($A18=0,0,ROUND(SomaAgrupBM,15-13*ORÇAMENTO!$AF$11)))</f>
        <v>0</v>
      </c>
      <c r="Q18" s="349"/>
      <c r="R18" s="350"/>
      <c r="T18" s="119" t="str">
        <f t="shared" ca="1" si="5"/>
        <v/>
      </c>
      <c r="U18" s="170" t="str">
        <f t="shared" ca="1" si="6"/>
        <v/>
      </c>
      <c r="V18" s="171" t="str">
        <f ca="1">IF(AND($W18&gt;0,RegimeExecucao="Unitário"),$F18,"")</f>
        <v/>
      </c>
      <c r="W18" s="486">
        <f ca="1">IF($Y18&gt;0,CHOOSE(MATCH(RegimeExecucao,{"Unitário","Global"},0),IF($A18="S",$Y18/$X18,""),($Y18/$X18)*100),0)</f>
        <v>0</v>
      </c>
      <c r="X18" s="351" t="str">
        <f ca="1">IF($Y18&gt;0,CHOOSE(MATCH(RegimeExecucao,{"Unitário","Global"},0),IF($A18="S",ROUND($H18,ORÇAMENTO!$AF$10),""),ROUND($I18,ORÇAMENTO!$AF$11)),"")</f>
        <v/>
      </c>
      <c r="Y18" s="351">
        <f t="shared" ca="1" si="7"/>
        <v>0</v>
      </c>
      <c r="Z18" s="507"/>
      <c r="AB18" s="349"/>
      <c r="AC18" s="469"/>
      <c r="AD18" s="469"/>
      <c r="AE18" s="469"/>
      <c r="AF18" s="469"/>
      <c r="AG18" s="469"/>
      <c r="AH18" s="469"/>
      <c r="AI18" s="469"/>
      <c r="AJ18" s="469"/>
      <c r="AK18" s="469"/>
      <c r="AL18" s="469"/>
      <c r="AM18" s="350"/>
      <c r="AO18">
        <f ca="1">IF($A18="S",IF(BM!$I18=0,0,CHOOSE(MATCH(RegimeExecucao,{"Global","Unitário"},0),ROUND(ROUND(BM.MEDAcumulado,15-13*BM!$A$9)/100*BM!$I18,15-13*ORÇAMENTO!$AF$11),ROUND(ROUND(BM.MEDAcumulado,15-13*BM!$A$9)*ROUND(BM!$H18,15-13*ORÇAMENTO!$AF$10),15-13*ORÇAMENTO!$AF$11))),IF($A18=0,0,ROUND(SomaAgrupBM,15-13*ORÇAMENTO!$AF$11)))</f>
        <v>0</v>
      </c>
    </row>
    <row r="19" spans="1:41" ht="38.25" x14ac:dyDescent="0.2">
      <c r="A19" t="str">
        <f ca="1">ORÇAMENTO!C19</f>
        <v>S</v>
      </c>
      <c r="B19">
        <f ca="1">ORÇAMENTO!D19</f>
        <v>0</v>
      </c>
      <c r="C19" s="116" t="str">
        <f t="shared" ca="1" si="1"/>
        <v/>
      </c>
      <c r="D19" s="119" t="str">
        <f ca="1">ORÇAMENTO!O19</f>
        <v>-</v>
      </c>
      <c r="E19" s="170" t="str">
        <f t="shared" ca="1" si="2"/>
        <v>(abra o arquivo 'Referência 04-2026.xlsm)</v>
      </c>
      <c r="F19" s="171" t="str">
        <f ca="1">IF(RegimeExecucao="Global","",ORÇAMENTO.Unidade)</f>
        <v/>
      </c>
      <c r="G19" s="124" t="str">
        <f ca="1">IF(RegimeExecucao="Global","",ORÇAMENTO!T19)</f>
        <v/>
      </c>
      <c r="H19" s="124" t="str">
        <f ca="1">IF(RegimeExecucao="Global","",ORÇAMENTO!W19)</f>
        <v/>
      </c>
      <c r="I19" s="127">
        <f ca="1">ORÇAMENTO!X19</f>
        <v>0</v>
      </c>
      <c r="J19" s="345">
        <f ca="1">IF($A19="S",IF(CAIXA.Modo,BM.AFAnterior,BM.MEDAnterior),IF(AND(RegimeExecucao="Global",$I19&gt;0,COUNTIF($AB$13:$AM$13,BM.medicao-1)&gt;0),M19/$I19*100,0))</f>
        <v>0</v>
      </c>
      <c r="K19" s="124">
        <f t="shared" ca="1" si="3"/>
        <v>0</v>
      </c>
      <c r="L19" s="346">
        <f ca="1">IF($A19="S",IF(CAIXA.Modo,BM.AFAcumulado,BM.MEDAcumulado),IF(AND(RegimeExecucao="Global",$I19&gt;0,COUNTIF($AB$13:$AM$13,BM.medicao)&gt;0),O19/$I19*100,0))</f>
        <v>0</v>
      </c>
      <c r="M19" s="347">
        <f ca="1">IF($A19="S",VTOTALBM,IF($A19=0,0,ROUND(SomaAgrupBM,15-13*ORÇAMENTO!$AF$11)))</f>
        <v>0</v>
      </c>
      <c r="N19" s="348">
        <f t="shared" ca="1" si="4"/>
        <v>0</v>
      </c>
      <c r="O19" s="127">
        <f ca="1">IF($A19="S",VTOTALBM,IF($A19=0,0,ROUND(SomaAgrupBM,15-13*ORÇAMENTO!$AF$11)))</f>
        <v>0</v>
      </c>
      <c r="Q19" s="349"/>
      <c r="R19" s="350"/>
      <c r="T19" s="119" t="str">
        <f t="shared" ca="1" si="5"/>
        <v/>
      </c>
      <c r="U19" s="170" t="str">
        <f t="shared" ca="1" si="6"/>
        <v/>
      </c>
      <c r="V19" s="171" t="str">
        <f ca="1">IF(AND($W19&gt;0,RegimeExecucao="Unitário"),$F19,"")</f>
        <v/>
      </c>
      <c r="W19" s="486">
        <f ca="1">IF($Y19&gt;0,CHOOSE(MATCH(RegimeExecucao,{"Unitário","Global"},0),IF($A19="S",$Y19/$X19,""),($Y19/$X19)*100),0)</f>
        <v>0</v>
      </c>
      <c r="X19" s="351" t="str">
        <f ca="1">IF($Y19&gt;0,CHOOSE(MATCH(RegimeExecucao,{"Unitário","Global"},0),IF($A19="S",ROUND($H19,ORÇAMENTO!$AF$10),""),ROUND($I19,ORÇAMENTO!$AF$11)),"")</f>
        <v/>
      </c>
      <c r="Y19" s="351">
        <f t="shared" ca="1" si="7"/>
        <v>0</v>
      </c>
      <c r="Z19" s="507"/>
      <c r="AB19" s="349"/>
      <c r="AC19" s="469"/>
      <c r="AD19" s="469"/>
      <c r="AE19" s="469"/>
      <c r="AF19" s="469"/>
      <c r="AG19" s="469"/>
      <c r="AH19" s="469"/>
      <c r="AI19" s="469"/>
      <c r="AJ19" s="469"/>
      <c r="AK19" s="469"/>
      <c r="AL19" s="469"/>
      <c r="AM19" s="350"/>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f ca="1">ORÇAMENTO!C20</f>
        <v>2</v>
      </c>
      <c r="B20">
        <f ca="1">ORÇAMENTO!D20</f>
        <v>9</v>
      </c>
      <c r="C20" s="116" t="str">
        <f t="shared" ca="1" si="1"/>
        <v>F</v>
      </c>
      <c r="D20" s="119" t="str">
        <f ca="1">ORÇAMENTO!O20</f>
        <v>1.2.</v>
      </c>
      <c r="E20" s="170" t="str">
        <f t="shared" si="2"/>
        <v>ESTRUTURA METÁLICA - PILARES</v>
      </c>
      <c r="F20" s="171" t="str">
        <f ca="1">IF(RegimeExecucao="Global","",ORÇAMENTO.Unidade)</f>
        <v/>
      </c>
      <c r="G20" s="124" t="str">
        <f ca="1">IF(RegimeExecucao="Global","",ORÇAMENTO!T20)</f>
        <v/>
      </c>
      <c r="H20" s="124" t="str">
        <f ca="1">IF(RegimeExecucao="Global","",ORÇAMENTO!W20)</f>
        <v/>
      </c>
      <c r="I20" s="127">
        <f ca="1">ORÇAMENTO!X20</f>
        <v>0</v>
      </c>
      <c r="J20" s="345">
        <f ca="1">IF($A20="S",IF(CAIXA.Modo,BM.AFAnterior,BM.MEDAnterior),IF(AND(RegimeExecucao="Global",$I20&gt;0,COUNTIF($AB$13:$AM$13,BM.medicao-1)&gt;0),M20/$I20*100,0))</f>
        <v>0</v>
      </c>
      <c r="K20" s="124">
        <f t="shared" ca="1" si="3"/>
        <v>0</v>
      </c>
      <c r="L20" s="346">
        <f ca="1">IF($A20="S",IF(CAIXA.Modo,BM.AFAcumulado,BM.MEDAcumulado),IF(AND(RegimeExecucao="Global",$I20&gt;0,COUNTIF($AB$13:$AM$13,BM.medicao)&gt;0),O20/$I20*100,0))</f>
        <v>0</v>
      </c>
      <c r="M20" s="347">
        <f ca="1">IF($A20="S",VTOTALBM,IF($A20=0,0,ROUND(SomaAgrupBM,15-13*ORÇAMENTO!$AF$11)))</f>
        <v>0</v>
      </c>
      <c r="N20" s="348">
        <f t="shared" ca="1" si="4"/>
        <v>0</v>
      </c>
      <c r="O20" s="127">
        <f ca="1">IF($A20="S",VTOTALBM,IF($A20=0,0,ROUND(SomaAgrupBM,15-13*ORÇAMENTO!$AF$11)))</f>
        <v>0</v>
      </c>
      <c r="Q20" s="349"/>
      <c r="R20" s="350"/>
      <c r="T20" s="119" t="str">
        <f t="shared" ca="1" si="5"/>
        <v/>
      </c>
      <c r="U20" s="170" t="str">
        <f t="shared" ca="1" si="6"/>
        <v/>
      </c>
      <c r="V20" s="171" t="str">
        <f ca="1">IF(AND($W20&gt;0,RegimeExecucao="Unitário"),$F20,"")</f>
        <v/>
      </c>
      <c r="W20" s="486">
        <f ca="1">IF($Y20&gt;0,CHOOSE(MATCH(RegimeExecucao,{"Unitário","Global"},0),IF($A20="S",$Y20/$X20,""),($Y20/$X20)*100),0)</f>
        <v>0</v>
      </c>
      <c r="X20" s="351" t="str">
        <f ca="1">IF($Y20&gt;0,CHOOSE(MATCH(RegimeExecucao,{"Unitário","Global"},0),IF($A20="S",ROUND($H20,ORÇAMENTO!$AF$10),""),ROUND($I20,ORÇAMENTO!$AF$11)),"")</f>
        <v/>
      </c>
      <c r="Y20" s="351">
        <f t="shared" ca="1" si="7"/>
        <v>0</v>
      </c>
      <c r="Z20" s="507"/>
      <c r="AB20" s="349"/>
      <c r="AC20" s="469"/>
      <c r="AD20" s="469"/>
      <c r="AE20" s="469"/>
      <c r="AF20" s="469"/>
      <c r="AG20" s="469"/>
      <c r="AH20" s="469"/>
      <c r="AI20" s="469"/>
      <c r="AJ20" s="469"/>
      <c r="AK20" s="469"/>
      <c r="AL20" s="469"/>
      <c r="AM20" s="350"/>
      <c r="AO20">
        <f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6" t="str">
        <f t="shared" ca="1" si="1"/>
        <v/>
      </c>
      <c r="D21" s="119" t="str">
        <f ca="1">ORÇAMENTO!O21</f>
        <v>-</v>
      </c>
      <c r="E21" s="170" t="str">
        <f t="shared" ca="1" si="2"/>
        <v>(abra o arquivo 'Referência 04-2026.xlsm)</v>
      </c>
      <c r="F21" s="171" t="str">
        <f ca="1">IF(RegimeExecucao="Global","",ORÇAMENTO.Unidade)</f>
        <v/>
      </c>
      <c r="G21" s="124" t="str">
        <f ca="1">IF(RegimeExecucao="Global","",ORÇAMENTO!T21)</f>
        <v/>
      </c>
      <c r="H21" s="124" t="str">
        <f ca="1">IF(RegimeExecucao="Global","",ORÇAMENTO!W21)</f>
        <v/>
      </c>
      <c r="I21" s="127">
        <f ca="1">ORÇAMENTO!X21</f>
        <v>0</v>
      </c>
      <c r="J21" s="345">
        <f ca="1">IF($A21="S",IF(CAIXA.Modo,BM.AFAnterior,BM.MEDAnterior),IF(AND(RegimeExecucao="Global",$I21&gt;0,COUNTIF($AB$13:$AM$13,BM.medicao-1)&gt;0),M21/$I21*100,0))</f>
        <v>0</v>
      </c>
      <c r="K21" s="124">
        <f t="shared" ca="1" si="3"/>
        <v>0</v>
      </c>
      <c r="L21" s="346">
        <f ca="1">IF($A21="S",IF(CAIXA.Modo,BM.AFAcumulado,BM.MEDAcumulado),IF(AND(RegimeExecucao="Global",$I21&gt;0,COUNTIF($AB$13:$AM$13,BM.medicao)&gt;0),O21/$I21*100,0))</f>
        <v>0</v>
      </c>
      <c r="M21" s="347">
        <f ca="1">IF($A21="S",VTOTALBM,IF($A21=0,0,ROUND(SomaAgrupBM,15-13*ORÇAMENTO!$AF$11)))</f>
        <v>0</v>
      </c>
      <c r="N21" s="348">
        <f t="shared" ca="1" si="4"/>
        <v>0</v>
      </c>
      <c r="O21" s="127">
        <f ca="1">IF($A21="S",VTOTALBM,IF($A21=0,0,ROUND(SomaAgrupBM,15-13*ORÇAMENTO!$AF$11)))</f>
        <v>0</v>
      </c>
      <c r="Q21" s="349"/>
      <c r="R21" s="350"/>
      <c r="T21" s="119" t="str">
        <f t="shared" ca="1" si="5"/>
        <v/>
      </c>
      <c r="U21" s="170" t="str">
        <f t="shared" ca="1" si="6"/>
        <v/>
      </c>
      <c r="V21" s="171" t="str">
        <f ca="1">IF(AND($W21&gt;0,RegimeExecucao="Unitário"),$F21,"")</f>
        <v/>
      </c>
      <c r="W21" s="486">
        <f ca="1">IF($Y21&gt;0,CHOOSE(MATCH(RegimeExecucao,{"Unitário","Global"},0),IF($A21="S",$Y21/$X21,""),($Y21/$X21)*100),0)</f>
        <v>0</v>
      </c>
      <c r="X21" s="351" t="str">
        <f ca="1">IF($Y21&gt;0,CHOOSE(MATCH(RegimeExecucao,{"Unitário","Global"},0),IF($A21="S",ROUND($H21,ORÇAMENTO!$AF$10),""),ROUND($I21,ORÇAMENTO!$AF$11)),"")</f>
        <v/>
      </c>
      <c r="Y21" s="351">
        <f t="shared" ca="1" si="7"/>
        <v>0</v>
      </c>
      <c r="Z21" s="507"/>
      <c r="AB21" s="349"/>
      <c r="AC21" s="469"/>
      <c r="AD21" s="469"/>
      <c r="AE21" s="469"/>
      <c r="AF21" s="469"/>
      <c r="AG21" s="469"/>
      <c r="AH21" s="469"/>
      <c r="AI21" s="469"/>
      <c r="AJ21" s="469"/>
      <c r="AK21" s="469"/>
      <c r="AL21" s="469"/>
      <c r="AM21" s="350"/>
      <c r="AO21">
        <f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6" t="str">
        <f t="shared" ca="1" si="1"/>
        <v/>
      </c>
      <c r="D22" s="119" t="str">
        <f ca="1">ORÇAMENTO!O22</f>
        <v>-</v>
      </c>
      <c r="E22" s="170" t="str">
        <f t="shared" ca="1" si="2"/>
        <v>(abra o arquivo 'Referência 04-2026.xlsm)</v>
      </c>
      <c r="F22" s="171" t="str">
        <f ca="1">IF(RegimeExecucao="Global","",ORÇAMENTO.Unidade)</f>
        <v/>
      </c>
      <c r="G22" s="124" t="str">
        <f ca="1">IF(RegimeExecucao="Global","",ORÇAMENTO!T22)</f>
        <v/>
      </c>
      <c r="H22" s="124" t="str">
        <f ca="1">IF(RegimeExecucao="Global","",ORÇAMENTO!W22)</f>
        <v/>
      </c>
      <c r="I22" s="127">
        <f ca="1">ORÇAMENTO!X22</f>
        <v>0</v>
      </c>
      <c r="J22" s="345">
        <f ca="1">IF($A22="S",IF(CAIXA.Modo,BM.AFAnterior,BM.MEDAnterior),IF(AND(RegimeExecucao="Global",$I22&gt;0,COUNTIF($AB$13:$AM$13,BM.medicao-1)&gt;0),M22/$I22*100,0))</f>
        <v>0</v>
      </c>
      <c r="K22" s="124">
        <f t="shared" ca="1" si="3"/>
        <v>0</v>
      </c>
      <c r="L22" s="346">
        <f ca="1">IF($A22="S",IF(CAIXA.Modo,BM.AFAcumulado,BM.MEDAcumulado),IF(AND(RegimeExecucao="Global",$I22&gt;0,COUNTIF($AB$13:$AM$13,BM.medicao)&gt;0),O22/$I22*100,0))</f>
        <v>0</v>
      </c>
      <c r="M22" s="347">
        <f ca="1">IF($A22="S",VTOTALBM,IF($A22=0,0,ROUND(SomaAgrupBM,15-13*ORÇAMENTO!$AF$11)))</f>
        <v>0</v>
      </c>
      <c r="N22" s="348">
        <f t="shared" ca="1" si="4"/>
        <v>0</v>
      </c>
      <c r="O22" s="127">
        <f ca="1">IF($A22="S",VTOTALBM,IF($A22=0,0,ROUND(SomaAgrupBM,15-13*ORÇAMENTO!$AF$11)))</f>
        <v>0</v>
      </c>
      <c r="Q22" s="349"/>
      <c r="R22" s="350"/>
      <c r="T22" s="119" t="str">
        <f t="shared" ca="1" si="5"/>
        <v/>
      </c>
      <c r="U22" s="170" t="str">
        <f t="shared" ca="1" si="6"/>
        <v/>
      </c>
      <c r="V22" s="171" t="str">
        <f ca="1">IF(AND($W22&gt;0,RegimeExecucao="Unitário"),$F22,"")</f>
        <v/>
      </c>
      <c r="W22" s="486">
        <f ca="1">IF($Y22&gt;0,CHOOSE(MATCH(RegimeExecucao,{"Unitário","Global"},0),IF($A22="S",$Y22/$X22,""),($Y22/$X22)*100),0)</f>
        <v>0</v>
      </c>
      <c r="X22" s="351" t="str">
        <f ca="1">IF($Y22&gt;0,CHOOSE(MATCH(RegimeExecucao,{"Unitário","Global"},0),IF($A22="S",ROUND($H22,ORÇAMENTO!$AF$10),""),ROUND($I22,ORÇAMENTO!$AF$11)),"")</f>
        <v/>
      </c>
      <c r="Y22" s="351">
        <f t="shared" ca="1" si="7"/>
        <v>0</v>
      </c>
      <c r="Z22" s="507"/>
      <c r="AB22" s="349"/>
      <c r="AC22" s="469"/>
      <c r="AD22" s="469"/>
      <c r="AE22" s="469"/>
      <c r="AF22" s="469"/>
      <c r="AG22" s="469"/>
      <c r="AH22" s="469"/>
      <c r="AI22" s="469"/>
      <c r="AJ22" s="469"/>
      <c r="AK22" s="469"/>
      <c r="AL22" s="469"/>
      <c r="AM22" s="350"/>
      <c r="AO22">
        <f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6" t="str">
        <f t="shared" ca="1" si="1"/>
        <v/>
      </c>
      <c r="D23" s="119" t="str">
        <f ca="1">ORÇAMENTO!O23</f>
        <v>-</v>
      </c>
      <c r="E23" s="170" t="str">
        <f t="shared" ca="1" si="2"/>
        <v>(abra o arquivo 'Referência 04-2026.xlsm)</v>
      </c>
      <c r="F23" s="171" t="str">
        <f ca="1">IF(RegimeExecucao="Global","",ORÇAMENTO.Unidade)</f>
        <v/>
      </c>
      <c r="G23" s="124" t="str">
        <f ca="1">IF(RegimeExecucao="Global","",ORÇAMENTO!T23)</f>
        <v/>
      </c>
      <c r="H23" s="124" t="str">
        <f ca="1">IF(RegimeExecucao="Global","",ORÇAMENTO!W23)</f>
        <v/>
      </c>
      <c r="I23" s="127">
        <f ca="1">ORÇAMENTO!X23</f>
        <v>0</v>
      </c>
      <c r="J23" s="345">
        <f ca="1">IF($A23="S",IF(CAIXA.Modo,BM.AFAnterior,BM.MEDAnterior),IF(AND(RegimeExecucao="Global",$I23&gt;0,COUNTIF($AB$13:$AM$13,BM.medicao-1)&gt;0),M23/$I23*100,0))</f>
        <v>0</v>
      </c>
      <c r="K23" s="124">
        <f t="shared" ca="1" si="3"/>
        <v>0</v>
      </c>
      <c r="L23" s="346">
        <f ca="1">IF($A23="S",IF(CAIXA.Modo,BM.AFAcumulado,BM.MEDAcumulado),IF(AND(RegimeExecucao="Global",$I23&gt;0,COUNTIF($AB$13:$AM$13,BM.medicao)&gt;0),O23/$I23*100,0))</f>
        <v>0</v>
      </c>
      <c r="M23" s="347">
        <f ca="1">IF($A23="S",VTOTALBM,IF($A23=0,0,ROUND(SomaAgrupBM,15-13*ORÇAMENTO!$AF$11)))</f>
        <v>0</v>
      </c>
      <c r="N23" s="348">
        <f t="shared" ca="1" si="4"/>
        <v>0</v>
      </c>
      <c r="O23" s="127">
        <f ca="1">IF($A23="S",VTOTALBM,IF($A23=0,0,ROUND(SomaAgrupBM,15-13*ORÇAMENTO!$AF$11)))</f>
        <v>0</v>
      </c>
      <c r="Q23" s="349"/>
      <c r="R23" s="350"/>
      <c r="T23" s="119" t="str">
        <f t="shared" ca="1" si="5"/>
        <v/>
      </c>
      <c r="U23" s="170" t="str">
        <f t="shared" ca="1" si="6"/>
        <v/>
      </c>
      <c r="V23" s="171" t="str">
        <f ca="1">IF(AND($W23&gt;0,RegimeExecucao="Unitário"),$F23,"")</f>
        <v/>
      </c>
      <c r="W23" s="486">
        <f ca="1">IF($Y23&gt;0,CHOOSE(MATCH(RegimeExecucao,{"Unitário","Global"},0),IF($A23="S",$Y23/$X23,""),($Y23/$X23)*100),0)</f>
        <v>0</v>
      </c>
      <c r="X23" s="351" t="str">
        <f ca="1">IF($Y23&gt;0,CHOOSE(MATCH(RegimeExecucao,{"Unitário","Global"},0),IF($A23="S",ROUND($H23,ORÇAMENTO!$AF$10),""),ROUND($I23,ORÇAMENTO!$AF$11)),"")</f>
        <v/>
      </c>
      <c r="Y23" s="351">
        <f t="shared" ca="1" si="7"/>
        <v>0</v>
      </c>
      <c r="Z23" s="507"/>
      <c r="AB23" s="349"/>
      <c r="AC23" s="469"/>
      <c r="AD23" s="469"/>
      <c r="AE23" s="469"/>
      <c r="AF23" s="469"/>
      <c r="AG23" s="469"/>
      <c r="AH23" s="469"/>
      <c r="AI23" s="469"/>
      <c r="AJ23" s="469"/>
      <c r="AK23" s="469"/>
      <c r="AL23" s="469"/>
      <c r="AM23" s="350"/>
      <c r="AO23">
        <f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6" t="str">
        <f t="shared" ca="1" si="1"/>
        <v/>
      </c>
      <c r="D24" s="119" t="str">
        <f ca="1">ORÇAMENTO!O24</f>
        <v>-</v>
      </c>
      <c r="E24" s="170" t="str">
        <f t="shared" ca="1" si="2"/>
        <v>(abra o arquivo 'Referência 04-2026.xlsm)</v>
      </c>
      <c r="F24" s="171" t="str">
        <f ca="1">IF(RegimeExecucao="Global","",ORÇAMENTO.Unidade)</f>
        <v/>
      </c>
      <c r="G24" s="124" t="str">
        <f ca="1">IF(RegimeExecucao="Global","",ORÇAMENTO!T24)</f>
        <v/>
      </c>
      <c r="H24" s="124" t="str">
        <f ca="1">IF(RegimeExecucao="Global","",ORÇAMENTO!W24)</f>
        <v/>
      </c>
      <c r="I24" s="127">
        <f ca="1">ORÇAMENTO!X24</f>
        <v>0</v>
      </c>
      <c r="J24" s="345">
        <f ca="1">IF($A24="S",IF(CAIXA.Modo,BM.AFAnterior,BM.MEDAnterior),IF(AND(RegimeExecucao="Global",$I24&gt;0,COUNTIF($AB$13:$AM$13,BM.medicao-1)&gt;0),M24/$I24*100,0))</f>
        <v>0</v>
      </c>
      <c r="K24" s="124">
        <f t="shared" ca="1" si="3"/>
        <v>0</v>
      </c>
      <c r="L24" s="346">
        <f ca="1">IF($A24="S",IF(CAIXA.Modo,BM.AFAcumulado,BM.MEDAcumulado),IF(AND(RegimeExecucao="Global",$I24&gt;0,COUNTIF($AB$13:$AM$13,BM.medicao)&gt;0),O24/$I24*100,0))</f>
        <v>0</v>
      </c>
      <c r="M24" s="347">
        <f ca="1">IF($A24="S",VTOTALBM,IF($A24=0,0,ROUND(SomaAgrupBM,15-13*ORÇAMENTO!$AF$11)))</f>
        <v>0</v>
      </c>
      <c r="N24" s="348">
        <f t="shared" ca="1" si="4"/>
        <v>0</v>
      </c>
      <c r="O24" s="127">
        <f ca="1">IF($A24="S",VTOTALBM,IF($A24=0,0,ROUND(SomaAgrupBM,15-13*ORÇAMENTO!$AF$11)))</f>
        <v>0</v>
      </c>
      <c r="Q24" s="349"/>
      <c r="R24" s="350"/>
      <c r="T24" s="119" t="str">
        <f t="shared" ca="1" si="5"/>
        <v/>
      </c>
      <c r="U24" s="170" t="str">
        <f t="shared" ca="1" si="6"/>
        <v/>
      </c>
      <c r="V24" s="171" t="str">
        <f ca="1">IF(AND($W24&gt;0,RegimeExecucao="Unitário"),$F24,"")</f>
        <v/>
      </c>
      <c r="W24" s="486">
        <f ca="1">IF($Y24&gt;0,CHOOSE(MATCH(RegimeExecucao,{"Unitário","Global"},0),IF($A24="S",$Y24/$X24,""),($Y24/$X24)*100),0)</f>
        <v>0</v>
      </c>
      <c r="X24" s="351" t="str">
        <f ca="1">IF($Y24&gt;0,CHOOSE(MATCH(RegimeExecucao,{"Unitário","Global"},0),IF($A24="S",ROUND($H24,ORÇAMENTO!$AF$10),""),ROUND($I24,ORÇAMENTO!$AF$11)),"")</f>
        <v/>
      </c>
      <c r="Y24" s="351">
        <f t="shared" ca="1" si="7"/>
        <v>0</v>
      </c>
      <c r="Z24" s="507"/>
      <c r="AB24" s="349"/>
      <c r="AC24" s="469"/>
      <c r="AD24" s="469"/>
      <c r="AE24" s="469"/>
      <c r="AF24" s="469"/>
      <c r="AG24" s="469"/>
      <c r="AH24" s="469"/>
      <c r="AI24" s="469"/>
      <c r="AJ24" s="469"/>
      <c r="AK24" s="469"/>
      <c r="AL24" s="469"/>
      <c r="AM24" s="350"/>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6" t="str">
        <f t="shared" ca="1" si="1"/>
        <v/>
      </c>
      <c r="D25" s="119" t="str">
        <f ca="1">ORÇAMENTO!O25</f>
        <v>-</v>
      </c>
      <c r="E25" s="170" t="str">
        <f t="shared" ca="1" si="2"/>
        <v>(abra o arquivo 'Referência 04-2026.xlsm)</v>
      </c>
      <c r="F25" s="171" t="str">
        <f ca="1">IF(RegimeExecucao="Global","",ORÇAMENTO.Unidade)</f>
        <v/>
      </c>
      <c r="G25" s="124" t="str">
        <f ca="1">IF(RegimeExecucao="Global","",ORÇAMENTO!T25)</f>
        <v/>
      </c>
      <c r="H25" s="124" t="str">
        <f ca="1">IF(RegimeExecucao="Global","",ORÇAMENTO!W25)</f>
        <v/>
      </c>
      <c r="I25" s="127">
        <f ca="1">ORÇAMENTO!X25</f>
        <v>0</v>
      </c>
      <c r="J25" s="345">
        <f ca="1">IF($A25="S",IF(CAIXA.Modo,BM.AFAnterior,BM.MEDAnterior),IF(AND(RegimeExecucao="Global",$I25&gt;0,COUNTIF($AB$13:$AM$13,BM.medicao-1)&gt;0),M25/$I25*100,0))</f>
        <v>0</v>
      </c>
      <c r="K25" s="124">
        <f t="shared" ca="1" si="3"/>
        <v>0</v>
      </c>
      <c r="L25" s="346">
        <f ca="1">IF($A25="S",IF(CAIXA.Modo,BM.AFAcumulado,BM.MEDAcumulado),IF(AND(RegimeExecucao="Global",$I25&gt;0,COUNTIF($AB$13:$AM$13,BM.medicao)&gt;0),O25/$I25*100,0))</f>
        <v>0</v>
      </c>
      <c r="M25" s="347">
        <f ca="1">IF($A25="S",VTOTALBM,IF($A25=0,0,ROUND(SomaAgrupBM,15-13*ORÇAMENTO!$AF$11)))</f>
        <v>0</v>
      </c>
      <c r="N25" s="348">
        <f t="shared" ca="1" si="4"/>
        <v>0</v>
      </c>
      <c r="O25" s="127">
        <f ca="1">IF($A25="S",VTOTALBM,IF($A25=0,0,ROUND(SomaAgrupBM,15-13*ORÇAMENTO!$AF$11)))</f>
        <v>0</v>
      </c>
      <c r="Q25" s="349"/>
      <c r="R25" s="350"/>
      <c r="T25" s="119" t="str">
        <f t="shared" ca="1" si="5"/>
        <v/>
      </c>
      <c r="U25" s="170" t="str">
        <f t="shared" ca="1" si="6"/>
        <v/>
      </c>
      <c r="V25" s="171" t="str">
        <f ca="1">IF(AND($W25&gt;0,RegimeExecucao="Unitário"),$F25,"")</f>
        <v/>
      </c>
      <c r="W25" s="486">
        <f ca="1">IF($Y25&gt;0,CHOOSE(MATCH(RegimeExecucao,{"Unitário","Global"},0),IF($A25="S",$Y25/$X25,""),($Y25/$X25)*100),0)</f>
        <v>0</v>
      </c>
      <c r="X25" s="351" t="str">
        <f ca="1">IF($Y25&gt;0,CHOOSE(MATCH(RegimeExecucao,{"Unitário","Global"},0),IF($A25="S",ROUND($H25,ORÇAMENTO!$AF$10),""),ROUND($I25,ORÇAMENTO!$AF$11)),"")</f>
        <v/>
      </c>
      <c r="Y25" s="351">
        <f t="shared" ca="1" si="7"/>
        <v>0</v>
      </c>
      <c r="Z25" s="507"/>
      <c r="AB25" s="349"/>
      <c r="AC25" s="469"/>
      <c r="AD25" s="469"/>
      <c r="AE25" s="469"/>
      <c r="AF25" s="469"/>
      <c r="AG25" s="469"/>
      <c r="AH25" s="469"/>
      <c r="AI25" s="469"/>
      <c r="AJ25" s="469"/>
      <c r="AK25" s="469"/>
      <c r="AL25" s="469"/>
      <c r="AM25" s="350"/>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6" t="str">
        <f t="shared" ca="1" si="1"/>
        <v/>
      </c>
      <c r="D26" s="119" t="str">
        <f ca="1">ORÇAMENTO!O26</f>
        <v>-</v>
      </c>
      <c r="E26" s="170" t="str">
        <f t="shared" ca="1" si="2"/>
        <v>(abra o arquivo 'Referência 04-2026.xlsm)</v>
      </c>
      <c r="F26" s="171" t="str">
        <f ca="1">IF(RegimeExecucao="Global","",ORÇAMENTO.Unidade)</f>
        <v/>
      </c>
      <c r="G26" s="124" t="str">
        <f ca="1">IF(RegimeExecucao="Global","",ORÇAMENTO!T26)</f>
        <v/>
      </c>
      <c r="H26" s="124" t="str">
        <f ca="1">IF(RegimeExecucao="Global","",ORÇAMENTO!W26)</f>
        <v/>
      </c>
      <c r="I26" s="127">
        <f ca="1">ORÇAMENTO!X26</f>
        <v>0</v>
      </c>
      <c r="J26" s="345">
        <f ca="1">IF($A26="S",IF(CAIXA.Modo,BM.AFAnterior,BM.MEDAnterior),IF(AND(RegimeExecucao="Global",$I26&gt;0,COUNTIF($AB$13:$AM$13,BM.medicao-1)&gt;0),M26/$I26*100,0))</f>
        <v>0</v>
      </c>
      <c r="K26" s="124">
        <f t="shared" ca="1" si="3"/>
        <v>0</v>
      </c>
      <c r="L26" s="346">
        <f ca="1">IF($A26="S",IF(CAIXA.Modo,BM.AFAcumulado,BM.MEDAcumulado),IF(AND(RegimeExecucao="Global",$I26&gt;0,COUNTIF($AB$13:$AM$13,BM.medicao)&gt;0),O26/$I26*100,0))</f>
        <v>0</v>
      </c>
      <c r="M26" s="347">
        <f ca="1">IF($A26="S",VTOTALBM,IF($A26=0,0,ROUND(SomaAgrupBM,15-13*ORÇAMENTO!$AF$11)))</f>
        <v>0</v>
      </c>
      <c r="N26" s="348">
        <f t="shared" ca="1" si="4"/>
        <v>0</v>
      </c>
      <c r="O26" s="127">
        <f ca="1">IF($A26="S",VTOTALBM,IF($A26=0,0,ROUND(SomaAgrupBM,15-13*ORÇAMENTO!$AF$11)))</f>
        <v>0</v>
      </c>
      <c r="Q26" s="349"/>
      <c r="R26" s="350"/>
      <c r="T26" s="119" t="str">
        <f t="shared" ca="1" si="5"/>
        <v/>
      </c>
      <c r="U26" s="170" t="str">
        <f t="shared" ca="1" si="6"/>
        <v/>
      </c>
      <c r="V26" s="171" t="str">
        <f ca="1">IF(AND($W26&gt;0,RegimeExecucao="Unitário"),$F26,"")</f>
        <v/>
      </c>
      <c r="W26" s="486">
        <f ca="1">IF($Y26&gt;0,CHOOSE(MATCH(RegimeExecucao,{"Unitário","Global"},0),IF($A26="S",$Y26/$X26,""),($Y26/$X26)*100),0)</f>
        <v>0</v>
      </c>
      <c r="X26" s="351" t="str">
        <f ca="1">IF($Y26&gt;0,CHOOSE(MATCH(RegimeExecucao,{"Unitário","Global"},0),IF($A26="S",ROUND($H26,ORÇAMENTO!$AF$10),""),ROUND($I26,ORÇAMENTO!$AF$11)),"")</f>
        <v/>
      </c>
      <c r="Y26" s="351">
        <f t="shared" ca="1" si="7"/>
        <v>0</v>
      </c>
      <c r="Z26" s="507"/>
      <c r="AB26" s="349"/>
      <c r="AC26" s="469"/>
      <c r="AD26" s="469"/>
      <c r="AE26" s="469"/>
      <c r="AF26" s="469"/>
      <c r="AG26" s="469"/>
      <c r="AH26" s="469"/>
      <c r="AI26" s="469"/>
      <c r="AJ26" s="469"/>
      <c r="AK26" s="469"/>
      <c r="AL26" s="469"/>
      <c r="AM26" s="350"/>
      <c r="AO26">
        <f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6" t="str">
        <f ca="1">IF(OR($I27&gt;0,$A27=1,$A27=2,$A27=3,$A27=4),"F","")</f>
        <v/>
      </c>
      <c r="D27" s="119" t="str">
        <f ca="1">ORÇAMENTO!O27</f>
        <v>-</v>
      </c>
      <c r="E27" s="170" t="str">
        <f ca="1">ORÇAMENTO.Descricao</f>
        <v>(abra o arquivo 'Referência 04-2026.xlsm)</v>
      </c>
      <c r="F27" s="171" t="str">
        <f ca="1">IF(RegimeExecucao="Global","",ORÇAMENTO.Unidade)</f>
        <v/>
      </c>
      <c r="G27" s="124" t="str">
        <f ca="1">IF(RegimeExecucao="Global","",ORÇAMENTO!T27)</f>
        <v/>
      </c>
      <c r="H27" s="124" t="str">
        <f ca="1">IF(RegimeExecucao="Global","",ORÇAMENTO!W27)</f>
        <v/>
      </c>
      <c r="I27" s="127">
        <f ca="1">ORÇAMENTO!X27</f>
        <v>0</v>
      </c>
      <c r="J27" s="345">
        <f ca="1">IF($A27="S",IF(CAIXA.Modo,BM.AFAnterior,BM.MEDAnterior),IF(AND(RegimeExecucao="Global",$I27&gt;0,COUNTIF($AB$13:$AM$13,BM.medicao-1)&gt;0),M27/$I27*100,0))</f>
        <v>0</v>
      </c>
      <c r="K27" s="124">
        <f ca="1">L27-J27</f>
        <v>0</v>
      </c>
      <c r="L27" s="346">
        <f ca="1">IF($A27="S",IF(CAIXA.Modo,BM.AFAcumulado,BM.MEDAcumulado),IF(AND(RegimeExecucao="Global",$I27&gt;0,COUNTIF($AB$13:$AM$13,BM.medicao)&gt;0),O27/$I27*100,0))</f>
        <v>0</v>
      </c>
      <c r="M27" s="347">
        <f ca="1">IF($A27="S",VTOTALBM,IF($A27=0,0,ROUND(SomaAgrupBM,15-13*ORÇAMENTO!$AF$11)))</f>
        <v>0</v>
      </c>
      <c r="N27" s="348">
        <f ca="1">O27-M27</f>
        <v>0</v>
      </c>
      <c r="O27" s="127">
        <f ca="1">IF($A27="S",VTOTALBM,IF($A27=0,0,ROUND(SomaAgrupBM,15-13*ORÇAMENTO!$AF$11)))</f>
        <v>0</v>
      </c>
      <c r="Q27" s="349"/>
      <c r="R27" s="350"/>
      <c r="T27" s="119" t="str">
        <f ca="1">IF($W27&gt;0,$D27,"")</f>
        <v/>
      </c>
      <c r="U27" s="170" t="str">
        <f ca="1">IF($W27&gt;0,$E27,"")</f>
        <v/>
      </c>
      <c r="V27" s="171" t="str">
        <f ca="1">IF(AND($W27&gt;0,RegimeExecucao="Unitário"),$F27,"")</f>
        <v/>
      </c>
      <c r="W27" s="486">
        <f ca="1">IF($Y27&gt;0,CHOOSE(MATCH(RegimeExecucao,{"Unitário","Global"},0),IF($A27="S",$Y27/$X27,""),($Y27/$X27)*100),0)</f>
        <v>0</v>
      </c>
      <c r="X27" s="351" t="str">
        <f ca="1">IF($Y27&gt;0,CHOOSE(MATCH(RegimeExecucao,{"Unitário","Global"},0),IF($A27="S",ROUND($H27,ORÇAMENTO!$AF$10),""),ROUND($I27,ORÇAMENTO!$AF$11)),"")</f>
        <v/>
      </c>
      <c r="Y27" s="351">
        <f ca="1">AO27-O27</f>
        <v>0</v>
      </c>
      <c r="Z27" s="507"/>
      <c r="AB27" s="349"/>
      <c r="AC27" s="469"/>
      <c r="AD27" s="469"/>
      <c r="AE27" s="469"/>
      <c r="AF27" s="469"/>
      <c r="AG27" s="469"/>
      <c r="AH27" s="469"/>
      <c r="AI27" s="469"/>
      <c r="AJ27" s="469"/>
      <c r="AK27" s="469"/>
      <c r="AL27" s="469"/>
      <c r="AM27" s="350"/>
      <c r="AO27">
        <f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6" t="str">
        <f ca="1">IF(OR($I28&gt;0,$A28=1,$A28=2,$A28=3,$A28=4),"F","")</f>
        <v/>
      </c>
      <c r="D28" s="119" t="str">
        <f ca="1">ORÇAMENTO!O28</f>
        <v>-</v>
      </c>
      <c r="E28" s="170" t="str">
        <f ca="1">ORÇAMENTO.Descricao</f>
        <v>(abra o arquivo 'Referência 04-2026.xlsm)</v>
      </c>
      <c r="F28" s="171" t="str">
        <f ca="1">IF(RegimeExecucao="Global","",ORÇAMENTO.Unidade)</f>
        <v/>
      </c>
      <c r="G28" s="124" t="str">
        <f ca="1">IF(RegimeExecucao="Global","",ORÇAMENTO!T28)</f>
        <v/>
      </c>
      <c r="H28" s="124" t="str">
        <f ca="1">IF(RegimeExecucao="Global","",ORÇAMENTO!W28)</f>
        <v/>
      </c>
      <c r="I28" s="127">
        <f ca="1">ORÇAMENTO!X28</f>
        <v>0</v>
      </c>
      <c r="J28" s="345">
        <f ca="1">IF($A28="S",IF(CAIXA.Modo,BM.AFAnterior,BM.MEDAnterior),IF(AND(RegimeExecucao="Global",$I28&gt;0,COUNTIF($AB$13:$AM$13,BM.medicao-1)&gt;0),M28/$I28*100,0))</f>
        <v>0</v>
      </c>
      <c r="K28" s="124">
        <f ca="1">L28-J28</f>
        <v>0</v>
      </c>
      <c r="L28" s="346">
        <f ca="1">IF($A28="S",IF(CAIXA.Modo,BM.AFAcumulado,BM.MEDAcumulado),IF(AND(RegimeExecucao="Global",$I28&gt;0,COUNTIF($AB$13:$AM$13,BM.medicao)&gt;0),O28/$I28*100,0))</f>
        <v>0</v>
      </c>
      <c r="M28" s="347">
        <f ca="1">IF($A28="S",VTOTALBM,IF($A28=0,0,ROUND(SomaAgrupBM,15-13*ORÇAMENTO!$AF$11)))</f>
        <v>0</v>
      </c>
      <c r="N28" s="348">
        <f ca="1">O28-M28</f>
        <v>0</v>
      </c>
      <c r="O28" s="127">
        <f ca="1">IF($A28="S",VTOTALBM,IF($A28=0,0,ROUND(SomaAgrupBM,15-13*ORÇAMENTO!$AF$11)))</f>
        <v>0</v>
      </c>
      <c r="Q28" s="349"/>
      <c r="R28" s="350"/>
      <c r="T28" s="119" t="str">
        <f ca="1">IF($W28&gt;0,$D28,"")</f>
        <v/>
      </c>
      <c r="U28" s="170" t="str">
        <f ca="1">IF($W28&gt;0,$E28,"")</f>
        <v/>
      </c>
      <c r="V28" s="171" t="str">
        <f ca="1">IF(AND($W28&gt;0,RegimeExecucao="Unitário"),$F28,"")</f>
        <v/>
      </c>
      <c r="W28" s="486">
        <f ca="1">IF($Y28&gt;0,CHOOSE(MATCH(RegimeExecucao,{"Unitário","Global"},0),IF($A28="S",$Y28/$X28,""),($Y28/$X28)*100),0)</f>
        <v>0</v>
      </c>
      <c r="X28" s="351" t="str">
        <f ca="1">IF($Y28&gt;0,CHOOSE(MATCH(RegimeExecucao,{"Unitário","Global"},0),IF($A28="S",ROUND($H28,ORÇAMENTO!$AF$10),""),ROUND($I28,ORÇAMENTO!$AF$11)),"")</f>
        <v/>
      </c>
      <c r="Y28" s="351">
        <f ca="1">AO28-O28</f>
        <v>0</v>
      </c>
      <c r="Z28" s="507"/>
      <c r="AB28" s="349"/>
      <c r="AC28" s="469"/>
      <c r="AD28" s="469"/>
      <c r="AE28" s="469"/>
      <c r="AF28" s="469"/>
      <c r="AG28" s="469"/>
      <c r="AH28" s="469"/>
      <c r="AI28" s="469"/>
      <c r="AJ28" s="469"/>
      <c r="AK28" s="469"/>
      <c r="AL28" s="469"/>
      <c r="AM28" s="350"/>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1</v>
      </c>
      <c r="B29">
        <f ca="1">ORÇAMENTO!D29</f>
        <v>60</v>
      </c>
      <c r="C29" s="116" t="str">
        <f t="shared" ca="1" si="1"/>
        <v>F</v>
      </c>
      <c r="D29" s="119" t="str">
        <f ca="1">ORÇAMENTO!O29</f>
        <v>2.</v>
      </c>
      <c r="E29" s="170" t="str">
        <f t="shared" si="2"/>
        <v>CONSTRUÇÃO DA CHURRASQUEIRA</v>
      </c>
      <c r="F29" s="171" t="str">
        <f ca="1">IF(RegimeExecucao="Global","",ORÇAMENTO.Unidade)</f>
        <v/>
      </c>
      <c r="G29" s="124" t="str">
        <f ca="1">IF(RegimeExecucao="Global","",ORÇAMENTO!T29)</f>
        <v/>
      </c>
      <c r="H29" s="124" t="str">
        <f ca="1">IF(RegimeExecucao="Global","",ORÇAMENTO!W29)</f>
        <v/>
      </c>
      <c r="I29" s="127">
        <f ca="1">ORÇAMENTO!X29</f>
        <v>0</v>
      </c>
      <c r="J29" s="345">
        <f ca="1">IF($A29="S",IF(CAIXA.Modo,BM.AFAnterior,BM.MEDAnterior),IF(AND(RegimeExecucao="Global",$I29&gt;0,COUNTIF($AB$13:$AM$13,BM.medicao-1)&gt;0),M29/$I29*100,0))</f>
        <v>0</v>
      </c>
      <c r="K29" s="124">
        <f t="shared" ca="1" si="3"/>
        <v>0</v>
      </c>
      <c r="L29" s="346">
        <f ca="1">IF($A29="S",IF(CAIXA.Modo,BM.AFAcumulado,BM.MEDAcumulado),IF(AND(RegimeExecucao="Global",$I29&gt;0,COUNTIF($AB$13:$AM$13,BM.medicao)&gt;0),O29/$I29*100,0))</f>
        <v>0</v>
      </c>
      <c r="M29" s="347">
        <f ca="1">IF($A29="S",VTOTALBM,IF($A29=0,0,ROUND(SomaAgrupBM,15-13*ORÇAMENTO!$AF$11)))</f>
        <v>0</v>
      </c>
      <c r="N29" s="348">
        <f t="shared" ca="1" si="4"/>
        <v>0</v>
      </c>
      <c r="O29" s="127">
        <f ca="1">IF($A29="S",VTOTALBM,IF($A29=0,0,ROUND(SomaAgrupBM,15-13*ORÇAMENTO!$AF$11)))</f>
        <v>0</v>
      </c>
      <c r="Q29" s="349"/>
      <c r="R29" s="350"/>
      <c r="T29" s="119" t="str">
        <f t="shared" ca="1" si="5"/>
        <v/>
      </c>
      <c r="U29" s="170" t="str">
        <f t="shared" ca="1" si="6"/>
        <v/>
      </c>
      <c r="V29" s="171" t="str">
        <f ca="1">IF(AND($W29&gt;0,RegimeExecucao="Unitário"),$F29,"")</f>
        <v/>
      </c>
      <c r="W29" s="486">
        <f ca="1">IF($Y29&gt;0,CHOOSE(MATCH(RegimeExecucao,{"Unitário","Global"},0),IF($A29="S",$Y29/$X29,""),($Y29/$X29)*100),0)</f>
        <v>0</v>
      </c>
      <c r="X29" s="351" t="str">
        <f ca="1">IF($Y29&gt;0,CHOOSE(MATCH(RegimeExecucao,{"Unitário","Global"},0),IF($A29="S",ROUND($H29,ORÇAMENTO!$AF$10),""),ROUND($I29,ORÇAMENTO!$AF$11)),"")</f>
        <v/>
      </c>
      <c r="Y29" s="351">
        <f t="shared" ca="1" si="7"/>
        <v>0</v>
      </c>
      <c r="Z29" s="507"/>
      <c r="AB29" s="349"/>
      <c r="AC29" s="469"/>
      <c r="AD29" s="469"/>
      <c r="AE29" s="469"/>
      <c r="AF29" s="469"/>
      <c r="AG29" s="469"/>
      <c r="AH29" s="469"/>
      <c r="AI29" s="469"/>
      <c r="AJ29" s="469"/>
      <c r="AK29" s="469"/>
      <c r="AL29" s="469"/>
      <c r="AM29" s="350"/>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7</v>
      </c>
      <c r="C30" s="116" t="str">
        <f t="shared" ca="1" si="1"/>
        <v>F</v>
      </c>
      <c r="D30" s="119" t="str">
        <f ca="1">ORÇAMENTO!O30</f>
        <v>2.1.</v>
      </c>
      <c r="E30" s="170" t="str">
        <f t="shared" si="2"/>
        <v>FUNDAÇÕES</v>
      </c>
      <c r="F30" s="171" t="str">
        <f ca="1">IF(RegimeExecucao="Global","",ORÇAMENTO.Unidade)</f>
        <v/>
      </c>
      <c r="G30" s="124" t="str">
        <f ca="1">IF(RegimeExecucao="Global","",ORÇAMENTO!T30)</f>
        <v/>
      </c>
      <c r="H30" s="124" t="str">
        <f ca="1">IF(RegimeExecucao="Global","",ORÇAMENTO!W30)</f>
        <v/>
      </c>
      <c r="I30" s="127">
        <f ca="1">ORÇAMENTO!X30</f>
        <v>0</v>
      </c>
      <c r="J30" s="345">
        <f ca="1">IF($A30="S",IF(CAIXA.Modo,BM.AFAnterior,BM.MEDAnterior),IF(AND(RegimeExecucao="Global",$I30&gt;0,COUNTIF($AB$13:$AM$13,BM.medicao-1)&gt;0),M30/$I30*100,0))</f>
        <v>0</v>
      </c>
      <c r="K30" s="124">
        <f t="shared" ca="1" si="3"/>
        <v>0</v>
      </c>
      <c r="L30" s="346">
        <f ca="1">IF($A30="S",IF(CAIXA.Modo,BM.AFAcumulado,BM.MEDAcumulado),IF(AND(RegimeExecucao="Global",$I30&gt;0,COUNTIF($AB$13:$AM$13,BM.medicao)&gt;0),O30/$I30*100,0))</f>
        <v>0</v>
      </c>
      <c r="M30" s="347">
        <f ca="1">IF($A30="S",VTOTALBM,IF($A30=0,0,ROUND(SomaAgrupBM,15-13*ORÇAMENTO!$AF$11)))</f>
        <v>0</v>
      </c>
      <c r="N30" s="348">
        <f t="shared" ca="1" si="4"/>
        <v>0</v>
      </c>
      <c r="O30" s="127">
        <f ca="1">IF($A30="S",VTOTALBM,IF($A30=0,0,ROUND(SomaAgrupBM,15-13*ORÇAMENTO!$AF$11)))</f>
        <v>0</v>
      </c>
      <c r="Q30" s="349"/>
      <c r="R30" s="350"/>
      <c r="T30" s="119" t="str">
        <f t="shared" ca="1" si="5"/>
        <v/>
      </c>
      <c r="U30" s="170" t="str">
        <f t="shared" ca="1" si="6"/>
        <v/>
      </c>
      <c r="V30" s="171" t="str">
        <f ca="1">IF(AND($W30&gt;0,RegimeExecucao="Unitário"),$F30,"")</f>
        <v/>
      </c>
      <c r="W30" s="486">
        <f ca="1">IF($Y30&gt;0,CHOOSE(MATCH(RegimeExecucao,{"Unitário","Global"},0),IF($A30="S",$Y30/$X30,""),($Y30/$X30)*100),0)</f>
        <v>0</v>
      </c>
      <c r="X30" s="351" t="str">
        <f ca="1">IF($Y30&gt;0,CHOOSE(MATCH(RegimeExecucao,{"Unitário","Global"},0),IF($A30="S",ROUND($H30,ORÇAMENTO!$AF$10),""),ROUND($I30,ORÇAMENTO!$AF$11)),"")</f>
        <v/>
      </c>
      <c r="Y30" s="351">
        <f t="shared" ca="1" si="7"/>
        <v>0</v>
      </c>
      <c r="Z30" s="507"/>
      <c r="AB30" s="349"/>
      <c r="AC30" s="469"/>
      <c r="AD30" s="469"/>
      <c r="AE30" s="469"/>
      <c r="AF30" s="469"/>
      <c r="AG30" s="469"/>
      <c r="AH30" s="469"/>
      <c r="AI30" s="469"/>
      <c r="AJ30" s="469"/>
      <c r="AK30" s="469"/>
      <c r="AL30" s="469"/>
      <c r="AM30" s="350"/>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6" t="str">
        <f t="shared" ca="1" si="1"/>
        <v/>
      </c>
      <c r="D31" s="119" t="str">
        <f ca="1">ORÇAMENTO!O31</f>
        <v>-</v>
      </c>
      <c r="E31" s="170" t="str">
        <f t="shared" ca="1" si="2"/>
        <v>(abra o arquivo 'Referência 04-2026.xlsm)</v>
      </c>
      <c r="F31" s="171" t="str">
        <f ca="1">IF(RegimeExecucao="Global","",ORÇAMENTO.Unidade)</f>
        <v/>
      </c>
      <c r="G31" s="124" t="str">
        <f ca="1">IF(RegimeExecucao="Global","",ORÇAMENTO!T31)</f>
        <v/>
      </c>
      <c r="H31" s="124" t="str">
        <f ca="1">IF(RegimeExecucao="Global","",ORÇAMENTO!W31)</f>
        <v/>
      </c>
      <c r="I31" s="127">
        <f ca="1">ORÇAMENTO!X31</f>
        <v>0</v>
      </c>
      <c r="J31" s="345">
        <f ca="1">IF($A31="S",IF(CAIXA.Modo,BM.AFAnterior,BM.MEDAnterior),IF(AND(RegimeExecucao="Global",$I31&gt;0,COUNTIF($AB$13:$AM$13,BM.medicao-1)&gt;0),M31/$I31*100,0))</f>
        <v>0</v>
      </c>
      <c r="K31" s="124">
        <f t="shared" ca="1" si="3"/>
        <v>0</v>
      </c>
      <c r="L31" s="346">
        <f ca="1">IF($A31="S",IF(CAIXA.Modo,BM.AFAcumulado,BM.MEDAcumulado),IF(AND(RegimeExecucao="Global",$I31&gt;0,COUNTIF($AB$13:$AM$13,BM.medicao)&gt;0),O31/$I31*100,0))</f>
        <v>0</v>
      </c>
      <c r="M31" s="347">
        <f ca="1">IF($A31="S",VTOTALBM,IF($A31=0,0,ROUND(SomaAgrupBM,15-13*ORÇAMENTO!$AF$11)))</f>
        <v>0</v>
      </c>
      <c r="N31" s="348">
        <f t="shared" ca="1" si="4"/>
        <v>0</v>
      </c>
      <c r="O31" s="127">
        <f ca="1">IF($A31="S",VTOTALBM,IF($A31=0,0,ROUND(SomaAgrupBM,15-13*ORÇAMENTO!$AF$11)))</f>
        <v>0</v>
      </c>
      <c r="Q31" s="349"/>
      <c r="R31" s="350"/>
      <c r="T31" s="119" t="str">
        <f t="shared" ca="1" si="5"/>
        <v/>
      </c>
      <c r="U31" s="170" t="str">
        <f t="shared" ca="1" si="6"/>
        <v/>
      </c>
      <c r="V31" s="171" t="str">
        <f ca="1">IF(AND($W31&gt;0,RegimeExecucao="Unitário"),$F31,"")</f>
        <v/>
      </c>
      <c r="W31" s="486">
        <f ca="1">IF($Y31&gt;0,CHOOSE(MATCH(RegimeExecucao,{"Unitário","Global"},0),IF($A31="S",$Y31/$X31,""),($Y31/$X31)*100),0)</f>
        <v>0</v>
      </c>
      <c r="X31" s="351" t="str">
        <f ca="1">IF($Y31&gt;0,CHOOSE(MATCH(RegimeExecucao,{"Unitário","Global"},0),IF($A31="S",ROUND($H31,ORÇAMENTO!$AF$10),""),ROUND($I31,ORÇAMENTO!$AF$11)),"")</f>
        <v/>
      </c>
      <c r="Y31" s="351">
        <f t="shared" ca="1" si="7"/>
        <v>0</v>
      </c>
      <c r="Z31" s="507"/>
      <c r="AB31" s="349"/>
      <c r="AC31" s="469"/>
      <c r="AD31" s="469"/>
      <c r="AE31" s="469"/>
      <c r="AF31" s="469"/>
      <c r="AG31" s="469"/>
      <c r="AH31" s="469"/>
      <c r="AI31" s="469"/>
      <c r="AJ31" s="469"/>
      <c r="AK31" s="469"/>
      <c r="AL31" s="469"/>
      <c r="AM31" s="350"/>
      <c r="AO31">
        <f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6" t="str">
        <f t="shared" ca="1" si="1"/>
        <v/>
      </c>
      <c r="D32" s="119" t="str">
        <f ca="1">ORÇAMENTO!O32</f>
        <v>-</v>
      </c>
      <c r="E32" s="170" t="str">
        <f t="shared" ca="1" si="2"/>
        <v>(abra o arquivo 'Referência 04-2026.xlsm)</v>
      </c>
      <c r="F32" s="171" t="str">
        <f ca="1">IF(RegimeExecucao="Global","",ORÇAMENTO.Unidade)</f>
        <v/>
      </c>
      <c r="G32" s="124" t="str">
        <f ca="1">IF(RegimeExecucao="Global","",ORÇAMENTO!T32)</f>
        <v/>
      </c>
      <c r="H32" s="124" t="str">
        <f ca="1">IF(RegimeExecucao="Global","",ORÇAMENTO!W32)</f>
        <v/>
      </c>
      <c r="I32" s="127">
        <f ca="1">ORÇAMENTO!X32</f>
        <v>0</v>
      </c>
      <c r="J32" s="345">
        <f ca="1">IF($A32="S",IF(CAIXA.Modo,BM.AFAnterior,BM.MEDAnterior),IF(AND(RegimeExecucao="Global",$I32&gt;0,COUNTIF($AB$13:$AM$13,BM.medicao-1)&gt;0),M32/$I32*100,0))</f>
        <v>0</v>
      </c>
      <c r="K32" s="124">
        <f t="shared" ca="1" si="3"/>
        <v>0</v>
      </c>
      <c r="L32" s="346">
        <f ca="1">IF($A32="S",IF(CAIXA.Modo,BM.AFAcumulado,BM.MEDAcumulado),IF(AND(RegimeExecucao="Global",$I32&gt;0,COUNTIF($AB$13:$AM$13,BM.medicao)&gt;0),O32/$I32*100,0))</f>
        <v>0</v>
      </c>
      <c r="M32" s="347">
        <f ca="1">IF($A32="S",VTOTALBM,IF($A32=0,0,ROUND(SomaAgrupBM,15-13*ORÇAMENTO!$AF$11)))</f>
        <v>0</v>
      </c>
      <c r="N32" s="348">
        <f t="shared" ca="1" si="4"/>
        <v>0</v>
      </c>
      <c r="O32" s="127">
        <f ca="1">IF($A32="S",VTOTALBM,IF($A32=0,0,ROUND(SomaAgrupBM,15-13*ORÇAMENTO!$AF$11)))</f>
        <v>0</v>
      </c>
      <c r="Q32" s="349"/>
      <c r="R32" s="350"/>
      <c r="T32" s="119" t="str">
        <f t="shared" ca="1" si="5"/>
        <v/>
      </c>
      <c r="U32" s="170" t="str">
        <f t="shared" ca="1" si="6"/>
        <v/>
      </c>
      <c r="V32" s="171" t="str">
        <f ca="1">IF(AND($W32&gt;0,RegimeExecucao="Unitário"),$F32,"")</f>
        <v/>
      </c>
      <c r="W32" s="486">
        <f ca="1">IF($Y32&gt;0,CHOOSE(MATCH(RegimeExecucao,{"Unitário","Global"},0),IF($A32="S",$Y32/$X32,""),($Y32/$X32)*100),0)</f>
        <v>0</v>
      </c>
      <c r="X32" s="351" t="str">
        <f ca="1">IF($Y32&gt;0,CHOOSE(MATCH(RegimeExecucao,{"Unitário","Global"},0),IF($A32="S",ROUND($H32,ORÇAMENTO!$AF$10),""),ROUND($I32,ORÇAMENTO!$AF$11)),"")</f>
        <v/>
      </c>
      <c r="Y32" s="351">
        <f t="shared" ca="1" si="7"/>
        <v>0</v>
      </c>
      <c r="Z32" s="507"/>
      <c r="AB32" s="349"/>
      <c r="AC32" s="469"/>
      <c r="AD32" s="469"/>
      <c r="AE32" s="469"/>
      <c r="AF32" s="469"/>
      <c r="AG32" s="469"/>
      <c r="AH32" s="469"/>
      <c r="AI32" s="469"/>
      <c r="AJ32" s="469"/>
      <c r="AK32" s="469"/>
      <c r="AL32" s="469"/>
      <c r="AM32" s="350"/>
      <c r="AO32">
        <f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6" t="str">
        <f t="shared" ca="1" si="1"/>
        <v/>
      </c>
      <c r="D33" s="119" t="str">
        <f ca="1">ORÇAMENTO!O33</f>
        <v>-</v>
      </c>
      <c r="E33" s="170" t="str">
        <f t="shared" ca="1" si="2"/>
        <v>(abra o arquivo 'Referência 04-2026.xlsm)</v>
      </c>
      <c r="F33" s="171" t="str">
        <f ca="1">IF(RegimeExecucao="Global","",ORÇAMENTO.Unidade)</f>
        <v/>
      </c>
      <c r="G33" s="124" t="str">
        <f ca="1">IF(RegimeExecucao="Global","",ORÇAMENTO!T33)</f>
        <v/>
      </c>
      <c r="H33" s="124" t="str">
        <f ca="1">IF(RegimeExecucao="Global","",ORÇAMENTO!W33)</f>
        <v/>
      </c>
      <c r="I33" s="127">
        <f ca="1">ORÇAMENTO!X33</f>
        <v>0</v>
      </c>
      <c r="J33" s="345">
        <f ca="1">IF($A33="S",IF(CAIXA.Modo,BM.AFAnterior,BM.MEDAnterior),IF(AND(RegimeExecucao="Global",$I33&gt;0,COUNTIF($AB$13:$AM$13,BM.medicao-1)&gt;0),M33/$I33*100,0))</f>
        <v>0</v>
      </c>
      <c r="K33" s="124">
        <f t="shared" ca="1" si="3"/>
        <v>0</v>
      </c>
      <c r="L33" s="346">
        <f ca="1">IF($A33="S",IF(CAIXA.Modo,BM.AFAcumulado,BM.MEDAcumulado),IF(AND(RegimeExecucao="Global",$I33&gt;0,COUNTIF($AB$13:$AM$13,BM.medicao)&gt;0),O33/$I33*100,0))</f>
        <v>0</v>
      </c>
      <c r="M33" s="347">
        <f ca="1">IF($A33="S",VTOTALBM,IF($A33=0,0,ROUND(SomaAgrupBM,15-13*ORÇAMENTO!$AF$11)))</f>
        <v>0</v>
      </c>
      <c r="N33" s="348">
        <f t="shared" ca="1" si="4"/>
        <v>0</v>
      </c>
      <c r="O33" s="127">
        <f ca="1">IF($A33="S",VTOTALBM,IF($A33=0,0,ROUND(SomaAgrupBM,15-13*ORÇAMENTO!$AF$11)))</f>
        <v>0</v>
      </c>
      <c r="Q33" s="349"/>
      <c r="R33" s="350"/>
      <c r="T33" s="119" t="str">
        <f t="shared" ca="1" si="5"/>
        <v/>
      </c>
      <c r="U33" s="170" t="str">
        <f t="shared" ca="1" si="6"/>
        <v/>
      </c>
      <c r="V33" s="171" t="str">
        <f ca="1">IF(AND($W33&gt;0,RegimeExecucao="Unitário"),$F33,"")</f>
        <v/>
      </c>
      <c r="W33" s="486">
        <f ca="1">IF($Y33&gt;0,CHOOSE(MATCH(RegimeExecucao,{"Unitário","Global"},0),IF($A33="S",$Y33/$X33,""),($Y33/$X33)*100),0)</f>
        <v>0</v>
      </c>
      <c r="X33" s="351" t="str">
        <f ca="1">IF($Y33&gt;0,CHOOSE(MATCH(RegimeExecucao,{"Unitário","Global"},0),IF($A33="S",ROUND($H33,ORÇAMENTO!$AF$10),""),ROUND($I33,ORÇAMENTO!$AF$11)),"")</f>
        <v/>
      </c>
      <c r="Y33" s="351">
        <f t="shared" ca="1" si="7"/>
        <v>0</v>
      </c>
      <c r="Z33" s="507"/>
      <c r="AB33" s="349"/>
      <c r="AC33" s="469"/>
      <c r="AD33" s="469"/>
      <c r="AE33" s="469"/>
      <c r="AF33" s="469"/>
      <c r="AG33" s="469"/>
      <c r="AH33" s="469"/>
      <c r="AI33" s="469"/>
      <c r="AJ33" s="469"/>
      <c r="AK33" s="469"/>
      <c r="AL33" s="469"/>
      <c r="AM33" s="350"/>
      <c r="AO33">
        <f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6" t="str">
        <f t="shared" ca="1" si="1"/>
        <v/>
      </c>
      <c r="D34" s="119" t="str">
        <f ca="1">ORÇAMENTO!O34</f>
        <v>-</v>
      </c>
      <c r="E34" s="170" t="str">
        <f t="shared" ca="1" si="2"/>
        <v>(abra o arquivo 'Referência 04-2026.xlsm)</v>
      </c>
      <c r="F34" s="171" t="str">
        <f ca="1">IF(RegimeExecucao="Global","",ORÇAMENTO.Unidade)</f>
        <v/>
      </c>
      <c r="G34" s="124" t="str">
        <f ca="1">IF(RegimeExecucao="Global","",ORÇAMENTO!T34)</f>
        <v/>
      </c>
      <c r="H34" s="124" t="str">
        <f ca="1">IF(RegimeExecucao="Global","",ORÇAMENTO!W34)</f>
        <v/>
      </c>
      <c r="I34" s="127">
        <f ca="1">ORÇAMENTO!X34</f>
        <v>0</v>
      </c>
      <c r="J34" s="345">
        <f ca="1">IF($A34="S",IF(CAIXA.Modo,BM.AFAnterior,BM.MEDAnterior),IF(AND(RegimeExecucao="Global",$I34&gt;0,COUNTIF($AB$13:$AM$13,BM.medicao-1)&gt;0),M34/$I34*100,0))</f>
        <v>0</v>
      </c>
      <c r="K34" s="124">
        <f t="shared" ca="1" si="3"/>
        <v>0</v>
      </c>
      <c r="L34" s="346">
        <f ca="1">IF($A34="S",IF(CAIXA.Modo,BM.AFAcumulado,BM.MEDAcumulado),IF(AND(RegimeExecucao="Global",$I34&gt;0,COUNTIF($AB$13:$AM$13,BM.medicao)&gt;0),O34/$I34*100,0))</f>
        <v>0</v>
      </c>
      <c r="M34" s="347">
        <f ca="1">IF($A34="S",VTOTALBM,IF($A34=0,0,ROUND(SomaAgrupBM,15-13*ORÇAMENTO!$AF$11)))</f>
        <v>0</v>
      </c>
      <c r="N34" s="348">
        <f t="shared" ca="1" si="4"/>
        <v>0</v>
      </c>
      <c r="O34" s="127">
        <f ca="1">IF($A34="S",VTOTALBM,IF($A34=0,0,ROUND(SomaAgrupBM,15-13*ORÇAMENTO!$AF$11)))</f>
        <v>0</v>
      </c>
      <c r="Q34" s="349"/>
      <c r="R34" s="350"/>
      <c r="T34" s="119" t="str">
        <f t="shared" ca="1" si="5"/>
        <v/>
      </c>
      <c r="U34" s="170" t="str">
        <f t="shared" ca="1" si="6"/>
        <v/>
      </c>
      <c r="V34" s="171" t="str">
        <f ca="1">IF(AND($W34&gt;0,RegimeExecucao="Unitário"),$F34,"")</f>
        <v/>
      </c>
      <c r="W34" s="486">
        <f ca="1">IF($Y34&gt;0,CHOOSE(MATCH(RegimeExecucao,{"Unitário","Global"},0),IF($A34="S",$Y34/$X34,""),($Y34/$X34)*100),0)</f>
        <v>0</v>
      </c>
      <c r="X34" s="351" t="str">
        <f ca="1">IF($Y34&gt;0,CHOOSE(MATCH(RegimeExecucao,{"Unitário","Global"},0),IF($A34="S",ROUND($H34,ORÇAMENTO!$AF$10),""),ROUND($I34,ORÇAMENTO!$AF$11)),"")</f>
        <v/>
      </c>
      <c r="Y34" s="351">
        <f t="shared" ca="1" si="7"/>
        <v>0</v>
      </c>
      <c r="Z34" s="507"/>
      <c r="AB34" s="349"/>
      <c r="AC34" s="469"/>
      <c r="AD34" s="469"/>
      <c r="AE34" s="469"/>
      <c r="AF34" s="469"/>
      <c r="AG34" s="469"/>
      <c r="AH34" s="469"/>
      <c r="AI34" s="469"/>
      <c r="AJ34" s="469"/>
      <c r="AK34" s="469"/>
      <c r="AL34" s="469"/>
      <c r="AM34" s="350"/>
      <c r="AO34">
        <f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6" t="str">
        <f t="shared" ca="1" si="1"/>
        <v/>
      </c>
      <c r="D35" s="119" t="str">
        <f ca="1">ORÇAMENTO!O35</f>
        <v>-</v>
      </c>
      <c r="E35" s="170" t="str">
        <f t="shared" ca="1" si="2"/>
        <v>(abra o arquivo 'Referência 04-2026.xlsm)</v>
      </c>
      <c r="F35" s="171" t="str">
        <f ca="1">IF(RegimeExecucao="Global","",ORÇAMENTO.Unidade)</f>
        <v/>
      </c>
      <c r="G35" s="124" t="str">
        <f ca="1">IF(RegimeExecucao="Global","",ORÇAMENTO!T35)</f>
        <v/>
      </c>
      <c r="H35" s="124" t="str">
        <f ca="1">IF(RegimeExecucao="Global","",ORÇAMENTO!W35)</f>
        <v/>
      </c>
      <c r="I35" s="127">
        <f ca="1">ORÇAMENTO!X35</f>
        <v>0</v>
      </c>
      <c r="J35" s="345">
        <f ca="1">IF($A35="S",IF(CAIXA.Modo,BM.AFAnterior,BM.MEDAnterior),IF(AND(RegimeExecucao="Global",$I35&gt;0,COUNTIF($AB$13:$AM$13,BM.medicao-1)&gt;0),M35/$I35*100,0))</f>
        <v>0</v>
      </c>
      <c r="K35" s="124">
        <f t="shared" ca="1" si="3"/>
        <v>0</v>
      </c>
      <c r="L35" s="346">
        <f ca="1">IF($A35="S",IF(CAIXA.Modo,BM.AFAcumulado,BM.MEDAcumulado),IF(AND(RegimeExecucao="Global",$I35&gt;0,COUNTIF($AB$13:$AM$13,BM.medicao)&gt;0),O35/$I35*100,0))</f>
        <v>0</v>
      </c>
      <c r="M35" s="347">
        <f ca="1">IF($A35="S",VTOTALBM,IF($A35=0,0,ROUND(SomaAgrupBM,15-13*ORÇAMENTO!$AF$11)))</f>
        <v>0</v>
      </c>
      <c r="N35" s="348">
        <f t="shared" ca="1" si="4"/>
        <v>0</v>
      </c>
      <c r="O35" s="127">
        <f ca="1">IF($A35="S",VTOTALBM,IF($A35=0,0,ROUND(SomaAgrupBM,15-13*ORÇAMENTO!$AF$11)))</f>
        <v>0</v>
      </c>
      <c r="Q35" s="349"/>
      <c r="R35" s="350"/>
      <c r="T35" s="119" t="str">
        <f t="shared" ca="1" si="5"/>
        <v/>
      </c>
      <c r="U35" s="170" t="str">
        <f t="shared" ca="1" si="6"/>
        <v/>
      </c>
      <c r="V35" s="171" t="str">
        <f ca="1">IF(AND($W35&gt;0,RegimeExecucao="Unitário"),$F35,"")</f>
        <v/>
      </c>
      <c r="W35" s="486">
        <f ca="1">IF($Y35&gt;0,CHOOSE(MATCH(RegimeExecucao,{"Unitário","Global"},0),IF($A35="S",$Y35/$X35,""),($Y35/$X35)*100),0)</f>
        <v>0</v>
      </c>
      <c r="X35" s="351" t="str">
        <f ca="1">IF($Y35&gt;0,CHOOSE(MATCH(RegimeExecucao,{"Unitário","Global"},0),IF($A35="S",ROUND($H35,ORÇAMENTO!$AF$10),""),ROUND($I35,ORÇAMENTO!$AF$11)),"")</f>
        <v/>
      </c>
      <c r="Y35" s="351">
        <f t="shared" ca="1" si="7"/>
        <v>0</v>
      </c>
      <c r="Z35" s="507"/>
      <c r="AB35" s="349"/>
      <c r="AC35" s="469"/>
      <c r="AD35" s="469"/>
      <c r="AE35" s="469"/>
      <c r="AF35" s="469"/>
      <c r="AG35" s="469"/>
      <c r="AH35" s="469"/>
      <c r="AI35" s="469"/>
      <c r="AJ35" s="469"/>
      <c r="AK35" s="469"/>
      <c r="AL35" s="469"/>
      <c r="AM35" s="350"/>
      <c r="AO35">
        <f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6" t="str">
        <f ca="1">IF(OR($I36&gt;0,$A36=1,$A36=2,$A36=3,$A36=4),"F","")</f>
        <v/>
      </c>
      <c r="D36" s="119" t="str">
        <f ca="1">ORÇAMENTO!O36</f>
        <v>-</v>
      </c>
      <c r="E36" s="170" t="str">
        <f ca="1">ORÇAMENTO.Descricao</f>
        <v>(abra o arquivo 'Referência 04-2026.xlsm)</v>
      </c>
      <c r="F36" s="171" t="str">
        <f ca="1">IF(RegimeExecucao="Global","",ORÇAMENTO.Unidade)</f>
        <v/>
      </c>
      <c r="G36" s="124" t="str">
        <f ca="1">IF(RegimeExecucao="Global","",ORÇAMENTO!T36)</f>
        <v/>
      </c>
      <c r="H36" s="124" t="str">
        <f ca="1">IF(RegimeExecucao="Global","",ORÇAMENTO!W36)</f>
        <v/>
      </c>
      <c r="I36" s="127">
        <f ca="1">ORÇAMENTO!X36</f>
        <v>0</v>
      </c>
      <c r="J36" s="345">
        <f ca="1">IF($A36="S",IF(CAIXA.Modo,BM.AFAnterior,BM.MEDAnterior),IF(AND(RegimeExecucao="Global",$I36&gt;0,COUNTIF($AB$13:$AM$13,BM.medicao-1)&gt;0),M36/$I36*100,0))</f>
        <v>0</v>
      </c>
      <c r="K36" s="124">
        <f ca="1">L36-J36</f>
        <v>0</v>
      </c>
      <c r="L36" s="346">
        <f ca="1">IF($A36="S",IF(CAIXA.Modo,BM.AFAcumulado,BM.MEDAcumulado),IF(AND(RegimeExecucao="Global",$I36&gt;0,COUNTIF($AB$13:$AM$13,BM.medicao)&gt;0),O36/$I36*100,0))</f>
        <v>0</v>
      </c>
      <c r="M36" s="347">
        <f ca="1">IF($A36="S",VTOTALBM,IF($A36=0,0,ROUND(SomaAgrupBM,15-13*ORÇAMENTO!$AF$11)))</f>
        <v>0</v>
      </c>
      <c r="N36" s="348">
        <f ca="1">O36-M36</f>
        <v>0</v>
      </c>
      <c r="O36" s="127">
        <f ca="1">IF($A36="S",VTOTALBM,IF($A36=0,0,ROUND(SomaAgrupBM,15-13*ORÇAMENTO!$AF$11)))</f>
        <v>0</v>
      </c>
      <c r="Q36" s="349"/>
      <c r="R36" s="350"/>
      <c r="T36" s="119" t="str">
        <f ca="1">IF($W36&gt;0,$D36,"")</f>
        <v/>
      </c>
      <c r="U36" s="170" t="str">
        <f ca="1">IF($W36&gt;0,$E36,"")</f>
        <v/>
      </c>
      <c r="V36" s="171" t="str">
        <f ca="1">IF(AND($W36&gt;0,RegimeExecucao="Unitário"),$F36,"")</f>
        <v/>
      </c>
      <c r="W36" s="486">
        <f ca="1">IF($Y36&gt;0,CHOOSE(MATCH(RegimeExecucao,{"Unitário","Global"},0),IF($A36="S",$Y36/$X36,""),($Y36/$X36)*100),0)</f>
        <v>0</v>
      </c>
      <c r="X36" s="351" t="str">
        <f ca="1">IF($Y36&gt;0,CHOOSE(MATCH(RegimeExecucao,{"Unitário","Global"},0),IF($A36="S",ROUND($H36,ORÇAMENTO!$AF$10),""),ROUND($I36,ORÇAMENTO!$AF$11)),"")</f>
        <v/>
      </c>
      <c r="Y36" s="351">
        <f ca="1">AO36-O36</f>
        <v>0</v>
      </c>
      <c r="Z36" s="507"/>
      <c r="AB36" s="349"/>
      <c r="AC36" s="469"/>
      <c r="AD36" s="469"/>
      <c r="AE36" s="469"/>
      <c r="AF36" s="469"/>
      <c r="AG36" s="469"/>
      <c r="AH36" s="469"/>
      <c r="AI36" s="469"/>
      <c r="AJ36" s="469"/>
      <c r="AK36" s="469"/>
      <c r="AL36" s="469"/>
      <c r="AM36" s="350"/>
      <c r="AO36">
        <f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2</v>
      </c>
      <c r="B37">
        <f ca="1">ORÇAMENTO!D37</f>
        <v>5</v>
      </c>
      <c r="C37" s="116" t="str">
        <f t="shared" ca="1" si="1"/>
        <v>F</v>
      </c>
      <c r="D37" s="119" t="str">
        <f ca="1">ORÇAMENTO!O37</f>
        <v>2.2.</v>
      </c>
      <c r="E37" s="170" t="str">
        <f t="shared" si="2"/>
        <v>CONCRETO ARMADO - PILARES</v>
      </c>
      <c r="F37" s="171" t="str">
        <f ca="1">IF(RegimeExecucao="Global","",ORÇAMENTO.Unidade)</f>
        <v/>
      </c>
      <c r="G37" s="124" t="str">
        <f ca="1">IF(RegimeExecucao="Global","",ORÇAMENTO!T37)</f>
        <v/>
      </c>
      <c r="H37" s="124" t="str">
        <f ca="1">IF(RegimeExecucao="Global","",ORÇAMENTO!W37)</f>
        <v/>
      </c>
      <c r="I37" s="127">
        <f ca="1">ORÇAMENTO!X37</f>
        <v>0</v>
      </c>
      <c r="J37" s="345">
        <f ca="1">IF($A37="S",IF(CAIXA.Modo,BM.AFAnterior,BM.MEDAnterior),IF(AND(RegimeExecucao="Global",$I37&gt;0,COUNTIF($AB$13:$AM$13,BM.medicao-1)&gt;0),M37/$I37*100,0))</f>
        <v>0</v>
      </c>
      <c r="K37" s="124">
        <f t="shared" ca="1" si="3"/>
        <v>0</v>
      </c>
      <c r="L37" s="346">
        <f ca="1">IF($A37="S",IF(CAIXA.Modo,BM.AFAcumulado,BM.MEDAcumulado),IF(AND(RegimeExecucao="Global",$I37&gt;0,COUNTIF($AB$13:$AM$13,BM.medicao)&gt;0),O37/$I37*100,0))</f>
        <v>0</v>
      </c>
      <c r="M37" s="347">
        <f ca="1">IF($A37="S",VTOTALBM,IF($A37=0,0,ROUND(SomaAgrupBM,15-13*ORÇAMENTO!$AF$11)))</f>
        <v>0</v>
      </c>
      <c r="N37" s="348">
        <f t="shared" ca="1" si="4"/>
        <v>0</v>
      </c>
      <c r="O37" s="127">
        <f ca="1">IF($A37="S",VTOTALBM,IF($A37=0,0,ROUND(SomaAgrupBM,15-13*ORÇAMENTO!$AF$11)))</f>
        <v>0</v>
      </c>
      <c r="Q37" s="349"/>
      <c r="R37" s="350"/>
      <c r="T37" s="119" t="str">
        <f t="shared" ca="1" si="5"/>
        <v/>
      </c>
      <c r="U37" s="170" t="str">
        <f t="shared" ca="1" si="6"/>
        <v/>
      </c>
      <c r="V37" s="171" t="str">
        <f ca="1">IF(AND($W37&gt;0,RegimeExecucao="Unitário"),$F37,"")</f>
        <v/>
      </c>
      <c r="W37" s="486">
        <f ca="1">IF($Y37&gt;0,CHOOSE(MATCH(RegimeExecucao,{"Unitário","Global"},0),IF($A37="S",$Y37/$X37,""),($Y37/$X37)*100),0)</f>
        <v>0</v>
      </c>
      <c r="X37" s="351" t="str">
        <f ca="1">IF($Y37&gt;0,CHOOSE(MATCH(RegimeExecucao,{"Unitário","Global"},0),IF($A37="S",ROUND($H37,ORÇAMENTO!$AF$10),""),ROUND($I37,ORÇAMENTO!$AF$11)),"")</f>
        <v/>
      </c>
      <c r="Y37" s="351">
        <f t="shared" ca="1" si="7"/>
        <v>0</v>
      </c>
      <c r="Z37" s="507"/>
      <c r="AB37" s="349"/>
      <c r="AC37" s="469"/>
      <c r="AD37" s="469"/>
      <c r="AE37" s="469"/>
      <c r="AF37" s="469"/>
      <c r="AG37" s="469"/>
      <c r="AH37" s="469"/>
      <c r="AI37" s="469"/>
      <c r="AJ37" s="469"/>
      <c r="AK37" s="469"/>
      <c r="AL37" s="469"/>
      <c r="AM37" s="350"/>
      <c r="AO37">
        <f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16" t="str">
        <f t="shared" ca="1" si="1"/>
        <v/>
      </c>
      <c r="D38" s="119" t="str">
        <f ca="1">ORÇAMENTO!O38</f>
        <v>-</v>
      </c>
      <c r="E38" s="170" t="str">
        <f t="shared" ca="1" si="2"/>
        <v>(abra o arquivo 'Referência 04-2026.xlsm)</v>
      </c>
      <c r="F38" s="171" t="str">
        <f ca="1">IF(RegimeExecucao="Global","",ORÇAMENTO.Unidade)</f>
        <v/>
      </c>
      <c r="G38" s="124" t="str">
        <f ca="1">IF(RegimeExecucao="Global","",ORÇAMENTO!T38)</f>
        <v/>
      </c>
      <c r="H38" s="124" t="str">
        <f ca="1">IF(RegimeExecucao="Global","",ORÇAMENTO!W38)</f>
        <v/>
      </c>
      <c r="I38" s="127">
        <f ca="1">ORÇAMENTO!X38</f>
        <v>0</v>
      </c>
      <c r="J38" s="345">
        <f ca="1">IF($A38="S",IF(CAIXA.Modo,BM.AFAnterior,BM.MEDAnterior),IF(AND(RegimeExecucao="Global",$I38&gt;0,COUNTIF($AB$13:$AM$13,BM.medicao-1)&gt;0),M38/$I38*100,0))</f>
        <v>0</v>
      </c>
      <c r="K38" s="124">
        <f t="shared" ca="1" si="3"/>
        <v>0</v>
      </c>
      <c r="L38" s="346">
        <f ca="1">IF($A38="S",IF(CAIXA.Modo,BM.AFAcumulado,BM.MEDAcumulado),IF(AND(RegimeExecucao="Global",$I38&gt;0,COUNTIF($AB$13:$AM$13,BM.medicao)&gt;0),O38/$I38*100,0))</f>
        <v>0</v>
      </c>
      <c r="M38" s="347">
        <f ca="1">IF($A38="S",VTOTALBM,IF($A38=0,0,ROUND(SomaAgrupBM,15-13*ORÇAMENTO!$AF$11)))</f>
        <v>0</v>
      </c>
      <c r="N38" s="348">
        <f t="shared" ca="1" si="4"/>
        <v>0</v>
      </c>
      <c r="O38" s="127">
        <f ca="1">IF($A38="S",VTOTALBM,IF($A38=0,0,ROUND(SomaAgrupBM,15-13*ORÇAMENTO!$AF$11)))</f>
        <v>0</v>
      </c>
      <c r="Q38" s="349"/>
      <c r="R38" s="350"/>
      <c r="T38" s="119" t="str">
        <f t="shared" ca="1" si="5"/>
        <v/>
      </c>
      <c r="U38" s="170" t="str">
        <f t="shared" ca="1" si="6"/>
        <v/>
      </c>
      <c r="V38" s="171" t="str">
        <f ca="1">IF(AND($W38&gt;0,RegimeExecucao="Unitário"),$F38,"")</f>
        <v/>
      </c>
      <c r="W38" s="486">
        <f ca="1">IF($Y38&gt;0,CHOOSE(MATCH(RegimeExecucao,{"Unitário","Global"},0),IF($A38="S",$Y38/$X38,""),($Y38/$X38)*100),0)</f>
        <v>0</v>
      </c>
      <c r="X38" s="351" t="str">
        <f ca="1">IF($Y38&gt;0,CHOOSE(MATCH(RegimeExecucao,{"Unitário","Global"},0),IF($A38="S",ROUND($H38,ORÇAMENTO!$AF$10),""),ROUND($I38,ORÇAMENTO!$AF$11)),"")</f>
        <v/>
      </c>
      <c r="Y38" s="351">
        <f t="shared" ca="1" si="7"/>
        <v>0</v>
      </c>
      <c r="Z38" s="507"/>
      <c r="AB38" s="349"/>
      <c r="AC38" s="469"/>
      <c r="AD38" s="469"/>
      <c r="AE38" s="469"/>
      <c r="AF38" s="469"/>
      <c r="AG38" s="469"/>
      <c r="AH38" s="469"/>
      <c r="AI38" s="469"/>
      <c r="AJ38" s="469"/>
      <c r="AK38" s="469"/>
      <c r="AL38" s="469"/>
      <c r="AM38" s="350"/>
      <c r="AO38">
        <f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6" t="str">
        <f t="shared" ca="1" si="1"/>
        <v/>
      </c>
      <c r="D39" s="119" t="str">
        <f ca="1">ORÇAMENTO!O39</f>
        <v>-</v>
      </c>
      <c r="E39" s="170" t="str">
        <f t="shared" ca="1" si="2"/>
        <v>(abra o arquivo 'Referência 04-2026.xlsm)</v>
      </c>
      <c r="F39" s="171" t="str">
        <f ca="1">IF(RegimeExecucao="Global","",ORÇAMENTO.Unidade)</f>
        <v/>
      </c>
      <c r="G39" s="124" t="str">
        <f ca="1">IF(RegimeExecucao="Global","",ORÇAMENTO!T39)</f>
        <v/>
      </c>
      <c r="H39" s="124" t="str">
        <f ca="1">IF(RegimeExecucao="Global","",ORÇAMENTO!W39)</f>
        <v/>
      </c>
      <c r="I39" s="127">
        <f ca="1">ORÇAMENTO!X39</f>
        <v>0</v>
      </c>
      <c r="J39" s="345">
        <f ca="1">IF($A39="S",IF(CAIXA.Modo,BM.AFAnterior,BM.MEDAnterior),IF(AND(RegimeExecucao="Global",$I39&gt;0,COUNTIF($AB$13:$AM$13,BM.medicao-1)&gt;0),M39/$I39*100,0))</f>
        <v>0</v>
      </c>
      <c r="K39" s="124">
        <f t="shared" ca="1" si="3"/>
        <v>0</v>
      </c>
      <c r="L39" s="346">
        <f ca="1">IF($A39="S",IF(CAIXA.Modo,BM.AFAcumulado,BM.MEDAcumulado),IF(AND(RegimeExecucao="Global",$I39&gt;0,COUNTIF($AB$13:$AM$13,BM.medicao)&gt;0),O39/$I39*100,0))</f>
        <v>0</v>
      </c>
      <c r="M39" s="347">
        <f ca="1">IF($A39="S",VTOTALBM,IF($A39=0,0,ROUND(SomaAgrupBM,15-13*ORÇAMENTO!$AF$11)))</f>
        <v>0</v>
      </c>
      <c r="N39" s="348">
        <f t="shared" ca="1" si="4"/>
        <v>0</v>
      </c>
      <c r="O39" s="127">
        <f ca="1">IF($A39="S",VTOTALBM,IF($A39=0,0,ROUND(SomaAgrupBM,15-13*ORÇAMENTO!$AF$11)))</f>
        <v>0</v>
      </c>
      <c r="Q39" s="349"/>
      <c r="R39" s="350"/>
      <c r="T39" s="119" t="str">
        <f t="shared" ca="1" si="5"/>
        <v/>
      </c>
      <c r="U39" s="170" t="str">
        <f t="shared" ca="1" si="6"/>
        <v/>
      </c>
      <c r="V39" s="171" t="str">
        <f ca="1">IF(AND($W39&gt;0,RegimeExecucao="Unitário"),$F39,"")</f>
        <v/>
      </c>
      <c r="W39" s="486">
        <f ca="1">IF($Y39&gt;0,CHOOSE(MATCH(RegimeExecucao,{"Unitário","Global"},0),IF($A39="S",$Y39/$X39,""),($Y39/$X39)*100),0)</f>
        <v>0</v>
      </c>
      <c r="X39" s="351" t="str">
        <f ca="1">IF($Y39&gt;0,CHOOSE(MATCH(RegimeExecucao,{"Unitário","Global"},0),IF($A39="S",ROUND($H39,ORÇAMENTO!$AF$10),""),ROUND($I39,ORÇAMENTO!$AF$11)),"")</f>
        <v/>
      </c>
      <c r="Y39" s="351">
        <f t="shared" ca="1" si="7"/>
        <v>0</v>
      </c>
      <c r="Z39" s="507"/>
      <c r="AB39" s="349"/>
      <c r="AC39" s="469"/>
      <c r="AD39" s="469"/>
      <c r="AE39" s="469"/>
      <c r="AF39" s="469"/>
      <c r="AG39" s="469"/>
      <c r="AH39" s="469"/>
      <c r="AI39" s="469"/>
      <c r="AJ39" s="469"/>
      <c r="AK39" s="469"/>
      <c r="AL39" s="469"/>
      <c r="AM39" s="350"/>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6" t="str">
        <f t="shared" ca="1" si="1"/>
        <v/>
      </c>
      <c r="D40" s="119" t="str">
        <f ca="1">ORÇAMENTO!O40</f>
        <v>-</v>
      </c>
      <c r="E40" s="170" t="str">
        <f t="shared" ca="1" si="2"/>
        <v>(abra o arquivo 'Referência 04-2026.xlsm)</v>
      </c>
      <c r="F40" s="171" t="str">
        <f ca="1">IF(RegimeExecucao="Global","",ORÇAMENTO.Unidade)</f>
        <v/>
      </c>
      <c r="G40" s="124" t="str">
        <f ca="1">IF(RegimeExecucao="Global","",ORÇAMENTO!T40)</f>
        <v/>
      </c>
      <c r="H40" s="124" t="str">
        <f ca="1">IF(RegimeExecucao="Global","",ORÇAMENTO!W40)</f>
        <v/>
      </c>
      <c r="I40" s="127">
        <f ca="1">ORÇAMENTO!X40</f>
        <v>0</v>
      </c>
      <c r="J40" s="345">
        <f ca="1">IF($A40="S",IF(CAIXA.Modo,BM.AFAnterior,BM.MEDAnterior),IF(AND(RegimeExecucao="Global",$I40&gt;0,COUNTIF($AB$13:$AM$13,BM.medicao-1)&gt;0),M40/$I40*100,0))</f>
        <v>0</v>
      </c>
      <c r="K40" s="124">
        <f t="shared" ca="1" si="3"/>
        <v>0</v>
      </c>
      <c r="L40" s="346">
        <f ca="1">IF($A40="S",IF(CAIXA.Modo,BM.AFAcumulado,BM.MEDAcumulado),IF(AND(RegimeExecucao="Global",$I40&gt;0,COUNTIF($AB$13:$AM$13,BM.medicao)&gt;0),O40/$I40*100,0))</f>
        <v>0</v>
      </c>
      <c r="M40" s="347">
        <f ca="1">IF($A40="S",VTOTALBM,IF($A40=0,0,ROUND(SomaAgrupBM,15-13*ORÇAMENTO!$AF$11)))</f>
        <v>0</v>
      </c>
      <c r="N40" s="348">
        <f t="shared" ca="1" si="4"/>
        <v>0</v>
      </c>
      <c r="O40" s="127">
        <f ca="1">IF($A40="S",VTOTALBM,IF($A40=0,0,ROUND(SomaAgrupBM,15-13*ORÇAMENTO!$AF$11)))</f>
        <v>0</v>
      </c>
      <c r="Q40" s="349"/>
      <c r="R40" s="350"/>
      <c r="T40" s="119" t="str">
        <f t="shared" ca="1" si="5"/>
        <v/>
      </c>
      <c r="U40" s="170" t="str">
        <f t="shared" ca="1" si="6"/>
        <v/>
      </c>
      <c r="V40" s="171" t="str">
        <f ca="1">IF(AND($W40&gt;0,RegimeExecucao="Unitário"),$F40,"")</f>
        <v/>
      </c>
      <c r="W40" s="486">
        <f ca="1">IF($Y40&gt;0,CHOOSE(MATCH(RegimeExecucao,{"Unitário","Global"},0),IF($A40="S",$Y40/$X40,""),($Y40/$X40)*100),0)</f>
        <v>0</v>
      </c>
      <c r="X40" s="351" t="str">
        <f ca="1">IF($Y40&gt;0,CHOOSE(MATCH(RegimeExecucao,{"Unitário","Global"},0),IF($A40="S",ROUND($H40,ORÇAMENTO!$AF$10),""),ROUND($I40,ORÇAMENTO!$AF$11)),"")</f>
        <v/>
      </c>
      <c r="Y40" s="351">
        <f t="shared" ca="1" si="7"/>
        <v>0</v>
      </c>
      <c r="Z40" s="507"/>
      <c r="AB40" s="349"/>
      <c r="AC40" s="469"/>
      <c r="AD40" s="469"/>
      <c r="AE40" s="469"/>
      <c r="AF40" s="469"/>
      <c r="AG40" s="469"/>
      <c r="AH40" s="469"/>
      <c r="AI40" s="469"/>
      <c r="AJ40" s="469"/>
      <c r="AK40" s="469"/>
      <c r="AL40" s="469"/>
      <c r="AM40" s="350"/>
      <c r="AO40">
        <f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6" t="str">
        <f t="shared" ca="1" si="1"/>
        <v/>
      </c>
      <c r="D41" s="119" t="str">
        <f ca="1">ORÇAMENTO!O41</f>
        <v>-</v>
      </c>
      <c r="E41" s="170" t="str">
        <f t="shared" ca="1" si="2"/>
        <v>(abra o arquivo 'Referência 04-2026.xlsm)</v>
      </c>
      <c r="F41" s="171" t="str">
        <f ca="1">IF(RegimeExecucao="Global","",ORÇAMENTO.Unidade)</f>
        <v/>
      </c>
      <c r="G41" s="124" t="str">
        <f ca="1">IF(RegimeExecucao="Global","",ORÇAMENTO!T41)</f>
        <v/>
      </c>
      <c r="H41" s="124" t="str">
        <f ca="1">IF(RegimeExecucao="Global","",ORÇAMENTO!W41)</f>
        <v/>
      </c>
      <c r="I41" s="127">
        <f ca="1">ORÇAMENTO!X41</f>
        <v>0</v>
      </c>
      <c r="J41" s="345">
        <f ca="1">IF($A41="S",IF(CAIXA.Modo,BM.AFAnterior,BM.MEDAnterior),IF(AND(RegimeExecucao="Global",$I41&gt;0,COUNTIF($AB$13:$AM$13,BM.medicao-1)&gt;0),M41/$I41*100,0))</f>
        <v>0</v>
      </c>
      <c r="K41" s="124">
        <f t="shared" ca="1" si="3"/>
        <v>0</v>
      </c>
      <c r="L41" s="346">
        <f ca="1">IF($A41="S",IF(CAIXA.Modo,BM.AFAcumulado,BM.MEDAcumulado),IF(AND(RegimeExecucao="Global",$I41&gt;0,COUNTIF($AB$13:$AM$13,BM.medicao)&gt;0),O41/$I41*100,0))</f>
        <v>0</v>
      </c>
      <c r="M41" s="347">
        <f ca="1">IF($A41="S",VTOTALBM,IF($A41=0,0,ROUND(SomaAgrupBM,15-13*ORÇAMENTO!$AF$11)))</f>
        <v>0</v>
      </c>
      <c r="N41" s="348">
        <f t="shared" ca="1" si="4"/>
        <v>0</v>
      </c>
      <c r="O41" s="127">
        <f ca="1">IF($A41="S",VTOTALBM,IF($A41=0,0,ROUND(SomaAgrupBM,15-13*ORÇAMENTO!$AF$11)))</f>
        <v>0</v>
      </c>
      <c r="Q41" s="349"/>
      <c r="R41" s="350"/>
      <c r="T41" s="119" t="str">
        <f t="shared" ca="1" si="5"/>
        <v/>
      </c>
      <c r="U41" s="170" t="str">
        <f t="shared" ca="1" si="6"/>
        <v/>
      </c>
      <c r="V41" s="171" t="str">
        <f ca="1">IF(AND($W41&gt;0,RegimeExecucao="Unitário"),$F41,"")</f>
        <v/>
      </c>
      <c r="W41" s="486">
        <f ca="1">IF($Y41&gt;0,CHOOSE(MATCH(RegimeExecucao,{"Unitário","Global"},0),IF($A41="S",$Y41/$X41,""),($Y41/$X41)*100),0)</f>
        <v>0</v>
      </c>
      <c r="X41" s="351" t="str">
        <f ca="1">IF($Y41&gt;0,CHOOSE(MATCH(RegimeExecucao,{"Unitário","Global"},0),IF($A41="S",ROUND($H41,ORÇAMENTO!$AF$10),""),ROUND($I41,ORÇAMENTO!$AF$11)),"")</f>
        <v/>
      </c>
      <c r="Y41" s="351">
        <f t="shared" ca="1" si="7"/>
        <v>0</v>
      </c>
      <c r="Z41" s="507"/>
      <c r="AB41" s="349"/>
      <c r="AC41" s="469"/>
      <c r="AD41" s="469"/>
      <c r="AE41" s="469"/>
      <c r="AF41" s="469"/>
      <c r="AG41" s="469"/>
      <c r="AH41" s="469"/>
      <c r="AI41" s="469"/>
      <c r="AJ41" s="469"/>
      <c r="AK41" s="469"/>
      <c r="AL41" s="469"/>
      <c r="AM41" s="350"/>
      <c r="AO41">
        <f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f ca="1">ORÇAMENTO!C42</f>
        <v>2</v>
      </c>
      <c r="B42">
        <f ca="1">ORÇAMENTO!D42</f>
        <v>5</v>
      </c>
      <c r="C42" s="116" t="str">
        <f t="shared" ca="1" si="1"/>
        <v>F</v>
      </c>
      <c r="D42" s="119" t="str">
        <f ca="1">ORÇAMENTO!O42</f>
        <v>2.3.</v>
      </c>
      <c r="E42" s="170" t="str">
        <f t="shared" si="2"/>
        <v>CONCRETO ARMADO - VIGAS SUPERIORES</v>
      </c>
      <c r="F42" s="171" t="str">
        <f ca="1">IF(RegimeExecucao="Global","",ORÇAMENTO.Unidade)</f>
        <v/>
      </c>
      <c r="G42" s="124" t="str">
        <f ca="1">IF(RegimeExecucao="Global","",ORÇAMENTO!T42)</f>
        <v/>
      </c>
      <c r="H42" s="124" t="str">
        <f ca="1">IF(RegimeExecucao="Global","",ORÇAMENTO!W42)</f>
        <v/>
      </c>
      <c r="I42" s="127">
        <f ca="1">ORÇAMENTO!X42</f>
        <v>0</v>
      </c>
      <c r="J42" s="345">
        <f ca="1">IF($A42="S",IF(CAIXA.Modo,BM.AFAnterior,BM.MEDAnterior),IF(AND(RegimeExecucao="Global",$I42&gt;0,COUNTIF($AB$13:$AM$13,BM.medicao-1)&gt;0),M42/$I42*100,0))</f>
        <v>0</v>
      </c>
      <c r="K42" s="124">
        <f t="shared" ca="1" si="3"/>
        <v>0</v>
      </c>
      <c r="L42" s="346">
        <f ca="1">IF($A42="S",IF(CAIXA.Modo,BM.AFAcumulado,BM.MEDAcumulado),IF(AND(RegimeExecucao="Global",$I42&gt;0,COUNTIF($AB$13:$AM$13,BM.medicao)&gt;0),O42/$I42*100,0))</f>
        <v>0</v>
      </c>
      <c r="M42" s="347">
        <f ca="1">IF($A42="S",VTOTALBM,IF($A42=0,0,ROUND(SomaAgrupBM,15-13*ORÇAMENTO!$AF$11)))</f>
        <v>0</v>
      </c>
      <c r="N42" s="348">
        <f t="shared" ca="1" si="4"/>
        <v>0</v>
      </c>
      <c r="O42" s="127">
        <f ca="1">IF($A42="S",VTOTALBM,IF($A42=0,0,ROUND(SomaAgrupBM,15-13*ORÇAMENTO!$AF$11)))</f>
        <v>0</v>
      </c>
      <c r="Q42" s="349"/>
      <c r="R42" s="350"/>
      <c r="T42" s="119" t="str">
        <f t="shared" ca="1" si="5"/>
        <v/>
      </c>
      <c r="U42" s="170" t="str">
        <f t="shared" ca="1" si="6"/>
        <v/>
      </c>
      <c r="V42" s="171" t="str">
        <f ca="1">IF(AND($W42&gt;0,RegimeExecucao="Unitário"),$F42,"")</f>
        <v/>
      </c>
      <c r="W42" s="486">
        <f ca="1">IF($Y42&gt;0,CHOOSE(MATCH(RegimeExecucao,{"Unitário","Global"},0),IF($A42="S",$Y42/$X42,""),($Y42/$X42)*100),0)</f>
        <v>0</v>
      </c>
      <c r="X42" s="351" t="str">
        <f ca="1">IF($Y42&gt;0,CHOOSE(MATCH(RegimeExecucao,{"Unitário","Global"},0),IF($A42="S",ROUND($H42,ORÇAMENTO!$AF$10),""),ROUND($I42,ORÇAMENTO!$AF$11)),"")</f>
        <v/>
      </c>
      <c r="Y42" s="351">
        <f t="shared" ca="1" si="7"/>
        <v>0</v>
      </c>
      <c r="Z42" s="507"/>
      <c r="AB42" s="349"/>
      <c r="AC42" s="469"/>
      <c r="AD42" s="469"/>
      <c r="AE42" s="469"/>
      <c r="AF42" s="469"/>
      <c r="AG42" s="469"/>
      <c r="AH42" s="469"/>
      <c r="AI42" s="469"/>
      <c r="AJ42" s="469"/>
      <c r="AK42" s="469"/>
      <c r="AL42" s="469"/>
      <c r="AM42" s="350"/>
      <c r="AO42">
        <f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6" t="str">
        <f t="shared" ca="1" si="1"/>
        <v/>
      </c>
      <c r="D43" s="119" t="str">
        <f ca="1">ORÇAMENTO!O43</f>
        <v>-</v>
      </c>
      <c r="E43" s="170" t="str">
        <f t="shared" ca="1" si="2"/>
        <v>(abra o arquivo 'Referência 04-2026.xlsm)</v>
      </c>
      <c r="F43" s="171" t="str">
        <f ca="1">IF(RegimeExecucao="Global","",ORÇAMENTO.Unidade)</f>
        <v/>
      </c>
      <c r="G43" s="124" t="str">
        <f ca="1">IF(RegimeExecucao="Global","",ORÇAMENTO!T43)</f>
        <v/>
      </c>
      <c r="H43" s="124" t="str">
        <f ca="1">IF(RegimeExecucao="Global","",ORÇAMENTO!W43)</f>
        <v/>
      </c>
      <c r="I43" s="127">
        <f ca="1">ORÇAMENTO!X43</f>
        <v>0</v>
      </c>
      <c r="J43" s="345">
        <f ca="1">IF($A43="S",IF(CAIXA.Modo,BM.AFAnterior,BM.MEDAnterior),IF(AND(RegimeExecucao="Global",$I43&gt;0,COUNTIF($AB$13:$AM$13,BM.medicao-1)&gt;0),M43/$I43*100,0))</f>
        <v>0</v>
      </c>
      <c r="K43" s="124">
        <f t="shared" ca="1" si="3"/>
        <v>0</v>
      </c>
      <c r="L43" s="346">
        <f ca="1">IF($A43="S",IF(CAIXA.Modo,BM.AFAcumulado,BM.MEDAcumulado),IF(AND(RegimeExecucao="Global",$I43&gt;0,COUNTIF($AB$13:$AM$13,BM.medicao)&gt;0),O43/$I43*100,0))</f>
        <v>0</v>
      </c>
      <c r="M43" s="347">
        <f ca="1">IF($A43="S",VTOTALBM,IF($A43=0,0,ROUND(SomaAgrupBM,15-13*ORÇAMENTO!$AF$11)))</f>
        <v>0</v>
      </c>
      <c r="N43" s="348">
        <f t="shared" ca="1" si="4"/>
        <v>0</v>
      </c>
      <c r="O43" s="127">
        <f ca="1">IF($A43="S",VTOTALBM,IF($A43=0,0,ROUND(SomaAgrupBM,15-13*ORÇAMENTO!$AF$11)))</f>
        <v>0</v>
      </c>
      <c r="Q43" s="349"/>
      <c r="R43" s="350"/>
      <c r="T43" s="119" t="str">
        <f t="shared" ca="1" si="5"/>
        <v/>
      </c>
      <c r="U43" s="170" t="str">
        <f t="shared" ca="1" si="6"/>
        <v/>
      </c>
      <c r="V43" s="171" t="str">
        <f ca="1">IF(AND($W43&gt;0,RegimeExecucao="Unitário"),$F43,"")</f>
        <v/>
      </c>
      <c r="W43" s="486">
        <f ca="1">IF($Y43&gt;0,CHOOSE(MATCH(RegimeExecucao,{"Unitário","Global"},0),IF($A43="S",$Y43/$X43,""),($Y43/$X43)*100),0)</f>
        <v>0</v>
      </c>
      <c r="X43" s="351" t="str">
        <f ca="1">IF($Y43&gt;0,CHOOSE(MATCH(RegimeExecucao,{"Unitário","Global"},0),IF($A43="S",ROUND($H43,ORÇAMENTO!$AF$10),""),ROUND($I43,ORÇAMENTO!$AF$11)),"")</f>
        <v/>
      </c>
      <c r="Y43" s="351">
        <f t="shared" ca="1" si="7"/>
        <v>0</v>
      </c>
      <c r="Z43" s="507"/>
      <c r="AB43" s="349"/>
      <c r="AC43" s="469"/>
      <c r="AD43" s="469"/>
      <c r="AE43" s="469"/>
      <c r="AF43" s="469"/>
      <c r="AG43" s="469"/>
      <c r="AH43" s="469"/>
      <c r="AI43" s="469"/>
      <c r="AJ43" s="469"/>
      <c r="AK43" s="469"/>
      <c r="AL43" s="469"/>
      <c r="AM43" s="350"/>
      <c r="AO43">
        <f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6" t="str">
        <f t="shared" ca="1" si="1"/>
        <v/>
      </c>
      <c r="D44" s="119" t="str">
        <f ca="1">ORÇAMENTO!O44</f>
        <v>-</v>
      </c>
      <c r="E44" s="170" t="str">
        <f t="shared" ca="1" si="2"/>
        <v>(abra o arquivo 'Referência 04-2026.xlsm)</v>
      </c>
      <c r="F44" s="171" t="str">
        <f ca="1">IF(RegimeExecucao="Global","",ORÇAMENTO.Unidade)</f>
        <v/>
      </c>
      <c r="G44" s="124" t="str">
        <f ca="1">IF(RegimeExecucao="Global","",ORÇAMENTO!T44)</f>
        <v/>
      </c>
      <c r="H44" s="124" t="str">
        <f ca="1">IF(RegimeExecucao="Global","",ORÇAMENTO!W44)</f>
        <v/>
      </c>
      <c r="I44" s="127">
        <f ca="1">ORÇAMENTO!X44</f>
        <v>0</v>
      </c>
      <c r="J44" s="345">
        <f ca="1">IF($A44="S",IF(CAIXA.Modo,BM.AFAnterior,BM.MEDAnterior),IF(AND(RegimeExecucao="Global",$I44&gt;0,COUNTIF($AB$13:$AM$13,BM.medicao-1)&gt;0),M44/$I44*100,0))</f>
        <v>0</v>
      </c>
      <c r="K44" s="124">
        <f t="shared" ca="1" si="3"/>
        <v>0</v>
      </c>
      <c r="L44" s="346">
        <f ca="1">IF($A44="S",IF(CAIXA.Modo,BM.AFAcumulado,BM.MEDAcumulado),IF(AND(RegimeExecucao="Global",$I44&gt;0,COUNTIF($AB$13:$AM$13,BM.medicao)&gt;0),O44/$I44*100,0))</f>
        <v>0</v>
      </c>
      <c r="M44" s="347">
        <f ca="1">IF($A44="S",VTOTALBM,IF($A44=0,0,ROUND(SomaAgrupBM,15-13*ORÇAMENTO!$AF$11)))</f>
        <v>0</v>
      </c>
      <c r="N44" s="348">
        <f t="shared" ca="1" si="4"/>
        <v>0</v>
      </c>
      <c r="O44" s="127">
        <f ca="1">IF($A44="S",VTOTALBM,IF($A44=0,0,ROUND(SomaAgrupBM,15-13*ORÇAMENTO!$AF$11)))</f>
        <v>0</v>
      </c>
      <c r="Q44" s="349"/>
      <c r="R44" s="350"/>
      <c r="T44" s="119" t="str">
        <f t="shared" ca="1" si="5"/>
        <v/>
      </c>
      <c r="U44" s="170" t="str">
        <f t="shared" ca="1" si="6"/>
        <v/>
      </c>
      <c r="V44" s="171" t="str">
        <f ca="1">IF(AND($W44&gt;0,RegimeExecucao="Unitário"),$F44,"")</f>
        <v/>
      </c>
      <c r="W44" s="486">
        <f ca="1">IF($Y44&gt;0,CHOOSE(MATCH(RegimeExecucao,{"Unitário","Global"},0),IF($A44="S",$Y44/$X44,""),($Y44/$X44)*100),0)</f>
        <v>0</v>
      </c>
      <c r="X44" s="351" t="str">
        <f ca="1">IF($Y44&gt;0,CHOOSE(MATCH(RegimeExecucao,{"Unitário","Global"},0),IF($A44="S",ROUND($H44,ORÇAMENTO!$AF$10),""),ROUND($I44,ORÇAMENTO!$AF$11)),"")</f>
        <v/>
      </c>
      <c r="Y44" s="351">
        <f t="shared" ca="1" si="7"/>
        <v>0</v>
      </c>
      <c r="Z44" s="507"/>
      <c r="AB44" s="349"/>
      <c r="AC44" s="469"/>
      <c r="AD44" s="469"/>
      <c r="AE44" s="469"/>
      <c r="AF44" s="469"/>
      <c r="AG44" s="469"/>
      <c r="AH44" s="469"/>
      <c r="AI44" s="469"/>
      <c r="AJ44" s="469"/>
      <c r="AK44" s="469"/>
      <c r="AL44" s="469"/>
      <c r="AM44" s="350"/>
      <c r="AO44">
        <f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6" t="str">
        <f t="shared" ca="1" si="1"/>
        <v/>
      </c>
      <c r="D45" s="119" t="str">
        <f ca="1">ORÇAMENTO!O45</f>
        <v>-</v>
      </c>
      <c r="E45" s="170" t="str">
        <f t="shared" ca="1" si="2"/>
        <v>(abra o arquivo 'Referência 04-2026.xlsm)</v>
      </c>
      <c r="F45" s="171" t="str">
        <f ca="1">IF(RegimeExecucao="Global","",ORÇAMENTO.Unidade)</f>
        <v/>
      </c>
      <c r="G45" s="124" t="str">
        <f ca="1">IF(RegimeExecucao="Global","",ORÇAMENTO!T45)</f>
        <v/>
      </c>
      <c r="H45" s="124" t="str">
        <f ca="1">IF(RegimeExecucao="Global","",ORÇAMENTO!W45)</f>
        <v/>
      </c>
      <c r="I45" s="127">
        <f ca="1">ORÇAMENTO!X45</f>
        <v>0</v>
      </c>
      <c r="J45" s="345">
        <f ca="1">IF($A45="S",IF(CAIXA.Modo,BM.AFAnterior,BM.MEDAnterior),IF(AND(RegimeExecucao="Global",$I45&gt;0,COUNTIF($AB$13:$AM$13,BM.medicao-1)&gt;0),M45/$I45*100,0))</f>
        <v>0</v>
      </c>
      <c r="K45" s="124">
        <f t="shared" ca="1" si="3"/>
        <v>0</v>
      </c>
      <c r="L45" s="346">
        <f ca="1">IF($A45="S",IF(CAIXA.Modo,BM.AFAcumulado,BM.MEDAcumulado),IF(AND(RegimeExecucao="Global",$I45&gt;0,COUNTIF($AB$13:$AM$13,BM.medicao)&gt;0),O45/$I45*100,0))</f>
        <v>0</v>
      </c>
      <c r="M45" s="347">
        <f ca="1">IF($A45="S",VTOTALBM,IF($A45=0,0,ROUND(SomaAgrupBM,15-13*ORÇAMENTO!$AF$11)))</f>
        <v>0</v>
      </c>
      <c r="N45" s="348">
        <f t="shared" ca="1" si="4"/>
        <v>0</v>
      </c>
      <c r="O45" s="127">
        <f ca="1">IF($A45="S",VTOTALBM,IF($A45=0,0,ROUND(SomaAgrupBM,15-13*ORÇAMENTO!$AF$11)))</f>
        <v>0</v>
      </c>
      <c r="Q45" s="349"/>
      <c r="R45" s="350"/>
      <c r="T45" s="119" t="str">
        <f t="shared" ca="1" si="5"/>
        <v/>
      </c>
      <c r="U45" s="170" t="str">
        <f t="shared" ca="1" si="6"/>
        <v/>
      </c>
      <c r="V45" s="171" t="str">
        <f ca="1">IF(AND($W45&gt;0,RegimeExecucao="Unitário"),$F45,"")</f>
        <v/>
      </c>
      <c r="W45" s="486">
        <f ca="1">IF($Y45&gt;0,CHOOSE(MATCH(RegimeExecucao,{"Unitário","Global"},0),IF($A45="S",$Y45/$X45,""),($Y45/$X45)*100),0)</f>
        <v>0</v>
      </c>
      <c r="X45" s="351" t="str">
        <f ca="1">IF($Y45&gt;0,CHOOSE(MATCH(RegimeExecucao,{"Unitário","Global"},0),IF($A45="S",ROUND($H45,ORÇAMENTO!$AF$10),""),ROUND($I45,ORÇAMENTO!$AF$11)),"")</f>
        <v/>
      </c>
      <c r="Y45" s="351">
        <f t="shared" ca="1" si="7"/>
        <v>0</v>
      </c>
      <c r="Z45" s="507"/>
      <c r="AB45" s="349"/>
      <c r="AC45" s="469"/>
      <c r="AD45" s="469"/>
      <c r="AE45" s="469"/>
      <c r="AF45" s="469"/>
      <c r="AG45" s="469"/>
      <c r="AH45" s="469"/>
      <c r="AI45" s="469"/>
      <c r="AJ45" s="469"/>
      <c r="AK45" s="469"/>
      <c r="AL45" s="469"/>
      <c r="AM45" s="350"/>
      <c r="AO45">
        <f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6" t="str">
        <f t="shared" ca="1" si="1"/>
        <v/>
      </c>
      <c r="D46" s="119" t="str">
        <f ca="1">ORÇAMENTO!O46</f>
        <v>-</v>
      </c>
      <c r="E46" s="170" t="str">
        <f t="shared" ca="1" si="2"/>
        <v>(abra o arquivo 'Referência 04-2026.xlsm)</v>
      </c>
      <c r="F46" s="171" t="str">
        <f ca="1">IF(RegimeExecucao="Global","",ORÇAMENTO.Unidade)</f>
        <v/>
      </c>
      <c r="G46" s="124" t="str">
        <f ca="1">IF(RegimeExecucao="Global","",ORÇAMENTO!T46)</f>
        <v/>
      </c>
      <c r="H46" s="124" t="str">
        <f ca="1">IF(RegimeExecucao="Global","",ORÇAMENTO!W46)</f>
        <v/>
      </c>
      <c r="I46" s="127">
        <f ca="1">ORÇAMENTO!X46</f>
        <v>0</v>
      </c>
      <c r="J46" s="345">
        <f ca="1">IF($A46="S",IF(CAIXA.Modo,BM.AFAnterior,BM.MEDAnterior),IF(AND(RegimeExecucao="Global",$I46&gt;0,COUNTIF($AB$13:$AM$13,BM.medicao-1)&gt;0),M46/$I46*100,0))</f>
        <v>0</v>
      </c>
      <c r="K46" s="124">
        <f t="shared" ca="1" si="3"/>
        <v>0</v>
      </c>
      <c r="L46" s="346">
        <f ca="1">IF($A46="S",IF(CAIXA.Modo,BM.AFAcumulado,BM.MEDAcumulado),IF(AND(RegimeExecucao="Global",$I46&gt;0,COUNTIF($AB$13:$AM$13,BM.medicao)&gt;0),O46/$I46*100,0))</f>
        <v>0</v>
      </c>
      <c r="M46" s="347">
        <f ca="1">IF($A46="S",VTOTALBM,IF($A46=0,0,ROUND(SomaAgrupBM,15-13*ORÇAMENTO!$AF$11)))</f>
        <v>0</v>
      </c>
      <c r="N46" s="348">
        <f t="shared" ca="1" si="4"/>
        <v>0</v>
      </c>
      <c r="O46" s="127">
        <f ca="1">IF($A46="S",VTOTALBM,IF($A46=0,0,ROUND(SomaAgrupBM,15-13*ORÇAMENTO!$AF$11)))</f>
        <v>0</v>
      </c>
      <c r="Q46" s="349"/>
      <c r="R46" s="350"/>
      <c r="T46" s="119" t="str">
        <f t="shared" ca="1" si="5"/>
        <v/>
      </c>
      <c r="U46" s="170" t="str">
        <f t="shared" ca="1" si="6"/>
        <v/>
      </c>
      <c r="V46" s="171" t="str">
        <f ca="1">IF(AND($W46&gt;0,RegimeExecucao="Unitário"),$F46,"")</f>
        <v/>
      </c>
      <c r="W46" s="486">
        <f ca="1">IF($Y46&gt;0,CHOOSE(MATCH(RegimeExecucao,{"Unitário","Global"},0),IF($A46="S",$Y46/$X46,""),($Y46/$X46)*100),0)</f>
        <v>0</v>
      </c>
      <c r="X46" s="351" t="str">
        <f ca="1">IF($Y46&gt;0,CHOOSE(MATCH(RegimeExecucao,{"Unitário","Global"},0),IF($A46="S",ROUND($H46,ORÇAMENTO!$AF$10),""),ROUND($I46,ORÇAMENTO!$AF$11)),"")</f>
        <v/>
      </c>
      <c r="Y46" s="351">
        <f t="shared" ca="1" si="7"/>
        <v>0</v>
      </c>
      <c r="Z46" s="507"/>
      <c r="AB46" s="349"/>
      <c r="AC46" s="469"/>
      <c r="AD46" s="469"/>
      <c r="AE46" s="469"/>
      <c r="AF46" s="469"/>
      <c r="AG46" s="469"/>
      <c r="AH46" s="469"/>
      <c r="AI46" s="469"/>
      <c r="AJ46" s="469"/>
      <c r="AK46" s="469"/>
      <c r="AL46" s="469"/>
      <c r="AM46" s="350"/>
      <c r="AO46">
        <f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5</v>
      </c>
      <c r="C47" s="116" t="str">
        <f t="shared" ca="1" si="1"/>
        <v>F</v>
      </c>
      <c r="D47" s="119" t="str">
        <f ca="1">ORÇAMENTO!O47</f>
        <v>2.4.</v>
      </c>
      <c r="E47" s="170" t="str">
        <f t="shared" si="2"/>
        <v xml:space="preserve">PAREDES </v>
      </c>
      <c r="F47" s="171" t="str">
        <f ca="1">IF(RegimeExecucao="Global","",ORÇAMENTO.Unidade)</f>
        <v/>
      </c>
      <c r="G47" s="124" t="str">
        <f ca="1">IF(RegimeExecucao="Global","",ORÇAMENTO!T47)</f>
        <v/>
      </c>
      <c r="H47" s="124" t="str">
        <f ca="1">IF(RegimeExecucao="Global","",ORÇAMENTO!W47)</f>
        <v/>
      </c>
      <c r="I47" s="127">
        <f ca="1">ORÇAMENTO!X47</f>
        <v>0</v>
      </c>
      <c r="J47" s="345">
        <f ca="1">IF($A47="S",IF(CAIXA.Modo,BM.AFAnterior,BM.MEDAnterior),IF(AND(RegimeExecucao="Global",$I47&gt;0,COUNTIF($AB$13:$AM$13,BM.medicao-1)&gt;0),M47/$I47*100,0))</f>
        <v>0</v>
      </c>
      <c r="K47" s="124">
        <f t="shared" ca="1" si="3"/>
        <v>0</v>
      </c>
      <c r="L47" s="346">
        <f ca="1">IF($A47="S",IF(CAIXA.Modo,BM.AFAcumulado,BM.MEDAcumulado),IF(AND(RegimeExecucao="Global",$I47&gt;0,COUNTIF($AB$13:$AM$13,BM.medicao)&gt;0),O47/$I47*100,0))</f>
        <v>0</v>
      </c>
      <c r="M47" s="347">
        <f ca="1">IF($A47="S",VTOTALBM,IF($A47=0,0,ROUND(SomaAgrupBM,15-13*ORÇAMENTO!$AF$11)))</f>
        <v>0</v>
      </c>
      <c r="N47" s="348">
        <f t="shared" ca="1" si="4"/>
        <v>0</v>
      </c>
      <c r="O47" s="127">
        <f ca="1">IF($A47="S",VTOTALBM,IF($A47=0,0,ROUND(SomaAgrupBM,15-13*ORÇAMENTO!$AF$11)))</f>
        <v>0</v>
      </c>
      <c r="Q47" s="349"/>
      <c r="R47" s="350"/>
      <c r="T47" s="119" t="str">
        <f t="shared" ca="1" si="5"/>
        <v/>
      </c>
      <c r="U47" s="170" t="str">
        <f t="shared" ca="1" si="6"/>
        <v/>
      </c>
      <c r="V47" s="171" t="str">
        <f ca="1">IF(AND($W47&gt;0,RegimeExecucao="Unitário"),$F47,"")</f>
        <v/>
      </c>
      <c r="W47" s="486">
        <f ca="1">IF($Y47&gt;0,CHOOSE(MATCH(RegimeExecucao,{"Unitário","Global"},0),IF($A47="S",$Y47/$X47,""),($Y47/$X47)*100),0)</f>
        <v>0</v>
      </c>
      <c r="X47" s="351" t="str">
        <f ca="1">IF($Y47&gt;0,CHOOSE(MATCH(RegimeExecucao,{"Unitário","Global"},0),IF($A47="S",ROUND($H47,ORÇAMENTO!$AF$10),""),ROUND($I47,ORÇAMENTO!$AF$11)),"")</f>
        <v/>
      </c>
      <c r="Y47" s="351">
        <f t="shared" ca="1" si="7"/>
        <v>0</v>
      </c>
      <c r="Z47" s="507"/>
      <c r="AB47" s="349"/>
      <c r="AC47" s="469"/>
      <c r="AD47" s="469"/>
      <c r="AE47" s="469"/>
      <c r="AF47" s="469"/>
      <c r="AG47" s="469"/>
      <c r="AH47" s="469"/>
      <c r="AI47" s="469"/>
      <c r="AJ47" s="469"/>
      <c r="AK47" s="469"/>
      <c r="AL47" s="469"/>
      <c r="AM47" s="350"/>
      <c r="AO47">
        <f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6" t="str">
        <f t="shared" ca="1" si="1"/>
        <v/>
      </c>
      <c r="D48" s="119" t="str">
        <f ca="1">ORÇAMENTO!O48</f>
        <v>-</v>
      </c>
      <c r="E48" s="170" t="str">
        <f t="shared" ca="1" si="2"/>
        <v>(abra o arquivo 'Referência 04-2026.xlsm)</v>
      </c>
      <c r="F48" s="171" t="str">
        <f ca="1">IF(RegimeExecucao="Global","",ORÇAMENTO.Unidade)</f>
        <v/>
      </c>
      <c r="G48" s="124" t="str">
        <f ca="1">IF(RegimeExecucao="Global","",ORÇAMENTO!T48)</f>
        <v/>
      </c>
      <c r="H48" s="124" t="str">
        <f ca="1">IF(RegimeExecucao="Global","",ORÇAMENTO!W48)</f>
        <v/>
      </c>
      <c r="I48" s="127">
        <f ca="1">ORÇAMENTO!X48</f>
        <v>0</v>
      </c>
      <c r="J48" s="345">
        <f ca="1">IF($A48="S",IF(CAIXA.Modo,BM.AFAnterior,BM.MEDAnterior),IF(AND(RegimeExecucao="Global",$I48&gt;0,COUNTIF($AB$13:$AM$13,BM.medicao-1)&gt;0),M48/$I48*100,0))</f>
        <v>0</v>
      </c>
      <c r="K48" s="124">
        <f t="shared" ca="1" si="3"/>
        <v>0</v>
      </c>
      <c r="L48" s="346">
        <f ca="1">IF($A48="S",IF(CAIXA.Modo,BM.AFAcumulado,BM.MEDAcumulado),IF(AND(RegimeExecucao="Global",$I48&gt;0,COUNTIF($AB$13:$AM$13,BM.medicao)&gt;0),O48/$I48*100,0))</f>
        <v>0</v>
      </c>
      <c r="M48" s="347">
        <f ca="1">IF($A48="S",VTOTALBM,IF($A48=0,0,ROUND(SomaAgrupBM,15-13*ORÇAMENTO!$AF$11)))</f>
        <v>0</v>
      </c>
      <c r="N48" s="348">
        <f t="shared" ca="1" si="4"/>
        <v>0</v>
      </c>
      <c r="O48" s="127">
        <f ca="1">IF($A48="S",VTOTALBM,IF($A48=0,0,ROUND(SomaAgrupBM,15-13*ORÇAMENTO!$AF$11)))</f>
        <v>0</v>
      </c>
      <c r="Q48" s="349"/>
      <c r="R48" s="350"/>
      <c r="T48" s="119" t="str">
        <f t="shared" ca="1" si="5"/>
        <v/>
      </c>
      <c r="U48" s="170" t="str">
        <f t="shared" ca="1" si="6"/>
        <v/>
      </c>
      <c r="V48" s="171" t="str">
        <f ca="1">IF(AND($W48&gt;0,RegimeExecucao="Unitário"),$F48,"")</f>
        <v/>
      </c>
      <c r="W48" s="486">
        <f ca="1">IF($Y48&gt;0,CHOOSE(MATCH(RegimeExecucao,{"Unitário","Global"},0),IF($A48="S",$Y48/$X48,""),($Y48/$X48)*100),0)</f>
        <v>0</v>
      </c>
      <c r="X48" s="351" t="str">
        <f ca="1">IF($Y48&gt;0,CHOOSE(MATCH(RegimeExecucao,{"Unitário","Global"},0),IF($A48="S",ROUND($H48,ORÇAMENTO!$AF$10),""),ROUND($I48,ORÇAMENTO!$AF$11)),"")</f>
        <v/>
      </c>
      <c r="Y48" s="351">
        <f t="shared" ca="1" si="7"/>
        <v>0</v>
      </c>
      <c r="Z48" s="507"/>
      <c r="AB48" s="349"/>
      <c r="AC48" s="469"/>
      <c r="AD48" s="469"/>
      <c r="AE48" s="469"/>
      <c r="AF48" s="469"/>
      <c r="AG48" s="469"/>
      <c r="AH48" s="469"/>
      <c r="AI48" s="469"/>
      <c r="AJ48" s="469"/>
      <c r="AK48" s="469"/>
      <c r="AL48" s="469"/>
      <c r="AM48" s="350"/>
      <c r="AO48">
        <f ca="1">IF($A48="S",IF(BM!$I48=0,0,CHOOSE(MATCH(RegimeExecucao,{"Global","Unitário"},0),ROUND(ROUND(BM.MEDAcumulado,15-13*BM!$A$9)/100*BM!$I48,15-13*ORÇAMENTO!$AF$11),ROUND(ROUND(BM.MEDAcumulado,15-13*BM!$A$9)*ROUND(BM!$H48,15-13*ORÇAMENTO!$AF$10),15-13*ORÇAMENTO!$AF$11))),IF($A48=0,0,ROUND(SomaAgrupBM,15-13*ORÇAMENTO!$AF$11)))</f>
        <v>0</v>
      </c>
    </row>
    <row r="49" spans="1:41" ht="51" x14ac:dyDescent="0.2">
      <c r="A49" t="str">
        <f ca="1">ORÇAMENTO!C49</f>
        <v>S</v>
      </c>
      <c r="B49">
        <f ca="1">ORÇAMENTO!D49</f>
        <v>0</v>
      </c>
      <c r="C49" s="116" t="str">
        <f t="shared" ca="1" si="1"/>
        <v/>
      </c>
      <c r="D49" s="119" t="str">
        <f ca="1">ORÇAMENTO!O49</f>
        <v>-</v>
      </c>
      <c r="E49" s="170" t="str">
        <f t="shared" ca="1" si="2"/>
        <v>(abra o arquivo 'Referência 04-2026.xlsm)</v>
      </c>
      <c r="F49" s="171" t="str">
        <f ca="1">IF(RegimeExecucao="Global","",ORÇAMENTO.Unidade)</f>
        <v/>
      </c>
      <c r="G49" s="124" t="str">
        <f ca="1">IF(RegimeExecucao="Global","",ORÇAMENTO!T49)</f>
        <v/>
      </c>
      <c r="H49" s="124" t="str">
        <f ca="1">IF(RegimeExecucao="Global","",ORÇAMENTO!W49)</f>
        <v/>
      </c>
      <c r="I49" s="127">
        <f ca="1">ORÇAMENTO!X49</f>
        <v>0</v>
      </c>
      <c r="J49" s="345">
        <f ca="1">IF($A49="S",IF(CAIXA.Modo,BM.AFAnterior,BM.MEDAnterior),IF(AND(RegimeExecucao="Global",$I49&gt;0,COUNTIF($AB$13:$AM$13,BM.medicao-1)&gt;0),M49/$I49*100,0))</f>
        <v>0</v>
      </c>
      <c r="K49" s="124">
        <f t="shared" ca="1" si="3"/>
        <v>0</v>
      </c>
      <c r="L49" s="346">
        <f ca="1">IF($A49="S",IF(CAIXA.Modo,BM.AFAcumulado,BM.MEDAcumulado),IF(AND(RegimeExecucao="Global",$I49&gt;0,COUNTIF($AB$13:$AM$13,BM.medicao)&gt;0),O49/$I49*100,0))</f>
        <v>0</v>
      </c>
      <c r="M49" s="347">
        <f ca="1">IF($A49="S",VTOTALBM,IF($A49=0,0,ROUND(SomaAgrupBM,15-13*ORÇAMENTO!$AF$11)))</f>
        <v>0</v>
      </c>
      <c r="N49" s="348">
        <f t="shared" ca="1" si="4"/>
        <v>0</v>
      </c>
      <c r="O49" s="127">
        <f ca="1">IF($A49="S",VTOTALBM,IF($A49=0,0,ROUND(SomaAgrupBM,15-13*ORÇAMENTO!$AF$11)))</f>
        <v>0</v>
      </c>
      <c r="Q49" s="349"/>
      <c r="R49" s="350"/>
      <c r="T49" s="119" t="str">
        <f t="shared" ca="1" si="5"/>
        <v/>
      </c>
      <c r="U49" s="170" t="str">
        <f t="shared" ca="1" si="6"/>
        <v/>
      </c>
      <c r="V49" s="171" t="str">
        <f ca="1">IF(AND($W49&gt;0,RegimeExecucao="Unitário"),$F49,"")</f>
        <v/>
      </c>
      <c r="W49" s="486">
        <f ca="1">IF($Y49&gt;0,CHOOSE(MATCH(RegimeExecucao,{"Unitário","Global"},0),IF($A49="S",$Y49/$X49,""),($Y49/$X49)*100),0)</f>
        <v>0</v>
      </c>
      <c r="X49" s="351" t="str">
        <f ca="1">IF($Y49&gt;0,CHOOSE(MATCH(RegimeExecucao,{"Unitário","Global"},0),IF($A49="S",ROUND($H49,ORÇAMENTO!$AF$10),""),ROUND($I49,ORÇAMENTO!$AF$11)),"")</f>
        <v/>
      </c>
      <c r="Y49" s="351">
        <f t="shared" ca="1" si="7"/>
        <v>0</v>
      </c>
      <c r="Z49" s="507"/>
      <c r="AB49" s="349"/>
      <c r="AC49" s="469"/>
      <c r="AD49" s="469"/>
      <c r="AE49" s="469"/>
      <c r="AF49" s="469"/>
      <c r="AG49" s="469"/>
      <c r="AH49" s="469"/>
      <c r="AI49" s="469"/>
      <c r="AJ49" s="469"/>
      <c r="AK49" s="469"/>
      <c r="AL49" s="469"/>
      <c r="AM49" s="350"/>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6" t="str">
        <f ca="1">IF(OR($I50&gt;0,$A50=1,$A50=2,$A50=3,$A50=4),"F","")</f>
        <v/>
      </c>
      <c r="D50" s="119" t="str">
        <f ca="1">ORÇAMENTO!O50</f>
        <v>-</v>
      </c>
      <c r="E50" s="170" t="str">
        <f ca="1">ORÇAMENTO.Descricao</f>
        <v>(abra o arquivo 'Referência 04-2026.xlsm)</v>
      </c>
      <c r="F50" s="171" t="str">
        <f ca="1">IF(RegimeExecucao="Global","",ORÇAMENTO.Unidade)</f>
        <v/>
      </c>
      <c r="G50" s="124" t="str">
        <f ca="1">IF(RegimeExecucao="Global","",ORÇAMENTO!T50)</f>
        <v/>
      </c>
      <c r="H50" s="124" t="str">
        <f ca="1">IF(RegimeExecucao="Global","",ORÇAMENTO!W50)</f>
        <v/>
      </c>
      <c r="I50" s="127">
        <f ca="1">ORÇAMENTO!X50</f>
        <v>0</v>
      </c>
      <c r="J50" s="345">
        <f ca="1">IF($A50="S",IF(CAIXA.Modo,BM.AFAnterior,BM.MEDAnterior),IF(AND(RegimeExecucao="Global",$I50&gt;0,COUNTIF($AB$13:$AM$13,BM.medicao-1)&gt;0),M50/$I50*100,0))</f>
        <v>0</v>
      </c>
      <c r="K50" s="124">
        <f ca="1">L50-J50</f>
        <v>0</v>
      </c>
      <c r="L50" s="346">
        <f ca="1">IF($A50="S",IF(CAIXA.Modo,BM.AFAcumulado,BM.MEDAcumulado),IF(AND(RegimeExecucao="Global",$I50&gt;0,COUNTIF($AB$13:$AM$13,BM.medicao)&gt;0),O50/$I50*100,0))</f>
        <v>0</v>
      </c>
      <c r="M50" s="347">
        <f ca="1">IF($A50="S",VTOTALBM,IF($A50=0,0,ROUND(SomaAgrupBM,15-13*ORÇAMENTO!$AF$11)))</f>
        <v>0</v>
      </c>
      <c r="N50" s="348">
        <f ca="1">O50-M50</f>
        <v>0</v>
      </c>
      <c r="O50" s="127">
        <f ca="1">IF($A50="S",VTOTALBM,IF($A50=0,0,ROUND(SomaAgrupBM,15-13*ORÇAMENTO!$AF$11)))</f>
        <v>0</v>
      </c>
      <c r="Q50" s="349"/>
      <c r="R50" s="350"/>
      <c r="T50" s="119" t="str">
        <f ca="1">IF($W50&gt;0,$D50,"")</f>
        <v/>
      </c>
      <c r="U50" s="170" t="str">
        <f ca="1">IF($W50&gt;0,$E50,"")</f>
        <v/>
      </c>
      <c r="V50" s="171" t="str">
        <f ca="1">IF(AND($W50&gt;0,RegimeExecucao="Unitário"),$F50,"")</f>
        <v/>
      </c>
      <c r="W50" s="486">
        <f ca="1">IF($Y50&gt;0,CHOOSE(MATCH(RegimeExecucao,{"Unitário","Global"},0),IF($A50="S",$Y50/$X50,""),($Y50/$X50)*100),0)</f>
        <v>0</v>
      </c>
      <c r="X50" s="351" t="str">
        <f ca="1">IF($Y50&gt;0,CHOOSE(MATCH(RegimeExecucao,{"Unitário","Global"},0),IF($A50="S",ROUND($H50,ORÇAMENTO!$AF$10),""),ROUND($I50,ORÇAMENTO!$AF$11)),"")</f>
        <v/>
      </c>
      <c r="Y50" s="351">
        <f ca="1">AO50-O50</f>
        <v>0</v>
      </c>
      <c r="Z50" s="507"/>
      <c r="AB50" s="349"/>
      <c r="AC50" s="469"/>
      <c r="AD50" s="469"/>
      <c r="AE50" s="469"/>
      <c r="AF50" s="469"/>
      <c r="AG50" s="469"/>
      <c r="AH50" s="469"/>
      <c r="AI50" s="469"/>
      <c r="AJ50" s="469"/>
      <c r="AK50" s="469"/>
      <c r="AL50" s="469"/>
      <c r="AM50" s="350"/>
      <c r="AO50">
        <f ca="1">IF($A50="S",IF(BM!$I50=0,0,CHOOSE(MATCH(RegimeExecucao,{"Global","Unitário"},0),ROUND(ROUND(BM.MEDAcumulado,15-13*BM!$A$9)/100*BM!$I50,15-13*ORÇAMENTO!$AF$11),ROUND(ROUND(BM.MEDAcumulado,15-13*BM!$A$9)*ROUND(BM!$H50,15-13*ORÇAMENTO!$AF$10),15-13*ORÇAMENTO!$AF$11))),IF($A50=0,0,ROUND(SomaAgrupBM,15-13*ORÇAMENTO!$AF$11)))</f>
        <v>0</v>
      </c>
    </row>
    <row r="51" spans="1:41" ht="25.5" x14ac:dyDescent="0.2">
      <c r="A51" t="str">
        <f ca="1">ORÇAMENTO!C51</f>
        <v>S</v>
      </c>
      <c r="B51">
        <f ca="1">ORÇAMENTO!D51</f>
        <v>0</v>
      </c>
      <c r="C51" s="116" t="str">
        <f ca="1">IF(OR($I51&gt;0,$A51=1,$A51=2,$A51=3,$A51=4),"F","")</f>
        <v/>
      </c>
      <c r="D51" s="119" t="str">
        <f ca="1">ORÇAMENTO!O51</f>
        <v>-</v>
      </c>
      <c r="E51" s="170" t="str">
        <f ca="1">ORÇAMENTO.Descricao</f>
        <v>(abra o arquivo 'Referência 04-2026.xlsm)</v>
      </c>
      <c r="F51" s="171" t="str">
        <f ca="1">IF(RegimeExecucao="Global","",ORÇAMENTO.Unidade)</f>
        <v/>
      </c>
      <c r="G51" s="124" t="str">
        <f ca="1">IF(RegimeExecucao="Global","",ORÇAMENTO!T51)</f>
        <v/>
      </c>
      <c r="H51" s="124" t="str">
        <f ca="1">IF(RegimeExecucao="Global","",ORÇAMENTO!W51)</f>
        <v/>
      </c>
      <c r="I51" s="127">
        <f ca="1">ORÇAMENTO!X51</f>
        <v>0</v>
      </c>
      <c r="J51" s="345">
        <f ca="1">IF($A51="S",IF(CAIXA.Modo,BM.AFAnterior,BM.MEDAnterior),IF(AND(RegimeExecucao="Global",$I51&gt;0,COUNTIF($AB$13:$AM$13,BM.medicao-1)&gt;0),M51/$I51*100,0))</f>
        <v>0</v>
      </c>
      <c r="K51" s="124">
        <f ca="1">L51-J51</f>
        <v>0</v>
      </c>
      <c r="L51" s="346">
        <f ca="1">IF($A51="S",IF(CAIXA.Modo,BM.AFAcumulado,BM.MEDAcumulado),IF(AND(RegimeExecucao="Global",$I51&gt;0,COUNTIF($AB$13:$AM$13,BM.medicao)&gt;0),O51/$I51*100,0))</f>
        <v>0</v>
      </c>
      <c r="M51" s="347">
        <f ca="1">IF($A51="S",VTOTALBM,IF($A51=0,0,ROUND(SomaAgrupBM,15-13*ORÇAMENTO!$AF$11)))</f>
        <v>0</v>
      </c>
      <c r="N51" s="348">
        <f ca="1">O51-M51</f>
        <v>0</v>
      </c>
      <c r="O51" s="127">
        <f ca="1">IF($A51="S",VTOTALBM,IF($A51=0,0,ROUND(SomaAgrupBM,15-13*ORÇAMENTO!$AF$11)))</f>
        <v>0</v>
      </c>
      <c r="Q51" s="349"/>
      <c r="R51" s="350"/>
      <c r="T51" s="119" t="str">
        <f ca="1">IF($W51&gt;0,$D51,"")</f>
        <v/>
      </c>
      <c r="U51" s="170" t="str">
        <f ca="1">IF($W51&gt;0,$E51,"")</f>
        <v/>
      </c>
      <c r="V51" s="171" t="str">
        <f ca="1">IF(AND($W51&gt;0,RegimeExecucao="Unitário"),$F51,"")</f>
        <v/>
      </c>
      <c r="W51" s="486">
        <f ca="1">IF($Y51&gt;0,CHOOSE(MATCH(RegimeExecucao,{"Unitário","Global"},0),IF($A51="S",$Y51/$X51,""),($Y51/$X51)*100),0)</f>
        <v>0</v>
      </c>
      <c r="X51" s="351" t="str">
        <f ca="1">IF($Y51&gt;0,CHOOSE(MATCH(RegimeExecucao,{"Unitário","Global"},0),IF($A51="S",ROUND($H51,ORÇAMENTO!$AF$10),""),ROUND($I51,ORÇAMENTO!$AF$11)),"")</f>
        <v/>
      </c>
      <c r="Y51" s="351">
        <f ca="1">AO51-O51</f>
        <v>0</v>
      </c>
      <c r="Z51" s="507"/>
      <c r="AB51" s="349"/>
      <c r="AC51" s="469"/>
      <c r="AD51" s="469"/>
      <c r="AE51" s="469"/>
      <c r="AF51" s="469"/>
      <c r="AG51" s="469"/>
      <c r="AH51" s="469"/>
      <c r="AI51" s="469"/>
      <c r="AJ51" s="469"/>
      <c r="AK51" s="469"/>
      <c r="AL51" s="469"/>
      <c r="AM51" s="350"/>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2</v>
      </c>
      <c r="B52">
        <f ca="1">ORÇAMENTO!D52</f>
        <v>7</v>
      </c>
      <c r="C52" s="116" t="str">
        <f t="shared" ca="1" si="1"/>
        <v>F</v>
      </c>
      <c r="D52" s="119" t="str">
        <f ca="1">ORÇAMENTO!O52</f>
        <v>2.5.</v>
      </c>
      <c r="E52" s="170" t="str">
        <f t="shared" si="2"/>
        <v>PISO DE CONCRETO CHURRASQUEIRA</v>
      </c>
      <c r="F52" s="171" t="str">
        <f ca="1">IF(RegimeExecucao="Global","",ORÇAMENTO.Unidade)</f>
        <v/>
      </c>
      <c r="G52" s="124" t="str">
        <f ca="1">IF(RegimeExecucao="Global","",ORÇAMENTO!T52)</f>
        <v/>
      </c>
      <c r="H52" s="124" t="str">
        <f ca="1">IF(RegimeExecucao="Global","",ORÇAMENTO!W52)</f>
        <v/>
      </c>
      <c r="I52" s="127">
        <f ca="1">ORÇAMENTO!X52</f>
        <v>0</v>
      </c>
      <c r="J52" s="345">
        <f ca="1">IF($A52="S",IF(CAIXA.Modo,BM.AFAnterior,BM.MEDAnterior),IF(AND(RegimeExecucao="Global",$I52&gt;0,COUNTIF($AB$13:$AM$13,BM.medicao-1)&gt;0),M52/$I52*100,0))</f>
        <v>0</v>
      </c>
      <c r="K52" s="124">
        <f t="shared" ca="1" si="3"/>
        <v>0</v>
      </c>
      <c r="L52" s="346">
        <f ca="1">IF($A52="S",IF(CAIXA.Modo,BM.AFAcumulado,BM.MEDAcumulado),IF(AND(RegimeExecucao="Global",$I52&gt;0,COUNTIF($AB$13:$AM$13,BM.medicao)&gt;0),O52/$I52*100,0))</f>
        <v>0</v>
      </c>
      <c r="M52" s="347">
        <f ca="1">IF($A52="S",VTOTALBM,IF($A52=0,0,ROUND(SomaAgrupBM,15-13*ORÇAMENTO!$AF$11)))</f>
        <v>0</v>
      </c>
      <c r="N52" s="348">
        <f t="shared" ca="1" si="4"/>
        <v>0</v>
      </c>
      <c r="O52" s="127">
        <f ca="1">IF($A52="S",VTOTALBM,IF($A52=0,0,ROUND(SomaAgrupBM,15-13*ORÇAMENTO!$AF$11)))</f>
        <v>0</v>
      </c>
      <c r="Q52" s="349"/>
      <c r="R52" s="350"/>
      <c r="T52" s="119" t="str">
        <f t="shared" ca="1" si="5"/>
        <v/>
      </c>
      <c r="U52" s="170" t="str">
        <f t="shared" ca="1" si="6"/>
        <v/>
      </c>
      <c r="V52" s="171" t="str">
        <f ca="1">IF(AND($W52&gt;0,RegimeExecucao="Unitário"),$F52,"")</f>
        <v/>
      </c>
      <c r="W52" s="486">
        <f ca="1">IF($Y52&gt;0,CHOOSE(MATCH(RegimeExecucao,{"Unitário","Global"},0),IF($A52="S",$Y52/$X52,""),($Y52/$X52)*100),0)</f>
        <v>0</v>
      </c>
      <c r="X52" s="351" t="str">
        <f ca="1">IF($Y52&gt;0,CHOOSE(MATCH(RegimeExecucao,{"Unitário","Global"},0),IF($A52="S",ROUND($H52,ORÇAMENTO!$AF$10),""),ROUND($I52,ORÇAMENTO!$AF$11)),"")</f>
        <v/>
      </c>
      <c r="Y52" s="351">
        <f t="shared" ca="1" si="7"/>
        <v>0</v>
      </c>
      <c r="Z52" s="507"/>
      <c r="AB52" s="349"/>
      <c r="AC52" s="469"/>
      <c r="AD52" s="469"/>
      <c r="AE52" s="469"/>
      <c r="AF52" s="469"/>
      <c r="AG52" s="469"/>
      <c r="AH52" s="469"/>
      <c r="AI52" s="469"/>
      <c r="AJ52" s="469"/>
      <c r="AK52" s="469"/>
      <c r="AL52" s="469"/>
      <c r="AM52" s="350"/>
      <c r="AO52">
        <f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6" t="str">
        <f t="shared" ca="1" si="1"/>
        <v/>
      </c>
      <c r="D53" s="119" t="str">
        <f ca="1">ORÇAMENTO!O53</f>
        <v>-</v>
      </c>
      <c r="E53" s="170" t="str">
        <f t="shared" ca="1" si="2"/>
        <v>(abra o arquivo 'Referência 04-2026.xlsm)</v>
      </c>
      <c r="F53" s="171" t="str">
        <f ca="1">IF(RegimeExecucao="Global","",ORÇAMENTO.Unidade)</f>
        <v/>
      </c>
      <c r="G53" s="124" t="str">
        <f ca="1">IF(RegimeExecucao="Global","",ORÇAMENTO!T53)</f>
        <v/>
      </c>
      <c r="H53" s="124" t="str">
        <f ca="1">IF(RegimeExecucao="Global","",ORÇAMENTO!W53)</f>
        <v/>
      </c>
      <c r="I53" s="127">
        <f ca="1">ORÇAMENTO!X53</f>
        <v>0</v>
      </c>
      <c r="J53" s="345">
        <f ca="1">IF($A53="S",IF(CAIXA.Modo,BM.AFAnterior,BM.MEDAnterior),IF(AND(RegimeExecucao="Global",$I53&gt;0,COUNTIF($AB$13:$AM$13,BM.medicao-1)&gt;0),M53/$I53*100,0))</f>
        <v>0</v>
      </c>
      <c r="K53" s="124">
        <f t="shared" ca="1" si="3"/>
        <v>0</v>
      </c>
      <c r="L53" s="346">
        <f ca="1">IF($A53="S",IF(CAIXA.Modo,BM.AFAcumulado,BM.MEDAcumulado),IF(AND(RegimeExecucao="Global",$I53&gt;0,COUNTIF($AB$13:$AM$13,BM.medicao)&gt;0),O53/$I53*100,0))</f>
        <v>0</v>
      </c>
      <c r="M53" s="347">
        <f ca="1">IF($A53="S",VTOTALBM,IF($A53=0,0,ROUND(SomaAgrupBM,15-13*ORÇAMENTO!$AF$11)))</f>
        <v>0</v>
      </c>
      <c r="N53" s="348">
        <f t="shared" ca="1" si="4"/>
        <v>0</v>
      </c>
      <c r="O53" s="127">
        <f ca="1">IF($A53="S",VTOTALBM,IF($A53=0,0,ROUND(SomaAgrupBM,15-13*ORÇAMENTO!$AF$11)))</f>
        <v>0</v>
      </c>
      <c r="Q53" s="349"/>
      <c r="R53" s="350"/>
      <c r="T53" s="119" t="str">
        <f t="shared" ca="1" si="5"/>
        <v/>
      </c>
      <c r="U53" s="170" t="str">
        <f t="shared" ca="1" si="6"/>
        <v/>
      </c>
      <c r="V53" s="171" t="str">
        <f ca="1">IF(AND($W53&gt;0,RegimeExecucao="Unitário"),$F53,"")</f>
        <v/>
      </c>
      <c r="W53" s="486">
        <f ca="1">IF($Y53&gt;0,CHOOSE(MATCH(RegimeExecucao,{"Unitário","Global"},0),IF($A53="S",$Y53/$X53,""),($Y53/$X53)*100),0)</f>
        <v>0</v>
      </c>
      <c r="X53" s="351" t="str">
        <f ca="1">IF($Y53&gt;0,CHOOSE(MATCH(RegimeExecucao,{"Unitário","Global"},0),IF($A53="S",ROUND($H53,ORÇAMENTO!$AF$10),""),ROUND($I53,ORÇAMENTO!$AF$11)),"")</f>
        <v/>
      </c>
      <c r="Y53" s="351">
        <f t="shared" ca="1" si="7"/>
        <v>0</v>
      </c>
      <c r="Z53" s="507"/>
      <c r="AB53" s="349"/>
      <c r="AC53" s="469"/>
      <c r="AD53" s="469"/>
      <c r="AE53" s="469"/>
      <c r="AF53" s="469"/>
      <c r="AG53" s="469"/>
      <c r="AH53" s="469"/>
      <c r="AI53" s="469"/>
      <c r="AJ53" s="469"/>
      <c r="AK53" s="469"/>
      <c r="AL53" s="469"/>
      <c r="AM53" s="350"/>
      <c r="AO53">
        <f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6" t="str">
        <f ca="1">IF(OR($I54&gt;0,$A54=1,$A54=2,$A54=3,$A54=4),"F","")</f>
        <v/>
      </c>
      <c r="D54" s="119" t="str">
        <f ca="1">ORÇAMENTO!O54</f>
        <v>-</v>
      </c>
      <c r="E54" s="170" t="str">
        <f ca="1">ORÇAMENTO.Descricao</f>
        <v>(abra o arquivo 'Referência 04-2026.xlsm)</v>
      </c>
      <c r="F54" s="171" t="str">
        <f ca="1">IF(RegimeExecucao="Global","",ORÇAMENTO.Unidade)</f>
        <v/>
      </c>
      <c r="G54" s="124" t="str">
        <f ca="1">IF(RegimeExecucao="Global","",ORÇAMENTO!T54)</f>
        <v/>
      </c>
      <c r="H54" s="124" t="str">
        <f ca="1">IF(RegimeExecucao="Global","",ORÇAMENTO!W54)</f>
        <v/>
      </c>
      <c r="I54" s="127">
        <f ca="1">ORÇAMENTO!X54</f>
        <v>0</v>
      </c>
      <c r="J54" s="345">
        <f ca="1">IF($A54="S",IF(CAIXA.Modo,BM.AFAnterior,BM.MEDAnterior),IF(AND(RegimeExecucao="Global",$I54&gt;0,COUNTIF($AB$13:$AM$13,BM.medicao-1)&gt;0),M54/$I54*100,0))</f>
        <v>0</v>
      </c>
      <c r="K54" s="124">
        <f ca="1">L54-J54</f>
        <v>0</v>
      </c>
      <c r="L54" s="346">
        <f ca="1">IF($A54="S",IF(CAIXA.Modo,BM.AFAcumulado,BM.MEDAcumulado),IF(AND(RegimeExecucao="Global",$I54&gt;0,COUNTIF($AB$13:$AM$13,BM.medicao)&gt;0),O54/$I54*100,0))</f>
        <v>0</v>
      </c>
      <c r="M54" s="347">
        <f ca="1">IF($A54="S",VTOTALBM,IF($A54=0,0,ROUND(SomaAgrupBM,15-13*ORÇAMENTO!$AF$11)))</f>
        <v>0</v>
      </c>
      <c r="N54" s="348">
        <f ca="1">O54-M54</f>
        <v>0</v>
      </c>
      <c r="O54" s="127">
        <f ca="1">IF($A54="S",VTOTALBM,IF($A54=0,0,ROUND(SomaAgrupBM,15-13*ORÇAMENTO!$AF$11)))</f>
        <v>0</v>
      </c>
      <c r="Q54" s="349"/>
      <c r="R54" s="350"/>
      <c r="T54" s="119" t="str">
        <f ca="1">IF($W54&gt;0,$D54,"")</f>
        <v/>
      </c>
      <c r="U54" s="170" t="str">
        <f ca="1">IF($W54&gt;0,$E54,"")</f>
        <v/>
      </c>
      <c r="V54" s="171" t="str">
        <f ca="1">IF(AND($W54&gt;0,RegimeExecucao="Unitário"),$F54,"")</f>
        <v/>
      </c>
      <c r="W54" s="486">
        <f ca="1">IF($Y54&gt;0,CHOOSE(MATCH(RegimeExecucao,{"Unitário","Global"},0),IF($A54="S",$Y54/$X54,""),($Y54/$X54)*100),0)</f>
        <v>0</v>
      </c>
      <c r="X54" s="351" t="str">
        <f ca="1">IF($Y54&gt;0,CHOOSE(MATCH(RegimeExecucao,{"Unitário","Global"},0),IF($A54="S",ROUND($H54,ORÇAMENTO!$AF$10),""),ROUND($I54,ORÇAMENTO!$AF$11)),"")</f>
        <v/>
      </c>
      <c r="Y54" s="351">
        <f ca="1">AO54-O54</f>
        <v>0</v>
      </c>
      <c r="Z54" s="507"/>
      <c r="AB54" s="349"/>
      <c r="AC54" s="469"/>
      <c r="AD54" s="469"/>
      <c r="AE54" s="469"/>
      <c r="AF54" s="469"/>
      <c r="AG54" s="469"/>
      <c r="AH54" s="469"/>
      <c r="AI54" s="469"/>
      <c r="AJ54" s="469"/>
      <c r="AK54" s="469"/>
      <c r="AL54" s="469"/>
      <c r="AM54" s="350"/>
      <c r="AO54">
        <f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6" t="str">
        <f t="shared" ca="1" si="1"/>
        <v/>
      </c>
      <c r="D55" s="119" t="str">
        <f ca="1">ORÇAMENTO!O55</f>
        <v>-</v>
      </c>
      <c r="E55" s="170" t="str">
        <f t="shared" ca="1" si="2"/>
        <v>(abra o arquivo 'Referência 04-2026.xlsm)</v>
      </c>
      <c r="F55" s="171" t="str">
        <f ca="1">IF(RegimeExecucao="Global","",ORÇAMENTO.Unidade)</f>
        <v/>
      </c>
      <c r="G55" s="124" t="str">
        <f ca="1">IF(RegimeExecucao="Global","",ORÇAMENTO!T55)</f>
        <v/>
      </c>
      <c r="H55" s="124" t="str">
        <f ca="1">IF(RegimeExecucao="Global","",ORÇAMENTO!W55)</f>
        <v/>
      </c>
      <c r="I55" s="127">
        <f ca="1">ORÇAMENTO!X55</f>
        <v>0</v>
      </c>
      <c r="J55" s="345">
        <f ca="1">IF($A55="S",IF(CAIXA.Modo,BM.AFAnterior,BM.MEDAnterior),IF(AND(RegimeExecucao="Global",$I55&gt;0,COUNTIF($AB$13:$AM$13,BM.medicao-1)&gt;0),M55/$I55*100,0))</f>
        <v>0</v>
      </c>
      <c r="K55" s="124">
        <f t="shared" ca="1" si="3"/>
        <v>0</v>
      </c>
      <c r="L55" s="346">
        <f ca="1">IF($A55="S",IF(CAIXA.Modo,BM.AFAcumulado,BM.MEDAcumulado),IF(AND(RegimeExecucao="Global",$I55&gt;0,COUNTIF($AB$13:$AM$13,BM.medicao)&gt;0),O55/$I55*100,0))</f>
        <v>0</v>
      </c>
      <c r="M55" s="347">
        <f ca="1">IF($A55="S",VTOTALBM,IF($A55=0,0,ROUND(SomaAgrupBM,15-13*ORÇAMENTO!$AF$11)))</f>
        <v>0</v>
      </c>
      <c r="N55" s="348">
        <f t="shared" ca="1" si="4"/>
        <v>0</v>
      </c>
      <c r="O55" s="127">
        <f ca="1">IF($A55="S",VTOTALBM,IF($A55=0,0,ROUND(SomaAgrupBM,15-13*ORÇAMENTO!$AF$11)))</f>
        <v>0</v>
      </c>
      <c r="Q55" s="349"/>
      <c r="R55" s="350"/>
      <c r="T55" s="119" t="str">
        <f t="shared" ca="1" si="5"/>
        <v/>
      </c>
      <c r="U55" s="170" t="str">
        <f t="shared" ca="1" si="6"/>
        <v/>
      </c>
      <c r="V55" s="171" t="str">
        <f ca="1">IF(AND($W55&gt;0,RegimeExecucao="Unitário"),$F55,"")</f>
        <v/>
      </c>
      <c r="W55" s="486">
        <f ca="1">IF($Y55&gt;0,CHOOSE(MATCH(RegimeExecucao,{"Unitário","Global"},0),IF($A55="S",$Y55/$X55,""),($Y55/$X55)*100),0)</f>
        <v>0</v>
      </c>
      <c r="X55" s="351" t="str">
        <f ca="1">IF($Y55&gt;0,CHOOSE(MATCH(RegimeExecucao,{"Unitário","Global"},0),IF($A55="S",ROUND($H55,ORÇAMENTO!$AF$10),""),ROUND($I55,ORÇAMENTO!$AF$11)),"")</f>
        <v/>
      </c>
      <c r="Y55" s="351">
        <f t="shared" ca="1" si="7"/>
        <v>0</v>
      </c>
      <c r="Z55" s="507"/>
      <c r="AB55" s="349"/>
      <c r="AC55" s="469"/>
      <c r="AD55" s="469"/>
      <c r="AE55" s="469"/>
      <c r="AF55" s="469"/>
      <c r="AG55" s="469"/>
      <c r="AH55" s="469"/>
      <c r="AI55" s="469"/>
      <c r="AJ55" s="469"/>
      <c r="AK55" s="469"/>
      <c r="AL55" s="469"/>
      <c r="AM55" s="350"/>
      <c r="AO55">
        <f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6" t="str">
        <f ca="1">IF(OR($I56&gt;0,$A56=1,$A56=2,$A56=3,$A56=4),"F","")</f>
        <v/>
      </c>
      <c r="D56" s="119" t="str">
        <f ca="1">ORÇAMENTO!O56</f>
        <v>-</v>
      </c>
      <c r="E56" s="170" t="str">
        <f ca="1">ORÇAMENTO.Descricao</f>
        <v>(abra o arquivo 'Referência 04-2026.xlsm)</v>
      </c>
      <c r="F56" s="171" t="str">
        <f ca="1">IF(RegimeExecucao="Global","",ORÇAMENTO.Unidade)</f>
        <v/>
      </c>
      <c r="G56" s="124" t="str">
        <f ca="1">IF(RegimeExecucao="Global","",ORÇAMENTO!T56)</f>
        <v/>
      </c>
      <c r="H56" s="124" t="str">
        <f ca="1">IF(RegimeExecucao="Global","",ORÇAMENTO!W56)</f>
        <v/>
      </c>
      <c r="I56" s="127">
        <f ca="1">ORÇAMENTO!X56</f>
        <v>0</v>
      </c>
      <c r="J56" s="345">
        <f ca="1">IF($A56="S",IF(CAIXA.Modo,BM.AFAnterior,BM.MEDAnterior),IF(AND(RegimeExecucao="Global",$I56&gt;0,COUNTIF($AB$13:$AM$13,BM.medicao-1)&gt;0),M56/$I56*100,0))</f>
        <v>0</v>
      </c>
      <c r="K56" s="124">
        <f ca="1">L56-J56</f>
        <v>0</v>
      </c>
      <c r="L56" s="346">
        <f ca="1">IF($A56="S",IF(CAIXA.Modo,BM.AFAcumulado,BM.MEDAcumulado),IF(AND(RegimeExecucao="Global",$I56&gt;0,COUNTIF($AB$13:$AM$13,BM.medicao)&gt;0),O56/$I56*100,0))</f>
        <v>0</v>
      </c>
      <c r="M56" s="347">
        <f ca="1">IF($A56="S",VTOTALBM,IF($A56=0,0,ROUND(SomaAgrupBM,15-13*ORÇAMENTO!$AF$11)))</f>
        <v>0</v>
      </c>
      <c r="N56" s="348">
        <f ca="1">O56-M56</f>
        <v>0</v>
      </c>
      <c r="O56" s="127">
        <f ca="1">IF($A56="S",VTOTALBM,IF($A56=0,0,ROUND(SomaAgrupBM,15-13*ORÇAMENTO!$AF$11)))</f>
        <v>0</v>
      </c>
      <c r="Q56" s="349"/>
      <c r="R56" s="350"/>
      <c r="T56" s="119" t="str">
        <f ca="1">IF($W56&gt;0,$D56,"")</f>
        <v/>
      </c>
      <c r="U56" s="170" t="str">
        <f ca="1">IF($W56&gt;0,$E56,"")</f>
        <v/>
      </c>
      <c r="V56" s="171" t="str">
        <f ca="1">IF(AND($W56&gt;0,RegimeExecucao="Unitário"),$F56,"")</f>
        <v/>
      </c>
      <c r="W56" s="486">
        <f ca="1">IF($Y56&gt;0,CHOOSE(MATCH(RegimeExecucao,{"Unitário","Global"},0),IF($A56="S",$Y56/$X56,""),($Y56/$X56)*100),0)</f>
        <v>0</v>
      </c>
      <c r="X56" s="351" t="str">
        <f ca="1">IF($Y56&gt;0,CHOOSE(MATCH(RegimeExecucao,{"Unitário","Global"},0),IF($A56="S",ROUND($H56,ORÇAMENTO!$AF$10),""),ROUND($I56,ORÇAMENTO!$AF$11)),"")</f>
        <v/>
      </c>
      <c r="Y56" s="351">
        <f ca="1">AO56-O56</f>
        <v>0</v>
      </c>
      <c r="Z56" s="507"/>
      <c r="AB56" s="349"/>
      <c r="AC56" s="469"/>
      <c r="AD56" s="469"/>
      <c r="AE56" s="469"/>
      <c r="AF56" s="469"/>
      <c r="AG56" s="469"/>
      <c r="AH56" s="469"/>
      <c r="AI56" s="469"/>
      <c r="AJ56" s="469"/>
      <c r="AK56" s="469"/>
      <c r="AL56" s="469"/>
      <c r="AM56" s="350"/>
      <c r="AO56">
        <f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6" t="str">
        <f t="shared" ref="C57" ca="1" si="8">IF(OR($I57&gt;0,$A57=1,$A57=2,$A57=3,$A57=4),"F","")</f>
        <v/>
      </c>
      <c r="D57" s="119" t="str">
        <f ca="1">ORÇAMENTO!O57</f>
        <v>-</v>
      </c>
      <c r="E57" s="170" t="str">
        <f ca="1">ORÇAMENTO.Descricao</f>
        <v>(abra o arquivo 'Referência 04-2026.xlsm)</v>
      </c>
      <c r="F57" s="171" t="str">
        <f ca="1">IF(RegimeExecucao="Global","",ORÇAMENTO.Unidade)</f>
        <v/>
      </c>
      <c r="G57" s="124" t="str">
        <f ca="1">IF(RegimeExecucao="Global","",ORÇAMENTO!T57)</f>
        <v/>
      </c>
      <c r="H57" s="124" t="str">
        <f ca="1">IF(RegimeExecucao="Global","",ORÇAMENTO!W57)</f>
        <v/>
      </c>
      <c r="I57" s="127">
        <f ca="1">ORÇAMENTO!X57</f>
        <v>0</v>
      </c>
      <c r="J57" s="345">
        <f ca="1">IF($A57="S",IF(CAIXA.Modo,BM.AFAnterior,BM.MEDAnterior),IF(AND(RegimeExecucao="Global",$I57&gt;0,COUNTIF($AB$13:$AM$13,BM.medicao-1)&gt;0),M57/$I57*100,0))</f>
        <v>0</v>
      </c>
      <c r="K57" s="124">
        <f t="shared" ref="K57" ca="1" si="9">L57-J57</f>
        <v>0</v>
      </c>
      <c r="L57" s="346">
        <f ca="1">IF($A57="S",IF(CAIXA.Modo,BM.AFAcumulado,BM.MEDAcumulado),IF(AND(RegimeExecucao="Global",$I57&gt;0,COUNTIF($AB$13:$AM$13,BM.medicao)&gt;0),O57/$I57*100,0))</f>
        <v>0</v>
      </c>
      <c r="M57" s="347">
        <f ca="1">IF($A57="S",VTOTALBM,IF($A57=0,0,ROUND(SomaAgrupBM,15-13*ORÇAMENTO!$AF$11)))</f>
        <v>0</v>
      </c>
      <c r="N57" s="348">
        <f t="shared" ref="N57" ca="1" si="10">O57-M57</f>
        <v>0</v>
      </c>
      <c r="O57" s="127">
        <f ca="1">IF($A57="S",VTOTALBM,IF($A57=0,0,ROUND(SomaAgrupBM,15-13*ORÇAMENTO!$AF$11)))</f>
        <v>0</v>
      </c>
      <c r="Q57" s="349"/>
      <c r="R57" s="350"/>
      <c r="T57" s="119" t="str">
        <f t="shared" ref="T57" ca="1" si="11">IF($W57&gt;0,$D57,"")</f>
        <v/>
      </c>
      <c r="U57" s="170" t="str">
        <f t="shared" ref="U57" ca="1" si="12">IF($W57&gt;0,$E57,"")</f>
        <v/>
      </c>
      <c r="V57" s="171" t="str">
        <f ca="1">IF(AND($W57&gt;0,RegimeExecucao="Unitário"),$F57,"")</f>
        <v/>
      </c>
      <c r="W57" s="486">
        <f ca="1">IF($Y57&gt;0,CHOOSE(MATCH(RegimeExecucao,{"Unitário","Global"},0),IF($A57="S",$Y57/$X57,""),($Y57/$X57)*100),0)</f>
        <v>0</v>
      </c>
      <c r="X57" s="351" t="str">
        <f ca="1">IF($Y57&gt;0,CHOOSE(MATCH(RegimeExecucao,{"Unitário","Global"},0),IF($A57="S",ROUND($H57,ORÇAMENTO!$AF$10),""),ROUND($I57,ORÇAMENTO!$AF$11)),"")</f>
        <v/>
      </c>
      <c r="Y57" s="351">
        <f t="shared" ref="Y57" ca="1" si="13">AO57-O57</f>
        <v>0</v>
      </c>
      <c r="Z57" s="507"/>
      <c r="AB57" s="349"/>
      <c r="AC57" s="469"/>
      <c r="AD57" s="469"/>
      <c r="AE57" s="469"/>
      <c r="AF57" s="469"/>
      <c r="AG57" s="469"/>
      <c r="AH57" s="469"/>
      <c r="AI57" s="469"/>
      <c r="AJ57" s="469"/>
      <c r="AK57" s="469"/>
      <c r="AL57" s="469"/>
      <c r="AM57" s="350"/>
      <c r="AO57">
        <f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6" t="str">
        <f ca="1">IF(OR($I58&gt;0,$A58=1,$A58=2,$A58=3,$A58=4),"F","")</f>
        <v/>
      </c>
      <c r="D58" s="119" t="str">
        <f ca="1">ORÇAMENTO!O58</f>
        <v>-</v>
      </c>
      <c r="E58" s="170" t="str">
        <f ca="1">ORÇAMENTO.Descricao</f>
        <v>(abra o arquivo 'Referência 04-2026.xlsm)</v>
      </c>
      <c r="F58" s="171" t="str">
        <f ca="1">IF(RegimeExecucao="Global","",ORÇAMENTO.Unidade)</f>
        <v/>
      </c>
      <c r="G58" s="124" t="str">
        <f ca="1">IF(RegimeExecucao="Global","",ORÇAMENTO!T58)</f>
        <v/>
      </c>
      <c r="H58" s="124" t="str">
        <f ca="1">IF(RegimeExecucao="Global","",ORÇAMENTO!W58)</f>
        <v/>
      </c>
      <c r="I58" s="127">
        <f ca="1">ORÇAMENTO!X58</f>
        <v>0</v>
      </c>
      <c r="J58" s="345">
        <f ca="1">IF($A58="S",IF(CAIXA.Modo,BM.AFAnterior,BM.MEDAnterior),IF(AND(RegimeExecucao="Global",$I58&gt;0,COUNTIF($AB$13:$AM$13,BM.medicao-1)&gt;0),M58/$I58*100,0))</f>
        <v>0</v>
      </c>
      <c r="K58" s="124">
        <f ca="1">L58-J58</f>
        <v>0</v>
      </c>
      <c r="L58" s="346">
        <f ca="1">IF($A58="S",IF(CAIXA.Modo,BM.AFAcumulado,BM.MEDAcumulado),IF(AND(RegimeExecucao="Global",$I58&gt;0,COUNTIF($AB$13:$AM$13,BM.medicao)&gt;0),O58/$I58*100,0))</f>
        <v>0</v>
      </c>
      <c r="M58" s="347">
        <f ca="1">IF($A58="S",VTOTALBM,IF($A58=0,0,ROUND(SomaAgrupBM,15-13*ORÇAMENTO!$AF$11)))</f>
        <v>0</v>
      </c>
      <c r="N58" s="348">
        <f ca="1">O58-M58</f>
        <v>0</v>
      </c>
      <c r="O58" s="127">
        <f ca="1">IF($A58="S",VTOTALBM,IF($A58=0,0,ROUND(SomaAgrupBM,15-13*ORÇAMENTO!$AF$11)))</f>
        <v>0</v>
      </c>
      <c r="Q58" s="349"/>
      <c r="R58" s="350"/>
      <c r="T58" s="119" t="str">
        <f ca="1">IF($W58&gt;0,$D58,"")</f>
        <v/>
      </c>
      <c r="U58" s="170" t="str">
        <f ca="1">IF($W58&gt;0,$E58,"")</f>
        <v/>
      </c>
      <c r="V58" s="171" t="str">
        <f ca="1">IF(AND($W58&gt;0,RegimeExecucao="Unitário"),$F58,"")</f>
        <v/>
      </c>
      <c r="W58" s="486">
        <f ca="1">IF($Y58&gt;0,CHOOSE(MATCH(RegimeExecucao,{"Unitário","Global"},0),IF($A58="S",$Y58/$X58,""),($Y58/$X58)*100),0)</f>
        <v>0</v>
      </c>
      <c r="X58" s="351" t="str">
        <f ca="1">IF($Y58&gt;0,CHOOSE(MATCH(RegimeExecucao,{"Unitário","Global"},0),IF($A58="S",ROUND($H58,ORÇAMENTO!$AF$10),""),ROUND($I58,ORÇAMENTO!$AF$11)),"")</f>
        <v/>
      </c>
      <c r="Y58" s="351">
        <f ca="1">AO58-O58</f>
        <v>0</v>
      </c>
      <c r="Z58" s="507"/>
      <c r="AB58" s="349"/>
      <c r="AC58" s="469"/>
      <c r="AD58" s="469"/>
      <c r="AE58" s="469"/>
      <c r="AF58" s="469"/>
      <c r="AG58" s="469"/>
      <c r="AH58" s="469"/>
      <c r="AI58" s="469"/>
      <c r="AJ58" s="469"/>
      <c r="AK58" s="469"/>
      <c r="AL58" s="469"/>
      <c r="AM58" s="350"/>
      <c r="AO58">
        <f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f ca="1">ORÇAMENTO!C59</f>
        <v>2</v>
      </c>
      <c r="B59">
        <f ca="1">ORÇAMENTO!D59</f>
        <v>9</v>
      </c>
      <c r="C59" s="116" t="str">
        <f t="shared" ref="C59:C85" ca="1" si="14">IF(OR($I59&gt;0,$A59=1,$A59=2,$A59=3,$A59=4),"F","")</f>
        <v>F</v>
      </c>
      <c r="D59" s="119" t="str">
        <f ca="1">ORÇAMENTO!O59</f>
        <v>2.6.</v>
      </c>
      <c r="E59" s="170" t="str">
        <f t="shared" ref="E59:E85" si="15">ORÇAMENTO.Descricao</f>
        <v>INSTALAÇÃO DO TELHADO</v>
      </c>
      <c r="F59" s="171" t="str">
        <f ca="1">IF(RegimeExecucao="Global","",ORÇAMENTO.Unidade)</f>
        <v/>
      </c>
      <c r="G59" s="124" t="str">
        <f ca="1">IF(RegimeExecucao="Global","",ORÇAMENTO!T59)</f>
        <v/>
      </c>
      <c r="H59" s="124" t="str">
        <f ca="1">IF(RegimeExecucao="Global","",ORÇAMENTO!W59)</f>
        <v/>
      </c>
      <c r="I59" s="127">
        <f ca="1">ORÇAMENTO!X59</f>
        <v>0</v>
      </c>
      <c r="J59" s="345">
        <f ca="1">IF($A59="S",IF(CAIXA.Modo,BM.AFAnterior,BM.MEDAnterior),IF(AND(RegimeExecucao="Global",$I59&gt;0,COUNTIF($AB$13:$AM$13,BM.medicao-1)&gt;0),M59/$I59*100,0))</f>
        <v>0</v>
      </c>
      <c r="K59" s="124">
        <f t="shared" ref="K59:K85" ca="1" si="16">L59-J59</f>
        <v>0</v>
      </c>
      <c r="L59" s="346">
        <f ca="1">IF($A59="S",IF(CAIXA.Modo,BM.AFAcumulado,BM.MEDAcumulado),IF(AND(RegimeExecucao="Global",$I59&gt;0,COUNTIF($AB$13:$AM$13,BM.medicao)&gt;0),O59/$I59*100,0))</f>
        <v>0</v>
      </c>
      <c r="M59" s="347">
        <f ca="1">IF($A59="S",VTOTALBM,IF($A59=0,0,ROUND(SomaAgrupBM,15-13*ORÇAMENTO!$AF$11)))</f>
        <v>0</v>
      </c>
      <c r="N59" s="348">
        <f t="shared" ref="N59:N85" ca="1" si="17">O59-M59</f>
        <v>0</v>
      </c>
      <c r="O59" s="127">
        <f ca="1">IF($A59="S",VTOTALBM,IF($A59=0,0,ROUND(SomaAgrupBM,15-13*ORÇAMENTO!$AF$11)))</f>
        <v>0</v>
      </c>
      <c r="Q59" s="349"/>
      <c r="R59" s="350"/>
      <c r="T59" s="119" t="str">
        <f t="shared" ref="T59:T85" ca="1" si="18">IF($W59&gt;0,$D59,"")</f>
        <v/>
      </c>
      <c r="U59" s="170" t="str">
        <f t="shared" ref="U59:U85" ca="1" si="19">IF($W59&gt;0,$E59,"")</f>
        <v/>
      </c>
      <c r="V59" s="171" t="str">
        <f ca="1">IF(AND($W59&gt;0,RegimeExecucao="Unitário"),$F59,"")</f>
        <v/>
      </c>
      <c r="W59" s="486">
        <f ca="1">IF($Y59&gt;0,CHOOSE(MATCH(RegimeExecucao,{"Unitário","Global"},0),IF($A59="S",$Y59/$X59,""),($Y59/$X59)*100),0)</f>
        <v>0</v>
      </c>
      <c r="X59" s="351" t="str">
        <f ca="1">IF($Y59&gt;0,CHOOSE(MATCH(RegimeExecucao,{"Unitário","Global"},0),IF($A59="S",ROUND($H59,ORÇAMENTO!$AF$10),""),ROUND($I59,ORÇAMENTO!$AF$11)),"")</f>
        <v/>
      </c>
      <c r="Y59" s="351">
        <f t="shared" ref="Y59:Y85" ca="1" si="20">AO59-O59</f>
        <v>0</v>
      </c>
      <c r="Z59" s="507"/>
      <c r="AB59" s="349"/>
      <c r="AC59" s="469"/>
      <c r="AD59" s="469"/>
      <c r="AE59" s="469"/>
      <c r="AF59" s="469"/>
      <c r="AG59" s="469"/>
      <c r="AH59" s="469"/>
      <c r="AI59" s="469"/>
      <c r="AJ59" s="469"/>
      <c r="AK59" s="469"/>
      <c r="AL59" s="469"/>
      <c r="AM59" s="350"/>
      <c r="AO59">
        <f ca="1">IF($A59="S",IF(BM!$I59=0,0,CHOOSE(MATCH(RegimeExecucao,{"Global","Unitário"},0),ROUND(ROUND(BM.MEDAcumulado,15-13*BM!$A$9)/100*BM!$I59,15-13*ORÇAMENTO!$AF$11),ROUND(ROUND(BM.MEDAcumulado,15-13*BM!$A$9)*ROUND(BM!$H59,15-13*ORÇAMENTO!$AF$10),15-13*ORÇAMENTO!$AF$11))),IF($A59=0,0,ROUND(SomaAgrupBM,15-13*ORÇAMENTO!$AF$11)))</f>
        <v>0</v>
      </c>
    </row>
    <row r="60" spans="1:41" ht="38.25" x14ac:dyDescent="0.2">
      <c r="A60" t="str">
        <f ca="1">ORÇAMENTO!C60</f>
        <v>S</v>
      </c>
      <c r="B60">
        <f ca="1">ORÇAMENTO!D60</f>
        <v>0</v>
      </c>
      <c r="C60" s="116" t="str">
        <f t="shared" ca="1" si="14"/>
        <v/>
      </c>
      <c r="D60" s="119" t="str">
        <f ca="1">ORÇAMENTO!O60</f>
        <v>-</v>
      </c>
      <c r="E60" s="170" t="str">
        <f t="shared" ca="1" si="15"/>
        <v>(abra o arquivo 'Referência 04-2026.xlsm)</v>
      </c>
      <c r="F60" s="171" t="str">
        <f ca="1">IF(RegimeExecucao="Global","",ORÇAMENTO.Unidade)</f>
        <v/>
      </c>
      <c r="G60" s="124" t="str">
        <f ca="1">IF(RegimeExecucao="Global","",ORÇAMENTO!T60)</f>
        <v/>
      </c>
      <c r="H60" s="124" t="str">
        <f ca="1">IF(RegimeExecucao="Global","",ORÇAMENTO!W60)</f>
        <v/>
      </c>
      <c r="I60" s="127">
        <f ca="1">ORÇAMENTO!X60</f>
        <v>0</v>
      </c>
      <c r="J60" s="345">
        <f ca="1">IF($A60="S",IF(CAIXA.Modo,BM.AFAnterior,BM.MEDAnterior),IF(AND(RegimeExecucao="Global",$I60&gt;0,COUNTIF($AB$13:$AM$13,BM.medicao-1)&gt;0),M60/$I60*100,0))</f>
        <v>0</v>
      </c>
      <c r="K60" s="124">
        <f t="shared" ca="1" si="16"/>
        <v>0</v>
      </c>
      <c r="L60" s="346">
        <f ca="1">IF($A60="S",IF(CAIXA.Modo,BM.AFAcumulado,BM.MEDAcumulado),IF(AND(RegimeExecucao="Global",$I60&gt;0,COUNTIF($AB$13:$AM$13,BM.medicao)&gt;0),O60/$I60*100,0))</f>
        <v>0</v>
      </c>
      <c r="M60" s="347">
        <f ca="1">IF($A60="S",VTOTALBM,IF($A60=0,0,ROUND(SomaAgrupBM,15-13*ORÇAMENTO!$AF$11)))</f>
        <v>0</v>
      </c>
      <c r="N60" s="348">
        <f t="shared" ca="1" si="17"/>
        <v>0</v>
      </c>
      <c r="O60" s="127">
        <f ca="1">IF($A60="S",VTOTALBM,IF($A60=0,0,ROUND(SomaAgrupBM,15-13*ORÇAMENTO!$AF$11)))</f>
        <v>0</v>
      </c>
      <c r="Q60" s="349"/>
      <c r="R60" s="350"/>
      <c r="T60" s="119" t="str">
        <f t="shared" ca="1" si="18"/>
        <v/>
      </c>
      <c r="U60" s="170" t="str">
        <f t="shared" ca="1" si="19"/>
        <v/>
      </c>
      <c r="V60" s="171" t="str">
        <f ca="1">IF(AND($W60&gt;0,RegimeExecucao="Unitário"),$F60,"")</f>
        <v/>
      </c>
      <c r="W60" s="486">
        <f ca="1">IF($Y60&gt;0,CHOOSE(MATCH(RegimeExecucao,{"Unitário","Global"},0),IF($A60="S",$Y60/$X60,""),($Y60/$X60)*100),0)</f>
        <v>0</v>
      </c>
      <c r="X60" s="351" t="str">
        <f ca="1">IF($Y60&gt;0,CHOOSE(MATCH(RegimeExecucao,{"Unitário","Global"},0),IF($A60="S",ROUND($H60,ORÇAMENTO!$AF$10),""),ROUND($I60,ORÇAMENTO!$AF$11)),"")</f>
        <v/>
      </c>
      <c r="Y60" s="351">
        <f t="shared" ca="1" si="20"/>
        <v>0</v>
      </c>
      <c r="Z60" s="507"/>
      <c r="AB60" s="349"/>
      <c r="AC60" s="469"/>
      <c r="AD60" s="469"/>
      <c r="AE60" s="469"/>
      <c r="AF60" s="469"/>
      <c r="AG60" s="469"/>
      <c r="AH60" s="469"/>
      <c r="AI60" s="469"/>
      <c r="AJ60" s="469"/>
      <c r="AK60" s="469"/>
      <c r="AL60" s="469"/>
      <c r="AM60" s="350"/>
      <c r="AO60">
        <f ca="1">IF($A60="S",IF(BM!$I60=0,0,CHOOSE(MATCH(RegimeExecucao,{"Global","Unitário"},0),ROUND(ROUND(BM.MEDAcumulado,15-13*BM!$A$9)/100*BM!$I60,15-13*ORÇAMENTO!$AF$11),ROUND(ROUND(BM.MEDAcumulado,15-13*BM!$A$9)*ROUND(BM!$H60,15-13*ORÇAMENTO!$AF$10),15-13*ORÇAMENTO!$AF$11))),IF($A60=0,0,ROUND(SomaAgrupBM,15-13*ORÇAMENTO!$AF$11)))</f>
        <v>0</v>
      </c>
    </row>
    <row r="61" spans="1:41" ht="51" x14ac:dyDescent="0.2">
      <c r="A61" t="str">
        <f ca="1">ORÇAMENTO!C61</f>
        <v>S</v>
      </c>
      <c r="B61">
        <f ca="1">ORÇAMENTO!D61</f>
        <v>0</v>
      </c>
      <c r="C61" s="116" t="str">
        <f ca="1">IF(OR($I61&gt;0,$A61=1,$A61=2,$A61=3,$A61=4),"F","")</f>
        <v/>
      </c>
      <c r="D61" s="119" t="str">
        <f ca="1">ORÇAMENTO!O61</f>
        <v>-</v>
      </c>
      <c r="E61" s="170" t="str">
        <f ca="1">ORÇAMENTO.Descricao</f>
        <v>(abra o arquivo 'Referência 04-2026.xlsm)</v>
      </c>
      <c r="F61" s="171" t="str">
        <f ca="1">IF(RegimeExecucao="Global","",ORÇAMENTO.Unidade)</f>
        <v/>
      </c>
      <c r="G61" s="124" t="str">
        <f ca="1">IF(RegimeExecucao="Global","",ORÇAMENTO!T61)</f>
        <v/>
      </c>
      <c r="H61" s="124" t="str">
        <f ca="1">IF(RegimeExecucao="Global","",ORÇAMENTO!W61)</f>
        <v/>
      </c>
      <c r="I61" s="127">
        <f ca="1">ORÇAMENTO!X61</f>
        <v>0</v>
      </c>
      <c r="J61" s="345">
        <f ca="1">IF($A61="S",IF(CAIXA.Modo,BM.AFAnterior,BM.MEDAnterior),IF(AND(RegimeExecucao="Global",$I61&gt;0,COUNTIF($AB$13:$AM$13,BM.medicao-1)&gt;0),M61/$I61*100,0))</f>
        <v>0</v>
      </c>
      <c r="K61" s="124">
        <f ca="1">L61-J61</f>
        <v>0</v>
      </c>
      <c r="L61" s="346">
        <f ca="1">IF($A61="S",IF(CAIXA.Modo,BM.AFAcumulado,BM.MEDAcumulado),IF(AND(RegimeExecucao="Global",$I61&gt;0,COUNTIF($AB$13:$AM$13,BM.medicao)&gt;0),O61/$I61*100,0))</f>
        <v>0</v>
      </c>
      <c r="M61" s="347">
        <f ca="1">IF($A61="S",VTOTALBM,IF($A61=0,0,ROUND(SomaAgrupBM,15-13*ORÇAMENTO!$AF$11)))</f>
        <v>0</v>
      </c>
      <c r="N61" s="348">
        <f ca="1">O61-M61</f>
        <v>0</v>
      </c>
      <c r="O61" s="127">
        <f ca="1">IF($A61="S",VTOTALBM,IF($A61=0,0,ROUND(SomaAgrupBM,15-13*ORÇAMENTO!$AF$11)))</f>
        <v>0</v>
      </c>
      <c r="Q61" s="349"/>
      <c r="R61" s="350"/>
      <c r="T61" s="119" t="str">
        <f ca="1">IF($W61&gt;0,$D61,"")</f>
        <v/>
      </c>
      <c r="U61" s="170" t="str">
        <f ca="1">IF($W61&gt;0,$E61,"")</f>
        <v/>
      </c>
      <c r="V61" s="171" t="str">
        <f ca="1">IF(AND($W61&gt;0,RegimeExecucao="Unitário"),$F61,"")</f>
        <v/>
      </c>
      <c r="W61" s="486">
        <f ca="1">IF($Y61&gt;0,CHOOSE(MATCH(RegimeExecucao,{"Unitário","Global"},0),IF($A61="S",$Y61/$X61,""),($Y61/$X61)*100),0)</f>
        <v>0</v>
      </c>
      <c r="X61" s="351" t="str">
        <f ca="1">IF($Y61&gt;0,CHOOSE(MATCH(RegimeExecucao,{"Unitário","Global"},0),IF($A61="S",ROUND($H61,ORÇAMENTO!$AF$10),""),ROUND($I61,ORÇAMENTO!$AF$11)),"")</f>
        <v/>
      </c>
      <c r="Y61" s="351">
        <f ca="1">AO61-O61</f>
        <v>0</v>
      </c>
      <c r="Z61" s="507"/>
      <c r="AB61" s="349"/>
      <c r="AC61" s="469"/>
      <c r="AD61" s="469"/>
      <c r="AE61" s="469"/>
      <c r="AF61" s="469"/>
      <c r="AG61" s="469"/>
      <c r="AH61" s="469"/>
      <c r="AI61" s="469"/>
      <c r="AJ61" s="469"/>
      <c r="AK61" s="469"/>
      <c r="AL61" s="469"/>
      <c r="AM61" s="350"/>
      <c r="AO61">
        <f ca="1">IF($A61="S",IF(BM!$I61=0,0,CHOOSE(MATCH(RegimeExecucao,{"Global","Unitário"},0),ROUND(ROUND(BM.MEDAcumulado,15-13*BM!$A$9)/100*BM!$I61,15-13*ORÇAMENTO!$AF$11),ROUND(ROUND(BM.MEDAcumulado,15-13*BM!$A$9)*ROUND(BM!$H61,15-13*ORÇAMENTO!$AF$10),15-13*ORÇAMENTO!$AF$11))),IF($A61=0,0,ROUND(SomaAgrupBM,15-13*ORÇAMENTO!$AF$11)))</f>
        <v>0</v>
      </c>
    </row>
    <row r="62" spans="1:41" ht="38.25" x14ac:dyDescent="0.2">
      <c r="A62" t="str">
        <f ca="1">ORÇAMENTO!C62</f>
        <v>S</v>
      </c>
      <c r="B62">
        <f ca="1">ORÇAMENTO!D62</f>
        <v>0</v>
      </c>
      <c r="C62" s="116" t="str">
        <f t="shared" ca="1" si="14"/>
        <v/>
      </c>
      <c r="D62" s="119" t="str">
        <f ca="1">ORÇAMENTO!O62</f>
        <v>-</v>
      </c>
      <c r="E62" s="170" t="str">
        <f t="shared" ca="1" si="15"/>
        <v>(abra o arquivo 'Referência 04-2026.xlsm)</v>
      </c>
      <c r="F62" s="171" t="str">
        <f ca="1">IF(RegimeExecucao="Global","",ORÇAMENTO.Unidade)</f>
        <v/>
      </c>
      <c r="G62" s="124" t="str">
        <f ca="1">IF(RegimeExecucao="Global","",ORÇAMENTO!T62)</f>
        <v/>
      </c>
      <c r="H62" s="124" t="str">
        <f ca="1">IF(RegimeExecucao="Global","",ORÇAMENTO!W62)</f>
        <v/>
      </c>
      <c r="I62" s="127">
        <f ca="1">ORÇAMENTO!X62</f>
        <v>0</v>
      </c>
      <c r="J62" s="345">
        <f ca="1">IF($A62="S",IF(CAIXA.Modo,BM.AFAnterior,BM.MEDAnterior),IF(AND(RegimeExecucao="Global",$I62&gt;0,COUNTIF($AB$13:$AM$13,BM.medicao-1)&gt;0),M62/$I62*100,0))</f>
        <v>0</v>
      </c>
      <c r="K62" s="124">
        <f t="shared" ca="1" si="16"/>
        <v>0</v>
      </c>
      <c r="L62" s="346">
        <f ca="1">IF($A62="S",IF(CAIXA.Modo,BM.AFAcumulado,BM.MEDAcumulado),IF(AND(RegimeExecucao="Global",$I62&gt;0,COUNTIF($AB$13:$AM$13,BM.medicao)&gt;0),O62/$I62*100,0))</f>
        <v>0</v>
      </c>
      <c r="M62" s="347">
        <f ca="1">IF($A62="S",VTOTALBM,IF($A62=0,0,ROUND(SomaAgrupBM,15-13*ORÇAMENTO!$AF$11)))</f>
        <v>0</v>
      </c>
      <c r="N62" s="348">
        <f t="shared" ca="1" si="17"/>
        <v>0</v>
      </c>
      <c r="O62" s="127">
        <f ca="1">IF($A62="S",VTOTALBM,IF($A62=0,0,ROUND(SomaAgrupBM,15-13*ORÇAMENTO!$AF$11)))</f>
        <v>0</v>
      </c>
      <c r="Q62" s="349"/>
      <c r="R62" s="350"/>
      <c r="T62" s="119" t="str">
        <f t="shared" ca="1" si="18"/>
        <v/>
      </c>
      <c r="U62" s="170" t="str">
        <f t="shared" ca="1" si="19"/>
        <v/>
      </c>
      <c r="V62" s="171" t="str">
        <f ca="1">IF(AND($W62&gt;0,RegimeExecucao="Unitário"),$F62,"")</f>
        <v/>
      </c>
      <c r="W62" s="486">
        <f ca="1">IF($Y62&gt;0,CHOOSE(MATCH(RegimeExecucao,{"Unitário","Global"},0),IF($A62="S",$Y62/$X62,""),($Y62/$X62)*100),0)</f>
        <v>0</v>
      </c>
      <c r="X62" s="351" t="str">
        <f ca="1">IF($Y62&gt;0,CHOOSE(MATCH(RegimeExecucao,{"Unitário","Global"},0),IF($A62="S",ROUND($H62,ORÇAMENTO!$AF$10),""),ROUND($I62,ORÇAMENTO!$AF$11)),"")</f>
        <v/>
      </c>
      <c r="Y62" s="351">
        <f t="shared" ca="1" si="20"/>
        <v>0</v>
      </c>
      <c r="Z62" s="507"/>
      <c r="AB62" s="349"/>
      <c r="AC62" s="469"/>
      <c r="AD62" s="469"/>
      <c r="AE62" s="469"/>
      <c r="AF62" s="469"/>
      <c r="AG62" s="469"/>
      <c r="AH62" s="469"/>
      <c r="AI62" s="469"/>
      <c r="AJ62" s="469"/>
      <c r="AK62" s="469"/>
      <c r="AL62" s="469"/>
      <c r="AM62" s="350"/>
      <c r="AO62">
        <f ca="1">IF($A62="S",IF(BM!$I62=0,0,CHOOSE(MATCH(RegimeExecucao,{"Global","Unitário"},0),ROUND(ROUND(BM.MEDAcumulado,15-13*BM!$A$9)/100*BM!$I62,15-13*ORÇAMENTO!$AF$11),ROUND(ROUND(BM.MEDAcumulado,15-13*BM!$A$9)*ROUND(BM!$H62,15-13*ORÇAMENTO!$AF$10),15-13*ORÇAMENTO!$AF$11))),IF($A62=0,0,ROUND(SomaAgrupBM,15-13*ORÇAMENTO!$AF$11)))</f>
        <v>0</v>
      </c>
    </row>
    <row r="63" spans="1:41" ht="51" x14ac:dyDescent="0.2">
      <c r="A63" t="str">
        <f ca="1">ORÇAMENTO!C63</f>
        <v>S</v>
      </c>
      <c r="B63">
        <f ca="1">ORÇAMENTO!D63</f>
        <v>0</v>
      </c>
      <c r="C63" s="116" t="str">
        <f ca="1">IF(OR($I63&gt;0,$A63=1,$A63=2,$A63=3,$A63=4),"F","")</f>
        <v/>
      </c>
      <c r="D63" s="119" t="str">
        <f ca="1">ORÇAMENTO!O63</f>
        <v>-</v>
      </c>
      <c r="E63" s="170" t="str">
        <f ca="1">ORÇAMENTO.Descricao</f>
        <v>(abra o arquivo 'Referência 04-2026.xlsm)</v>
      </c>
      <c r="F63" s="171" t="str">
        <f ca="1">IF(RegimeExecucao="Global","",ORÇAMENTO.Unidade)</f>
        <v/>
      </c>
      <c r="G63" s="124" t="str">
        <f ca="1">IF(RegimeExecucao="Global","",ORÇAMENTO!T63)</f>
        <v/>
      </c>
      <c r="H63" s="124" t="str">
        <f ca="1">IF(RegimeExecucao="Global","",ORÇAMENTO!W63)</f>
        <v/>
      </c>
      <c r="I63" s="127">
        <f ca="1">ORÇAMENTO!X63</f>
        <v>0</v>
      </c>
      <c r="J63" s="345">
        <f ca="1">IF($A63="S",IF(CAIXA.Modo,BM.AFAnterior,BM.MEDAnterior),IF(AND(RegimeExecucao="Global",$I63&gt;0,COUNTIF($AB$13:$AM$13,BM.medicao-1)&gt;0),M63/$I63*100,0))</f>
        <v>0</v>
      </c>
      <c r="K63" s="124">
        <f ca="1">L63-J63</f>
        <v>0</v>
      </c>
      <c r="L63" s="346">
        <f ca="1">IF($A63="S",IF(CAIXA.Modo,BM.AFAcumulado,BM.MEDAcumulado),IF(AND(RegimeExecucao="Global",$I63&gt;0,COUNTIF($AB$13:$AM$13,BM.medicao)&gt;0),O63/$I63*100,0))</f>
        <v>0</v>
      </c>
      <c r="M63" s="347">
        <f ca="1">IF($A63="S",VTOTALBM,IF($A63=0,0,ROUND(SomaAgrupBM,15-13*ORÇAMENTO!$AF$11)))</f>
        <v>0</v>
      </c>
      <c r="N63" s="348">
        <f ca="1">O63-M63</f>
        <v>0</v>
      </c>
      <c r="O63" s="127">
        <f ca="1">IF($A63="S",VTOTALBM,IF($A63=0,0,ROUND(SomaAgrupBM,15-13*ORÇAMENTO!$AF$11)))</f>
        <v>0</v>
      </c>
      <c r="Q63" s="349"/>
      <c r="R63" s="350"/>
      <c r="T63" s="119" t="str">
        <f ca="1">IF($W63&gt;0,$D63,"")</f>
        <v/>
      </c>
      <c r="U63" s="170" t="str">
        <f ca="1">IF($W63&gt;0,$E63,"")</f>
        <v/>
      </c>
      <c r="V63" s="171" t="str">
        <f ca="1">IF(AND($W63&gt;0,RegimeExecucao="Unitário"),$F63,"")</f>
        <v/>
      </c>
      <c r="W63" s="486">
        <f ca="1">IF($Y63&gt;0,CHOOSE(MATCH(RegimeExecucao,{"Unitário","Global"},0),IF($A63="S",$Y63/$X63,""),($Y63/$X63)*100),0)</f>
        <v>0</v>
      </c>
      <c r="X63" s="351" t="str">
        <f ca="1">IF($Y63&gt;0,CHOOSE(MATCH(RegimeExecucao,{"Unitário","Global"},0),IF($A63="S",ROUND($H63,ORÇAMENTO!$AF$10),""),ROUND($I63,ORÇAMENTO!$AF$11)),"")</f>
        <v/>
      </c>
      <c r="Y63" s="351">
        <f ca="1">AO63-O63</f>
        <v>0</v>
      </c>
      <c r="Z63" s="507"/>
      <c r="AB63" s="349"/>
      <c r="AC63" s="469"/>
      <c r="AD63" s="469"/>
      <c r="AE63" s="469"/>
      <c r="AF63" s="469"/>
      <c r="AG63" s="469"/>
      <c r="AH63" s="469"/>
      <c r="AI63" s="469"/>
      <c r="AJ63" s="469"/>
      <c r="AK63" s="469"/>
      <c r="AL63" s="469"/>
      <c r="AM63" s="350"/>
      <c r="AO63">
        <f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6" t="str">
        <f t="shared" ca="1" si="14"/>
        <v/>
      </c>
      <c r="D64" s="119" t="str">
        <f ca="1">ORÇAMENTO!O64</f>
        <v>-</v>
      </c>
      <c r="E64" s="170" t="str">
        <f t="shared" ca="1" si="15"/>
        <v>(abra o arquivo 'Referência 04-2026.xlsm)</v>
      </c>
      <c r="F64" s="171" t="str">
        <f ca="1">IF(RegimeExecucao="Global","",ORÇAMENTO.Unidade)</f>
        <v/>
      </c>
      <c r="G64" s="124" t="str">
        <f ca="1">IF(RegimeExecucao="Global","",ORÇAMENTO!T64)</f>
        <v/>
      </c>
      <c r="H64" s="124" t="str">
        <f ca="1">IF(RegimeExecucao="Global","",ORÇAMENTO!W64)</f>
        <v/>
      </c>
      <c r="I64" s="127">
        <f ca="1">ORÇAMENTO!X64</f>
        <v>0</v>
      </c>
      <c r="J64" s="345">
        <f ca="1">IF($A64="S",IF(CAIXA.Modo,BM.AFAnterior,BM.MEDAnterior),IF(AND(RegimeExecucao="Global",$I64&gt;0,COUNTIF($AB$13:$AM$13,BM.medicao-1)&gt;0),M64/$I64*100,0))</f>
        <v>0</v>
      </c>
      <c r="K64" s="124">
        <f t="shared" ca="1" si="16"/>
        <v>0</v>
      </c>
      <c r="L64" s="346">
        <f ca="1">IF($A64="S",IF(CAIXA.Modo,BM.AFAcumulado,BM.MEDAcumulado),IF(AND(RegimeExecucao="Global",$I64&gt;0,COUNTIF($AB$13:$AM$13,BM.medicao)&gt;0),O64/$I64*100,0))</f>
        <v>0</v>
      </c>
      <c r="M64" s="347">
        <f ca="1">IF($A64="S",VTOTALBM,IF($A64=0,0,ROUND(SomaAgrupBM,15-13*ORÇAMENTO!$AF$11)))</f>
        <v>0</v>
      </c>
      <c r="N64" s="348">
        <f t="shared" ca="1" si="17"/>
        <v>0</v>
      </c>
      <c r="O64" s="127">
        <f ca="1">IF($A64="S",VTOTALBM,IF($A64=0,0,ROUND(SomaAgrupBM,15-13*ORÇAMENTO!$AF$11)))</f>
        <v>0</v>
      </c>
      <c r="Q64" s="349"/>
      <c r="R64" s="350"/>
      <c r="T64" s="119" t="str">
        <f t="shared" ca="1" si="18"/>
        <v/>
      </c>
      <c r="U64" s="170" t="str">
        <f t="shared" ca="1" si="19"/>
        <v/>
      </c>
      <c r="V64" s="171" t="str">
        <f ca="1">IF(AND($W64&gt;0,RegimeExecucao="Unitário"),$F64,"")</f>
        <v/>
      </c>
      <c r="W64" s="486">
        <f ca="1">IF($Y64&gt;0,CHOOSE(MATCH(RegimeExecucao,{"Unitário","Global"},0),IF($A64="S",$Y64/$X64,""),($Y64/$X64)*100),0)</f>
        <v>0</v>
      </c>
      <c r="X64" s="351" t="str">
        <f ca="1">IF($Y64&gt;0,CHOOSE(MATCH(RegimeExecucao,{"Unitário","Global"},0),IF($A64="S",ROUND($H64,ORÇAMENTO!$AF$10),""),ROUND($I64,ORÇAMENTO!$AF$11)),"")</f>
        <v/>
      </c>
      <c r="Y64" s="351">
        <f t="shared" ca="1" si="20"/>
        <v>0</v>
      </c>
      <c r="Z64" s="507"/>
      <c r="AB64" s="349"/>
      <c r="AC64" s="469"/>
      <c r="AD64" s="469"/>
      <c r="AE64" s="469"/>
      <c r="AF64" s="469"/>
      <c r="AG64" s="469"/>
      <c r="AH64" s="469"/>
      <c r="AI64" s="469"/>
      <c r="AJ64" s="469"/>
      <c r="AK64" s="469"/>
      <c r="AL64" s="469"/>
      <c r="AM64" s="350"/>
      <c r="AO64">
        <f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6" t="str">
        <f t="shared" ca="1" si="14"/>
        <v/>
      </c>
      <c r="D65" s="119" t="str">
        <f ca="1">ORÇAMENTO!O65</f>
        <v>-</v>
      </c>
      <c r="E65" s="170" t="str">
        <f t="shared" ca="1" si="15"/>
        <v>(abra o arquivo 'Referência 04-2026.xlsm)</v>
      </c>
      <c r="F65" s="171" t="str">
        <f ca="1">IF(RegimeExecucao="Global","",ORÇAMENTO.Unidade)</f>
        <v/>
      </c>
      <c r="G65" s="124" t="str">
        <f ca="1">IF(RegimeExecucao="Global","",ORÇAMENTO!T65)</f>
        <v/>
      </c>
      <c r="H65" s="124" t="str">
        <f ca="1">IF(RegimeExecucao="Global","",ORÇAMENTO!W65)</f>
        <v/>
      </c>
      <c r="I65" s="127">
        <f ca="1">ORÇAMENTO!X65</f>
        <v>0</v>
      </c>
      <c r="J65" s="345">
        <f ca="1">IF($A65="S",IF(CAIXA.Modo,BM.AFAnterior,BM.MEDAnterior),IF(AND(RegimeExecucao="Global",$I65&gt;0,COUNTIF($AB$13:$AM$13,BM.medicao-1)&gt;0),M65/$I65*100,0))</f>
        <v>0</v>
      </c>
      <c r="K65" s="124">
        <f t="shared" ca="1" si="16"/>
        <v>0</v>
      </c>
      <c r="L65" s="346">
        <f ca="1">IF($A65="S",IF(CAIXA.Modo,BM.AFAcumulado,BM.MEDAcumulado),IF(AND(RegimeExecucao="Global",$I65&gt;0,COUNTIF($AB$13:$AM$13,BM.medicao)&gt;0),O65/$I65*100,0))</f>
        <v>0</v>
      </c>
      <c r="M65" s="347">
        <f ca="1">IF($A65="S",VTOTALBM,IF($A65=0,0,ROUND(SomaAgrupBM,15-13*ORÇAMENTO!$AF$11)))</f>
        <v>0</v>
      </c>
      <c r="N65" s="348">
        <f t="shared" ca="1" si="17"/>
        <v>0</v>
      </c>
      <c r="O65" s="127">
        <f ca="1">IF($A65="S",VTOTALBM,IF($A65=0,0,ROUND(SomaAgrupBM,15-13*ORÇAMENTO!$AF$11)))</f>
        <v>0</v>
      </c>
      <c r="Q65" s="349"/>
      <c r="R65" s="350"/>
      <c r="T65" s="119" t="str">
        <f t="shared" ca="1" si="18"/>
        <v/>
      </c>
      <c r="U65" s="170" t="str">
        <f t="shared" ca="1" si="19"/>
        <v/>
      </c>
      <c r="V65" s="171" t="str">
        <f ca="1">IF(AND($W65&gt;0,RegimeExecucao="Unitário"),$F65,"")</f>
        <v/>
      </c>
      <c r="W65" s="486">
        <f ca="1">IF($Y65&gt;0,CHOOSE(MATCH(RegimeExecucao,{"Unitário","Global"},0),IF($A65="S",$Y65/$X65,""),($Y65/$X65)*100),0)</f>
        <v>0</v>
      </c>
      <c r="X65" s="351" t="str">
        <f ca="1">IF($Y65&gt;0,CHOOSE(MATCH(RegimeExecucao,{"Unitário","Global"},0),IF($A65="S",ROUND($H65,ORÇAMENTO!$AF$10),""),ROUND($I65,ORÇAMENTO!$AF$11)),"")</f>
        <v/>
      </c>
      <c r="Y65" s="351">
        <f t="shared" ca="1" si="20"/>
        <v>0</v>
      </c>
      <c r="Z65" s="507"/>
      <c r="AB65" s="349"/>
      <c r="AC65" s="469"/>
      <c r="AD65" s="469"/>
      <c r="AE65" s="469"/>
      <c r="AF65" s="469"/>
      <c r="AG65" s="469"/>
      <c r="AH65" s="469"/>
      <c r="AI65" s="469"/>
      <c r="AJ65" s="469"/>
      <c r="AK65" s="469"/>
      <c r="AL65" s="469"/>
      <c r="AM65" s="350"/>
      <c r="AO65">
        <f ca="1">IF($A65="S",IF(BM!$I65=0,0,CHOOSE(MATCH(RegimeExecucao,{"Global","Unitário"},0),ROUND(ROUND(BM.MEDAcumulado,15-13*BM!$A$9)/100*BM!$I65,15-13*ORÇAMENTO!$AF$11),ROUND(ROUND(BM.MEDAcumulado,15-13*BM!$A$9)*ROUND(BM!$H65,15-13*ORÇAMENTO!$AF$10),15-13*ORÇAMENTO!$AF$11))),IF($A65=0,0,ROUND(SomaAgrupBM,15-13*ORÇAMENTO!$AF$11)))</f>
        <v>0</v>
      </c>
    </row>
    <row r="66" spans="1:41" ht="38.25" x14ac:dyDescent="0.2">
      <c r="A66" t="str">
        <f ca="1">ORÇAMENTO!C66</f>
        <v>S</v>
      </c>
      <c r="B66">
        <f ca="1">ORÇAMENTO!D66</f>
        <v>0</v>
      </c>
      <c r="C66" s="116" t="str">
        <f t="shared" ca="1" si="14"/>
        <v/>
      </c>
      <c r="D66" s="119" t="str">
        <f ca="1">ORÇAMENTO!O66</f>
        <v>-</v>
      </c>
      <c r="E66" s="170" t="str">
        <f t="shared" ca="1" si="15"/>
        <v>(abra o arquivo 'Referência 04-2026.xlsm)</v>
      </c>
      <c r="F66" s="171" t="str">
        <f ca="1">IF(RegimeExecucao="Global","",ORÇAMENTO.Unidade)</f>
        <v/>
      </c>
      <c r="G66" s="124" t="str">
        <f ca="1">IF(RegimeExecucao="Global","",ORÇAMENTO!T66)</f>
        <v/>
      </c>
      <c r="H66" s="124" t="str">
        <f ca="1">IF(RegimeExecucao="Global","",ORÇAMENTO!W66)</f>
        <v/>
      </c>
      <c r="I66" s="127">
        <f ca="1">ORÇAMENTO!X66</f>
        <v>0</v>
      </c>
      <c r="J66" s="345">
        <f ca="1">IF($A66="S",IF(CAIXA.Modo,BM.AFAnterior,BM.MEDAnterior),IF(AND(RegimeExecucao="Global",$I66&gt;0,COUNTIF($AB$13:$AM$13,BM.medicao-1)&gt;0),M66/$I66*100,0))</f>
        <v>0</v>
      </c>
      <c r="K66" s="124">
        <f t="shared" ca="1" si="16"/>
        <v>0</v>
      </c>
      <c r="L66" s="346">
        <f ca="1">IF($A66="S",IF(CAIXA.Modo,BM.AFAcumulado,BM.MEDAcumulado),IF(AND(RegimeExecucao="Global",$I66&gt;0,COUNTIF($AB$13:$AM$13,BM.medicao)&gt;0),O66/$I66*100,0))</f>
        <v>0</v>
      </c>
      <c r="M66" s="347">
        <f ca="1">IF($A66="S",VTOTALBM,IF($A66=0,0,ROUND(SomaAgrupBM,15-13*ORÇAMENTO!$AF$11)))</f>
        <v>0</v>
      </c>
      <c r="N66" s="348">
        <f t="shared" ca="1" si="17"/>
        <v>0</v>
      </c>
      <c r="O66" s="127">
        <f ca="1">IF($A66="S",VTOTALBM,IF($A66=0,0,ROUND(SomaAgrupBM,15-13*ORÇAMENTO!$AF$11)))</f>
        <v>0</v>
      </c>
      <c r="Q66" s="349"/>
      <c r="R66" s="350"/>
      <c r="T66" s="119" t="str">
        <f t="shared" ca="1" si="18"/>
        <v/>
      </c>
      <c r="U66" s="170" t="str">
        <f t="shared" ca="1" si="19"/>
        <v/>
      </c>
      <c r="V66" s="171" t="str">
        <f ca="1">IF(AND($W66&gt;0,RegimeExecucao="Unitário"),$F66,"")</f>
        <v/>
      </c>
      <c r="W66" s="486">
        <f ca="1">IF($Y66&gt;0,CHOOSE(MATCH(RegimeExecucao,{"Unitário","Global"},0),IF($A66="S",$Y66/$X66,""),($Y66/$X66)*100),0)</f>
        <v>0</v>
      </c>
      <c r="X66" s="351" t="str">
        <f ca="1">IF($Y66&gt;0,CHOOSE(MATCH(RegimeExecucao,{"Unitário","Global"},0),IF($A66="S",ROUND($H66,ORÇAMENTO!$AF$10),""),ROUND($I66,ORÇAMENTO!$AF$11)),"")</f>
        <v/>
      </c>
      <c r="Y66" s="351">
        <f t="shared" ca="1" si="20"/>
        <v>0</v>
      </c>
      <c r="Z66" s="507"/>
      <c r="AB66" s="349"/>
      <c r="AC66" s="469"/>
      <c r="AD66" s="469"/>
      <c r="AE66" s="469"/>
      <c r="AF66" s="469"/>
      <c r="AG66" s="469"/>
      <c r="AH66" s="469"/>
      <c r="AI66" s="469"/>
      <c r="AJ66" s="469"/>
      <c r="AK66" s="469"/>
      <c r="AL66" s="469"/>
      <c r="AM66" s="350"/>
      <c r="AO66">
        <f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6" t="str">
        <f t="shared" ca="1" si="14"/>
        <v/>
      </c>
      <c r="D67" s="119" t="str">
        <f ca="1">ORÇAMENTO!O67</f>
        <v>-</v>
      </c>
      <c r="E67" s="170" t="str">
        <f t="shared" ca="1" si="15"/>
        <v>(abra o arquivo 'Referência 04-2026.xlsm)</v>
      </c>
      <c r="F67" s="171" t="str">
        <f ca="1">IF(RegimeExecucao="Global","",ORÇAMENTO.Unidade)</f>
        <v/>
      </c>
      <c r="G67" s="124" t="str">
        <f ca="1">IF(RegimeExecucao="Global","",ORÇAMENTO!T67)</f>
        <v/>
      </c>
      <c r="H67" s="124" t="str">
        <f ca="1">IF(RegimeExecucao="Global","",ORÇAMENTO!W67)</f>
        <v/>
      </c>
      <c r="I67" s="127">
        <f ca="1">ORÇAMENTO!X67</f>
        <v>0</v>
      </c>
      <c r="J67" s="345">
        <f ca="1">IF($A67="S",IF(CAIXA.Modo,BM.AFAnterior,BM.MEDAnterior),IF(AND(RegimeExecucao="Global",$I67&gt;0,COUNTIF($AB$13:$AM$13,BM.medicao-1)&gt;0),M67/$I67*100,0))</f>
        <v>0</v>
      </c>
      <c r="K67" s="124">
        <f t="shared" ca="1" si="16"/>
        <v>0</v>
      </c>
      <c r="L67" s="346">
        <f ca="1">IF($A67="S",IF(CAIXA.Modo,BM.AFAcumulado,BM.MEDAcumulado),IF(AND(RegimeExecucao="Global",$I67&gt;0,COUNTIF($AB$13:$AM$13,BM.medicao)&gt;0),O67/$I67*100,0))</f>
        <v>0</v>
      </c>
      <c r="M67" s="347">
        <f ca="1">IF($A67="S",VTOTALBM,IF($A67=0,0,ROUND(SomaAgrupBM,15-13*ORÇAMENTO!$AF$11)))</f>
        <v>0</v>
      </c>
      <c r="N67" s="348">
        <f t="shared" ca="1" si="17"/>
        <v>0</v>
      </c>
      <c r="O67" s="127">
        <f ca="1">IF($A67="S",VTOTALBM,IF($A67=0,0,ROUND(SomaAgrupBM,15-13*ORÇAMENTO!$AF$11)))</f>
        <v>0</v>
      </c>
      <c r="Q67" s="349"/>
      <c r="R67" s="350"/>
      <c r="T67" s="119" t="str">
        <f t="shared" ca="1" si="18"/>
        <v/>
      </c>
      <c r="U67" s="170" t="str">
        <f t="shared" ca="1" si="19"/>
        <v/>
      </c>
      <c r="V67" s="171" t="str">
        <f ca="1">IF(AND($W67&gt;0,RegimeExecucao="Unitário"),$F67,"")</f>
        <v/>
      </c>
      <c r="W67" s="486">
        <f ca="1">IF($Y67&gt;0,CHOOSE(MATCH(RegimeExecucao,{"Unitário","Global"},0),IF($A67="S",$Y67/$X67,""),($Y67/$X67)*100),0)</f>
        <v>0</v>
      </c>
      <c r="X67" s="351" t="str">
        <f ca="1">IF($Y67&gt;0,CHOOSE(MATCH(RegimeExecucao,{"Unitário","Global"},0),IF($A67="S",ROUND($H67,ORÇAMENTO!$AF$10),""),ROUND($I67,ORÇAMENTO!$AF$11)),"")</f>
        <v/>
      </c>
      <c r="Y67" s="351">
        <f t="shared" ca="1" si="20"/>
        <v>0</v>
      </c>
      <c r="Z67" s="507"/>
      <c r="AB67" s="349"/>
      <c r="AC67" s="469"/>
      <c r="AD67" s="469"/>
      <c r="AE67" s="469"/>
      <c r="AF67" s="469"/>
      <c r="AG67" s="469"/>
      <c r="AH67" s="469"/>
      <c r="AI67" s="469"/>
      <c r="AJ67" s="469"/>
      <c r="AK67" s="469"/>
      <c r="AL67" s="469"/>
      <c r="AM67" s="350"/>
      <c r="AO67">
        <f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2</v>
      </c>
      <c r="B68">
        <f ca="1">ORÇAMENTO!D68</f>
        <v>3</v>
      </c>
      <c r="C68" s="116" t="str">
        <f t="shared" ca="1" si="14"/>
        <v>F</v>
      </c>
      <c r="D68" s="119" t="str">
        <f ca="1">ORÇAMENTO!O68</f>
        <v>2.7.</v>
      </c>
      <c r="E68" s="170" t="str">
        <f t="shared" si="15"/>
        <v>ESQUADRIAS</v>
      </c>
      <c r="F68" s="171" t="str">
        <f ca="1">IF(RegimeExecucao="Global","",ORÇAMENTO.Unidade)</f>
        <v/>
      </c>
      <c r="G68" s="124" t="str">
        <f ca="1">IF(RegimeExecucao="Global","",ORÇAMENTO!T68)</f>
        <v/>
      </c>
      <c r="H68" s="124" t="str">
        <f ca="1">IF(RegimeExecucao="Global","",ORÇAMENTO!W68)</f>
        <v/>
      </c>
      <c r="I68" s="127">
        <f ca="1">ORÇAMENTO!X68</f>
        <v>0</v>
      </c>
      <c r="J68" s="345">
        <f ca="1">IF($A68="S",IF(CAIXA.Modo,BM.AFAnterior,BM.MEDAnterior),IF(AND(RegimeExecucao="Global",$I68&gt;0,COUNTIF($AB$13:$AM$13,BM.medicao-1)&gt;0),M68/$I68*100,0))</f>
        <v>0</v>
      </c>
      <c r="K68" s="124">
        <f t="shared" ca="1" si="16"/>
        <v>0</v>
      </c>
      <c r="L68" s="346">
        <f ca="1">IF($A68="S",IF(CAIXA.Modo,BM.AFAcumulado,BM.MEDAcumulado),IF(AND(RegimeExecucao="Global",$I68&gt;0,COUNTIF($AB$13:$AM$13,BM.medicao)&gt;0),O68/$I68*100,0))</f>
        <v>0</v>
      </c>
      <c r="M68" s="347">
        <f ca="1">IF($A68="S",VTOTALBM,IF($A68=0,0,ROUND(SomaAgrupBM,15-13*ORÇAMENTO!$AF$11)))</f>
        <v>0</v>
      </c>
      <c r="N68" s="348">
        <f t="shared" ca="1" si="17"/>
        <v>0</v>
      </c>
      <c r="O68" s="127">
        <f ca="1">IF($A68="S",VTOTALBM,IF($A68=0,0,ROUND(SomaAgrupBM,15-13*ORÇAMENTO!$AF$11)))</f>
        <v>0</v>
      </c>
      <c r="Q68" s="349"/>
      <c r="R68" s="350"/>
      <c r="T68" s="119" t="str">
        <f t="shared" ca="1" si="18"/>
        <v/>
      </c>
      <c r="U68" s="170" t="str">
        <f t="shared" ca="1" si="19"/>
        <v/>
      </c>
      <c r="V68" s="171" t="str">
        <f ca="1">IF(AND($W68&gt;0,RegimeExecucao="Unitário"),$F68,"")</f>
        <v/>
      </c>
      <c r="W68" s="486">
        <f ca="1">IF($Y68&gt;0,CHOOSE(MATCH(RegimeExecucao,{"Unitário","Global"},0),IF($A68="S",$Y68/$X68,""),($Y68/$X68)*100),0)</f>
        <v>0</v>
      </c>
      <c r="X68" s="351" t="str">
        <f ca="1">IF($Y68&gt;0,CHOOSE(MATCH(RegimeExecucao,{"Unitário","Global"},0),IF($A68="S",ROUND($H68,ORÇAMENTO!$AF$10),""),ROUND($I68,ORÇAMENTO!$AF$11)),"")</f>
        <v/>
      </c>
      <c r="Y68" s="351">
        <f t="shared" ca="1" si="20"/>
        <v>0</v>
      </c>
      <c r="Z68" s="507"/>
      <c r="AB68" s="349"/>
      <c r="AC68" s="469"/>
      <c r="AD68" s="469"/>
      <c r="AE68" s="469"/>
      <c r="AF68" s="469"/>
      <c r="AG68" s="469"/>
      <c r="AH68" s="469"/>
      <c r="AI68" s="469"/>
      <c r="AJ68" s="469"/>
      <c r="AK68" s="469"/>
      <c r="AL68" s="469"/>
      <c r="AM68" s="350"/>
      <c r="AO68">
        <f ca="1">IF($A68="S",IF(BM!$I68=0,0,CHOOSE(MATCH(RegimeExecucao,{"Global","Unitário"},0),ROUND(ROUND(BM.MEDAcumulado,15-13*BM!$A$9)/100*BM!$I68,15-13*ORÇAMENTO!$AF$11),ROUND(ROUND(BM.MEDAcumulado,15-13*BM!$A$9)*ROUND(BM!$H68,15-13*ORÇAMENTO!$AF$10),15-13*ORÇAMENTO!$AF$11))),IF($A68=0,0,ROUND(SomaAgrupBM,15-13*ORÇAMENTO!$AF$11)))</f>
        <v>0</v>
      </c>
    </row>
    <row r="69" spans="1:41" ht="38.25" x14ac:dyDescent="0.2">
      <c r="A69" t="str">
        <f ca="1">ORÇAMENTO!C69</f>
        <v>S</v>
      </c>
      <c r="B69">
        <f ca="1">ORÇAMENTO!D69</f>
        <v>0</v>
      </c>
      <c r="C69" s="116" t="str">
        <f t="shared" ca="1" si="14"/>
        <v/>
      </c>
      <c r="D69" s="119" t="str">
        <f ca="1">ORÇAMENTO!O69</f>
        <v>-</v>
      </c>
      <c r="E69" s="170" t="str">
        <f t="shared" ca="1" si="15"/>
        <v>(abra o arquivo 'Referência 04-2026.xlsm)</v>
      </c>
      <c r="F69" s="171" t="str">
        <f ca="1">IF(RegimeExecucao="Global","",ORÇAMENTO.Unidade)</f>
        <v/>
      </c>
      <c r="G69" s="124" t="str">
        <f ca="1">IF(RegimeExecucao="Global","",ORÇAMENTO!T69)</f>
        <v/>
      </c>
      <c r="H69" s="124" t="str">
        <f ca="1">IF(RegimeExecucao="Global","",ORÇAMENTO!W69)</f>
        <v/>
      </c>
      <c r="I69" s="127">
        <f ca="1">ORÇAMENTO!X69</f>
        <v>0</v>
      </c>
      <c r="J69" s="345">
        <f ca="1">IF($A69="S",IF(CAIXA.Modo,BM.AFAnterior,BM.MEDAnterior),IF(AND(RegimeExecucao="Global",$I69&gt;0,COUNTIF($AB$13:$AM$13,BM.medicao-1)&gt;0),M69/$I69*100,0))</f>
        <v>0</v>
      </c>
      <c r="K69" s="124">
        <f t="shared" ca="1" si="16"/>
        <v>0</v>
      </c>
      <c r="L69" s="346">
        <f ca="1">IF($A69="S",IF(CAIXA.Modo,BM.AFAcumulado,BM.MEDAcumulado),IF(AND(RegimeExecucao="Global",$I69&gt;0,COUNTIF($AB$13:$AM$13,BM.medicao)&gt;0),O69/$I69*100,0))</f>
        <v>0</v>
      </c>
      <c r="M69" s="347">
        <f ca="1">IF($A69="S",VTOTALBM,IF($A69=0,0,ROUND(SomaAgrupBM,15-13*ORÇAMENTO!$AF$11)))</f>
        <v>0</v>
      </c>
      <c r="N69" s="348">
        <f t="shared" ca="1" si="17"/>
        <v>0</v>
      </c>
      <c r="O69" s="127">
        <f ca="1">IF($A69="S",VTOTALBM,IF($A69=0,0,ROUND(SomaAgrupBM,15-13*ORÇAMENTO!$AF$11)))</f>
        <v>0</v>
      </c>
      <c r="Q69" s="349"/>
      <c r="R69" s="350"/>
      <c r="T69" s="119" t="str">
        <f t="shared" ca="1" si="18"/>
        <v/>
      </c>
      <c r="U69" s="170" t="str">
        <f t="shared" ca="1" si="19"/>
        <v/>
      </c>
      <c r="V69" s="171" t="str">
        <f ca="1">IF(AND($W69&gt;0,RegimeExecucao="Unitário"),$F69,"")</f>
        <v/>
      </c>
      <c r="W69" s="486">
        <f ca="1">IF($Y69&gt;0,CHOOSE(MATCH(RegimeExecucao,{"Unitário","Global"},0),IF($A69="S",$Y69/$X69,""),($Y69/$X69)*100),0)</f>
        <v>0</v>
      </c>
      <c r="X69" s="351" t="str">
        <f ca="1">IF($Y69&gt;0,CHOOSE(MATCH(RegimeExecucao,{"Unitário","Global"},0),IF($A69="S",ROUND($H69,ORÇAMENTO!$AF$10),""),ROUND($I69,ORÇAMENTO!$AF$11)),"")</f>
        <v/>
      </c>
      <c r="Y69" s="351">
        <f t="shared" ca="1" si="20"/>
        <v>0</v>
      </c>
      <c r="Z69" s="507"/>
      <c r="AB69" s="349"/>
      <c r="AC69" s="469"/>
      <c r="AD69" s="469"/>
      <c r="AE69" s="469"/>
      <c r="AF69" s="469"/>
      <c r="AG69" s="469"/>
      <c r="AH69" s="469"/>
      <c r="AI69" s="469"/>
      <c r="AJ69" s="469"/>
      <c r="AK69" s="469"/>
      <c r="AL69" s="469"/>
      <c r="AM69" s="350"/>
      <c r="AO69">
        <f ca="1">IF($A69="S",IF(BM!$I69=0,0,CHOOSE(MATCH(RegimeExecucao,{"Global","Unitário"},0),ROUND(ROUND(BM.MEDAcumulado,15-13*BM!$A$9)/100*BM!$I69,15-13*ORÇAMENTO!$AF$11),ROUND(ROUND(BM.MEDAcumulado,15-13*BM!$A$9)*ROUND(BM!$H69,15-13*ORÇAMENTO!$AF$10),15-13*ORÇAMENTO!$AF$11))),IF($A69=0,0,ROUND(SomaAgrupBM,15-13*ORÇAMENTO!$AF$11)))</f>
        <v>0</v>
      </c>
    </row>
    <row r="70" spans="1:41" ht="38.25" x14ac:dyDescent="0.2">
      <c r="A70" t="str">
        <f ca="1">ORÇAMENTO!C70</f>
        <v>S</v>
      </c>
      <c r="B70">
        <f ca="1">ORÇAMENTO!D70</f>
        <v>0</v>
      </c>
      <c r="C70" s="116" t="str">
        <f t="shared" ca="1" si="14"/>
        <v/>
      </c>
      <c r="D70" s="119" t="str">
        <f ca="1">ORÇAMENTO!O70</f>
        <v>-</v>
      </c>
      <c r="E70" s="170" t="str">
        <f t="shared" ca="1" si="15"/>
        <v>(abra o arquivo 'Referência 04-2026.xlsm)</v>
      </c>
      <c r="F70" s="171" t="str">
        <f ca="1">IF(RegimeExecucao="Global","",ORÇAMENTO.Unidade)</f>
        <v/>
      </c>
      <c r="G70" s="124" t="str">
        <f ca="1">IF(RegimeExecucao="Global","",ORÇAMENTO!T70)</f>
        <v/>
      </c>
      <c r="H70" s="124" t="str">
        <f ca="1">IF(RegimeExecucao="Global","",ORÇAMENTO!W70)</f>
        <v/>
      </c>
      <c r="I70" s="127">
        <f ca="1">ORÇAMENTO!X70</f>
        <v>0</v>
      </c>
      <c r="J70" s="345">
        <f ca="1">IF($A70="S",IF(CAIXA.Modo,BM.AFAnterior,BM.MEDAnterior),IF(AND(RegimeExecucao="Global",$I70&gt;0,COUNTIF($AB$13:$AM$13,BM.medicao-1)&gt;0),M70/$I70*100,0))</f>
        <v>0</v>
      </c>
      <c r="K70" s="124">
        <f t="shared" ca="1" si="16"/>
        <v>0</v>
      </c>
      <c r="L70" s="346">
        <f ca="1">IF($A70="S",IF(CAIXA.Modo,BM.AFAcumulado,BM.MEDAcumulado),IF(AND(RegimeExecucao="Global",$I70&gt;0,COUNTIF($AB$13:$AM$13,BM.medicao)&gt;0),O70/$I70*100,0))</f>
        <v>0</v>
      </c>
      <c r="M70" s="347">
        <f ca="1">IF($A70="S",VTOTALBM,IF($A70=0,0,ROUND(SomaAgrupBM,15-13*ORÇAMENTO!$AF$11)))</f>
        <v>0</v>
      </c>
      <c r="N70" s="348">
        <f t="shared" ca="1" si="17"/>
        <v>0</v>
      </c>
      <c r="O70" s="127">
        <f ca="1">IF($A70="S",VTOTALBM,IF($A70=0,0,ROUND(SomaAgrupBM,15-13*ORÇAMENTO!$AF$11)))</f>
        <v>0</v>
      </c>
      <c r="Q70" s="349"/>
      <c r="R70" s="350"/>
      <c r="T70" s="119" t="str">
        <f t="shared" ca="1" si="18"/>
        <v/>
      </c>
      <c r="U70" s="170" t="str">
        <f t="shared" ca="1" si="19"/>
        <v/>
      </c>
      <c r="V70" s="171" t="str">
        <f ca="1">IF(AND($W70&gt;0,RegimeExecucao="Unitário"),$F70,"")</f>
        <v/>
      </c>
      <c r="W70" s="486">
        <f ca="1">IF($Y70&gt;0,CHOOSE(MATCH(RegimeExecucao,{"Unitário","Global"},0),IF($A70="S",$Y70/$X70,""),($Y70/$X70)*100),0)</f>
        <v>0</v>
      </c>
      <c r="X70" s="351" t="str">
        <f ca="1">IF($Y70&gt;0,CHOOSE(MATCH(RegimeExecucao,{"Unitário","Global"},0),IF($A70="S",ROUND($H70,ORÇAMENTO!$AF$10),""),ROUND($I70,ORÇAMENTO!$AF$11)),"")</f>
        <v/>
      </c>
      <c r="Y70" s="351">
        <f t="shared" ca="1" si="20"/>
        <v>0</v>
      </c>
      <c r="Z70" s="507"/>
      <c r="AB70" s="349"/>
      <c r="AC70" s="469"/>
      <c r="AD70" s="469"/>
      <c r="AE70" s="469"/>
      <c r="AF70" s="469"/>
      <c r="AG70" s="469"/>
      <c r="AH70" s="469"/>
      <c r="AI70" s="469"/>
      <c r="AJ70" s="469"/>
      <c r="AK70" s="469"/>
      <c r="AL70" s="469"/>
      <c r="AM70" s="350"/>
      <c r="AO70">
        <f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2</v>
      </c>
      <c r="B71">
        <f ca="1">ORÇAMENTO!D71</f>
        <v>18</v>
      </c>
      <c r="C71" s="116" t="str">
        <f t="shared" ca="1" si="14"/>
        <v>F</v>
      </c>
      <c r="D71" s="119" t="str">
        <f ca="1">ORÇAMENTO!O71</f>
        <v>2.8.</v>
      </c>
      <c r="E71" s="170" t="str">
        <f t="shared" si="15"/>
        <v>INSTALAÇÕES ELÉTRICAS</v>
      </c>
      <c r="F71" s="171" t="str">
        <f ca="1">IF(RegimeExecucao="Global","",ORÇAMENTO.Unidade)</f>
        <v/>
      </c>
      <c r="G71" s="124" t="str">
        <f ca="1">IF(RegimeExecucao="Global","",ORÇAMENTO!T71)</f>
        <v/>
      </c>
      <c r="H71" s="124" t="str">
        <f ca="1">IF(RegimeExecucao="Global","",ORÇAMENTO!W71)</f>
        <v/>
      </c>
      <c r="I71" s="127">
        <f ca="1">ORÇAMENTO!X71</f>
        <v>0</v>
      </c>
      <c r="J71" s="345">
        <f ca="1">IF($A71="S",IF(CAIXA.Modo,BM.AFAnterior,BM.MEDAnterior),IF(AND(RegimeExecucao="Global",$I71&gt;0,COUNTIF($AB$13:$AM$13,BM.medicao-1)&gt;0),M71/$I71*100,0))</f>
        <v>0</v>
      </c>
      <c r="K71" s="124">
        <f t="shared" ca="1" si="16"/>
        <v>0</v>
      </c>
      <c r="L71" s="346">
        <f ca="1">IF($A71="S",IF(CAIXA.Modo,BM.AFAcumulado,BM.MEDAcumulado),IF(AND(RegimeExecucao="Global",$I71&gt;0,COUNTIF($AB$13:$AM$13,BM.medicao)&gt;0),O71/$I71*100,0))</f>
        <v>0</v>
      </c>
      <c r="M71" s="347">
        <f ca="1">IF($A71="S",VTOTALBM,IF($A71=0,0,ROUND(SomaAgrupBM,15-13*ORÇAMENTO!$AF$11)))</f>
        <v>0</v>
      </c>
      <c r="N71" s="348">
        <f t="shared" ca="1" si="17"/>
        <v>0</v>
      </c>
      <c r="O71" s="127">
        <f ca="1">IF($A71="S",VTOTALBM,IF($A71=0,0,ROUND(SomaAgrupBM,15-13*ORÇAMENTO!$AF$11)))</f>
        <v>0</v>
      </c>
      <c r="Q71" s="349"/>
      <c r="R71" s="350"/>
      <c r="T71" s="119" t="str">
        <f t="shared" ca="1" si="18"/>
        <v/>
      </c>
      <c r="U71" s="170" t="str">
        <f t="shared" ca="1" si="19"/>
        <v/>
      </c>
      <c r="V71" s="171" t="str">
        <f ca="1">IF(AND($W71&gt;0,RegimeExecucao="Unitário"),$F71,"")</f>
        <v/>
      </c>
      <c r="W71" s="486">
        <f ca="1">IF($Y71&gt;0,CHOOSE(MATCH(RegimeExecucao,{"Unitário","Global"},0),IF($A71="S",$Y71/$X71,""),($Y71/$X71)*100),0)</f>
        <v>0</v>
      </c>
      <c r="X71" s="351" t="str">
        <f ca="1">IF($Y71&gt;0,CHOOSE(MATCH(RegimeExecucao,{"Unitário","Global"},0),IF($A71="S",ROUND($H71,ORÇAMENTO!$AF$10),""),ROUND($I71,ORÇAMENTO!$AF$11)),"")</f>
        <v/>
      </c>
      <c r="Y71" s="351">
        <f t="shared" ca="1" si="20"/>
        <v>0</v>
      </c>
      <c r="Z71" s="507"/>
      <c r="AB71" s="349"/>
      <c r="AC71" s="469"/>
      <c r="AD71" s="469"/>
      <c r="AE71" s="469"/>
      <c r="AF71" s="469"/>
      <c r="AG71" s="469"/>
      <c r="AH71" s="469"/>
      <c r="AI71" s="469"/>
      <c r="AJ71" s="469"/>
      <c r="AK71" s="469"/>
      <c r="AL71" s="469"/>
      <c r="AM71" s="350"/>
      <c r="AO71">
        <f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t="str">
        <f ca="1">ORÇAMENTO!C72</f>
        <v>S</v>
      </c>
      <c r="B72">
        <f ca="1">ORÇAMENTO!D72</f>
        <v>0</v>
      </c>
      <c r="C72" s="116" t="str">
        <f t="shared" ca="1" si="14"/>
        <v/>
      </c>
      <c r="D72" s="119" t="str">
        <f ca="1">ORÇAMENTO!O72</f>
        <v>-</v>
      </c>
      <c r="E72" s="170" t="str">
        <f t="shared" ca="1" si="15"/>
        <v>(abra o arquivo 'Referência 04-2026.xlsm)</v>
      </c>
      <c r="F72" s="171" t="str">
        <f ca="1">IF(RegimeExecucao="Global","",ORÇAMENTO.Unidade)</f>
        <v/>
      </c>
      <c r="G72" s="124" t="str">
        <f ca="1">IF(RegimeExecucao="Global","",ORÇAMENTO!T72)</f>
        <v/>
      </c>
      <c r="H72" s="124" t="str">
        <f ca="1">IF(RegimeExecucao="Global","",ORÇAMENTO!W72)</f>
        <v/>
      </c>
      <c r="I72" s="127">
        <f ca="1">ORÇAMENTO!X72</f>
        <v>0</v>
      </c>
      <c r="J72" s="345">
        <f ca="1">IF($A72="S",IF(CAIXA.Modo,BM.AFAnterior,BM.MEDAnterior),IF(AND(RegimeExecucao="Global",$I72&gt;0,COUNTIF($AB$13:$AM$13,BM.medicao-1)&gt;0),M72/$I72*100,0))</f>
        <v>0</v>
      </c>
      <c r="K72" s="124">
        <f t="shared" ca="1" si="16"/>
        <v>0</v>
      </c>
      <c r="L72" s="346">
        <f ca="1">IF($A72="S",IF(CAIXA.Modo,BM.AFAcumulado,BM.MEDAcumulado),IF(AND(RegimeExecucao="Global",$I72&gt;0,COUNTIF($AB$13:$AM$13,BM.medicao)&gt;0),O72/$I72*100,0))</f>
        <v>0</v>
      </c>
      <c r="M72" s="347">
        <f ca="1">IF($A72="S",VTOTALBM,IF($A72=0,0,ROUND(SomaAgrupBM,15-13*ORÇAMENTO!$AF$11)))</f>
        <v>0</v>
      </c>
      <c r="N72" s="348">
        <f t="shared" ca="1" si="17"/>
        <v>0</v>
      </c>
      <c r="O72" s="127">
        <f ca="1">IF($A72="S",VTOTALBM,IF($A72=0,0,ROUND(SomaAgrupBM,15-13*ORÇAMENTO!$AF$11)))</f>
        <v>0</v>
      </c>
      <c r="Q72" s="349"/>
      <c r="R72" s="350"/>
      <c r="T72" s="119" t="str">
        <f t="shared" ca="1" si="18"/>
        <v/>
      </c>
      <c r="U72" s="170" t="str">
        <f t="shared" ca="1" si="19"/>
        <v/>
      </c>
      <c r="V72" s="171" t="str">
        <f ca="1">IF(AND($W72&gt;0,RegimeExecucao="Unitário"),$F72,"")</f>
        <v/>
      </c>
      <c r="W72" s="486">
        <f ca="1">IF($Y72&gt;0,CHOOSE(MATCH(RegimeExecucao,{"Unitário","Global"},0),IF($A72="S",$Y72/$X72,""),($Y72/$X72)*100),0)</f>
        <v>0</v>
      </c>
      <c r="X72" s="351" t="str">
        <f ca="1">IF($Y72&gt;0,CHOOSE(MATCH(RegimeExecucao,{"Unitário","Global"},0),IF($A72="S",ROUND($H72,ORÇAMENTO!$AF$10),""),ROUND($I72,ORÇAMENTO!$AF$11)),"")</f>
        <v/>
      </c>
      <c r="Y72" s="351">
        <f t="shared" ca="1" si="20"/>
        <v>0</v>
      </c>
      <c r="Z72" s="507"/>
      <c r="AB72" s="349"/>
      <c r="AC72" s="469"/>
      <c r="AD72" s="469"/>
      <c r="AE72" s="469"/>
      <c r="AF72" s="469"/>
      <c r="AG72" s="469"/>
      <c r="AH72" s="469"/>
      <c r="AI72" s="469"/>
      <c r="AJ72" s="469"/>
      <c r="AK72" s="469"/>
      <c r="AL72" s="469"/>
      <c r="AM72" s="350"/>
      <c r="AO72">
        <f ca="1">IF($A72="S",IF(BM!$I72=0,0,CHOOSE(MATCH(RegimeExecucao,{"Global","Unitário"},0),ROUND(ROUND(BM.MEDAcumulado,15-13*BM!$A$9)/100*BM!$I72,15-13*ORÇAMENTO!$AF$11),ROUND(ROUND(BM.MEDAcumulado,15-13*BM!$A$9)*ROUND(BM!$H72,15-13*ORÇAMENTO!$AF$10),15-13*ORÇAMENTO!$AF$11))),IF($A72=0,0,ROUND(SomaAgrupBM,15-13*ORÇAMENTO!$AF$11)))</f>
        <v>0</v>
      </c>
    </row>
    <row r="73" spans="1:41" ht="25.5" x14ac:dyDescent="0.2">
      <c r="A73" t="str">
        <f ca="1">ORÇAMENTO!C73</f>
        <v>S</v>
      </c>
      <c r="B73">
        <f ca="1">ORÇAMENTO!D73</f>
        <v>0</v>
      </c>
      <c r="C73" s="116" t="str">
        <f ca="1">IF(OR($I73&gt;0,$A73=1,$A73=2,$A73=3,$A73=4),"F","")</f>
        <v/>
      </c>
      <c r="D73" s="119" t="str">
        <f ca="1">ORÇAMENTO!O73</f>
        <v>-</v>
      </c>
      <c r="E73" s="170" t="str">
        <f ca="1">ORÇAMENTO.Descricao</f>
        <v>(abra o arquivo 'Referência 04-2026.xlsm)</v>
      </c>
      <c r="F73" s="171" t="str">
        <f ca="1">IF(RegimeExecucao="Global","",ORÇAMENTO.Unidade)</f>
        <v/>
      </c>
      <c r="G73" s="124" t="str">
        <f ca="1">IF(RegimeExecucao="Global","",ORÇAMENTO!T73)</f>
        <v/>
      </c>
      <c r="H73" s="124" t="str">
        <f ca="1">IF(RegimeExecucao="Global","",ORÇAMENTO!W73)</f>
        <v/>
      </c>
      <c r="I73" s="127">
        <f ca="1">ORÇAMENTO!X73</f>
        <v>0</v>
      </c>
      <c r="J73" s="345">
        <f ca="1">IF($A73="S",IF(CAIXA.Modo,BM.AFAnterior,BM.MEDAnterior),IF(AND(RegimeExecucao="Global",$I73&gt;0,COUNTIF($AB$13:$AM$13,BM.medicao-1)&gt;0),M73/$I73*100,0))</f>
        <v>0</v>
      </c>
      <c r="K73" s="124">
        <f ca="1">L73-J73</f>
        <v>0</v>
      </c>
      <c r="L73" s="346">
        <f ca="1">IF($A73="S",IF(CAIXA.Modo,BM.AFAcumulado,BM.MEDAcumulado),IF(AND(RegimeExecucao="Global",$I73&gt;0,COUNTIF($AB$13:$AM$13,BM.medicao)&gt;0),O73/$I73*100,0))</f>
        <v>0</v>
      </c>
      <c r="M73" s="347">
        <f ca="1">IF($A73="S",VTOTALBM,IF($A73=0,0,ROUND(SomaAgrupBM,15-13*ORÇAMENTO!$AF$11)))</f>
        <v>0</v>
      </c>
      <c r="N73" s="348">
        <f ca="1">O73-M73</f>
        <v>0</v>
      </c>
      <c r="O73" s="127">
        <f ca="1">IF($A73="S",VTOTALBM,IF($A73=0,0,ROUND(SomaAgrupBM,15-13*ORÇAMENTO!$AF$11)))</f>
        <v>0</v>
      </c>
      <c r="Q73" s="349"/>
      <c r="R73" s="350"/>
      <c r="T73" s="119" t="str">
        <f ca="1">IF($W73&gt;0,$D73,"")</f>
        <v/>
      </c>
      <c r="U73" s="170" t="str">
        <f ca="1">IF($W73&gt;0,$E73,"")</f>
        <v/>
      </c>
      <c r="V73" s="171" t="str">
        <f ca="1">IF(AND($W73&gt;0,RegimeExecucao="Unitário"),$F73,"")</f>
        <v/>
      </c>
      <c r="W73" s="486">
        <f ca="1">IF($Y73&gt;0,CHOOSE(MATCH(RegimeExecucao,{"Unitário","Global"},0),IF($A73="S",$Y73/$X73,""),($Y73/$X73)*100),0)</f>
        <v>0</v>
      </c>
      <c r="X73" s="351" t="str">
        <f ca="1">IF($Y73&gt;0,CHOOSE(MATCH(RegimeExecucao,{"Unitário","Global"},0),IF($A73="S",ROUND($H73,ORÇAMENTO!$AF$10),""),ROUND($I73,ORÇAMENTO!$AF$11)),"")</f>
        <v/>
      </c>
      <c r="Y73" s="351">
        <f ca="1">AO73-O73</f>
        <v>0</v>
      </c>
      <c r="Z73" s="507"/>
      <c r="AB73" s="349"/>
      <c r="AC73" s="469"/>
      <c r="AD73" s="469"/>
      <c r="AE73" s="469"/>
      <c r="AF73" s="469"/>
      <c r="AG73" s="469"/>
      <c r="AH73" s="469"/>
      <c r="AI73" s="469"/>
      <c r="AJ73" s="469"/>
      <c r="AK73" s="469"/>
      <c r="AL73" s="469"/>
      <c r="AM73" s="350"/>
      <c r="AO73">
        <f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6" t="str">
        <f t="shared" ca="1" si="14"/>
        <v/>
      </c>
      <c r="D74" s="119" t="str">
        <f ca="1">ORÇAMENTO!O74</f>
        <v>-</v>
      </c>
      <c r="E74" s="170" t="str">
        <f t="shared" ca="1" si="15"/>
        <v>(abra o arquivo 'Referência 04-2026.xlsm)</v>
      </c>
      <c r="F74" s="171" t="str">
        <f ca="1">IF(RegimeExecucao="Global","",ORÇAMENTO.Unidade)</f>
        <v/>
      </c>
      <c r="G74" s="124" t="str">
        <f ca="1">IF(RegimeExecucao="Global","",ORÇAMENTO!T74)</f>
        <v/>
      </c>
      <c r="H74" s="124" t="str">
        <f ca="1">IF(RegimeExecucao="Global","",ORÇAMENTO!W74)</f>
        <v/>
      </c>
      <c r="I74" s="127">
        <f ca="1">ORÇAMENTO!X74</f>
        <v>0</v>
      </c>
      <c r="J74" s="345">
        <f ca="1">IF($A74="S",IF(CAIXA.Modo,BM.AFAnterior,BM.MEDAnterior),IF(AND(RegimeExecucao="Global",$I74&gt;0,COUNTIF($AB$13:$AM$13,BM.medicao-1)&gt;0),M74/$I74*100,0))</f>
        <v>0</v>
      </c>
      <c r="K74" s="124">
        <f t="shared" ca="1" si="16"/>
        <v>0</v>
      </c>
      <c r="L74" s="346">
        <f ca="1">IF($A74="S",IF(CAIXA.Modo,BM.AFAcumulado,BM.MEDAcumulado),IF(AND(RegimeExecucao="Global",$I74&gt;0,COUNTIF($AB$13:$AM$13,BM.medicao)&gt;0),O74/$I74*100,0))</f>
        <v>0</v>
      </c>
      <c r="M74" s="347">
        <f ca="1">IF($A74="S",VTOTALBM,IF($A74=0,0,ROUND(SomaAgrupBM,15-13*ORÇAMENTO!$AF$11)))</f>
        <v>0</v>
      </c>
      <c r="N74" s="348">
        <f t="shared" ca="1" si="17"/>
        <v>0</v>
      </c>
      <c r="O74" s="127">
        <f ca="1">IF($A74="S",VTOTALBM,IF($A74=0,0,ROUND(SomaAgrupBM,15-13*ORÇAMENTO!$AF$11)))</f>
        <v>0</v>
      </c>
      <c r="Q74" s="349"/>
      <c r="R74" s="350"/>
      <c r="T74" s="119" t="str">
        <f t="shared" ca="1" si="18"/>
        <v/>
      </c>
      <c r="U74" s="170" t="str">
        <f t="shared" ca="1" si="19"/>
        <v/>
      </c>
      <c r="V74" s="171" t="str">
        <f ca="1">IF(AND($W74&gt;0,RegimeExecucao="Unitário"),$F74,"")</f>
        <v/>
      </c>
      <c r="W74" s="486">
        <f ca="1">IF($Y74&gt;0,CHOOSE(MATCH(RegimeExecucao,{"Unitário","Global"},0),IF($A74="S",$Y74/$X74,""),($Y74/$X74)*100),0)</f>
        <v>0</v>
      </c>
      <c r="X74" s="351" t="str">
        <f ca="1">IF($Y74&gt;0,CHOOSE(MATCH(RegimeExecucao,{"Unitário","Global"},0),IF($A74="S",ROUND($H74,ORÇAMENTO!$AF$10),""),ROUND($I74,ORÇAMENTO!$AF$11)),"")</f>
        <v/>
      </c>
      <c r="Y74" s="351">
        <f t="shared" ca="1" si="20"/>
        <v>0</v>
      </c>
      <c r="Z74" s="507"/>
      <c r="AB74" s="349"/>
      <c r="AC74" s="469"/>
      <c r="AD74" s="469"/>
      <c r="AE74" s="469"/>
      <c r="AF74" s="469"/>
      <c r="AG74" s="469"/>
      <c r="AH74" s="469"/>
      <c r="AI74" s="469"/>
      <c r="AJ74" s="469"/>
      <c r="AK74" s="469"/>
      <c r="AL74" s="469"/>
      <c r="AM74" s="350"/>
      <c r="AO74">
        <f ca="1">IF($A74="S",IF(BM!$I74=0,0,CHOOSE(MATCH(RegimeExecucao,{"Global","Unitário"},0),ROUND(ROUND(BM.MEDAcumulado,15-13*BM!$A$9)/100*BM!$I74,15-13*ORÇAMENTO!$AF$11),ROUND(ROUND(BM.MEDAcumulado,15-13*BM!$A$9)*ROUND(BM!$H74,15-13*ORÇAMENTO!$AF$10),15-13*ORÇAMENTO!$AF$11))),IF($A74=0,0,ROUND(SomaAgrupBM,15-13*ORÇAMENTO!$AF$11)))</f>
        <v>0</v>
      </c>
    </row>
    <row r="75" spans="1:41" ht="38.25" x14ac:dyDescent="0.2">
      <c r="A75" t="str">
        <f ca="1">ORÇAMENTO!C75</f>
        <v>S</v>
      </c>
      <c r="B75">
        <f ca="1">ORÇAMENTO!D75</f>
        <v>0</v>
      </c>
      <c r="C75" s="116" t="str">
        <f t="shared" ca="1" si="14"/>
        <v/>
      </c>
      <c r="D75" s="119" t="str">
        <f ca="1">ORÇAMENTO!O75</f>
        <v>-</v>
      </c>
      <c r="E75" s="170" t="str">
        <f t="shared" ca="1" si="15"/>
        <v>(abra o arquivo 'Referência 04-2026.xlsm)</v>
      </c>
      <c r="F75" s="171" t="str">
        <f ca="1">IF(RegimeExecucao="Global","",ORÇAMENTO.Unidade)</f>
        <v/>
      </c>
      <c r="G75" s="124" t="str">
        <f ca="1">IF(RegimeExecucao="Global","",ORÇAMENTO!T75)</f>
        <v/>
      </c>
      <c r="H75" s="124" t="str">
        <f ca="1">IF(RegimeExecucao="Global","",ORÇAMENTO!W75)</f>
        <v/>
      </c>
      <c r="I75" s="127">
        <f ca="1">ORÇAMENTO!X75</f>
        <v>0</v>
      </c>
      <c r="J75" s="345">
        <f ca="1">IF($A75="S",IF(CAIXA.Modo,BM.AFAnterior,BM.MEDAnterior),IF(AND(RegimeExecucao="Global",$I75&gt;0,COUNTIF($AB$13:$AM$13,BM.medicao-1)&gt;0),M75/$I75*100,0))</f>
        <v>0</v>
      </c>
      <c r="K75" s="124">
        <f t="shared" ca="1" si="16"/>
        <v>0</v>
      </c>
      <c r="L75" s="346">
        <f ca="1">IF($A75="S",IF(CAIXA.Modo,BM.AFAcumulado,BM.MEDAcumulado),IF(AND(RegimeExecucao="Global",$I75&gt;0,COUNTIF($AB$13:$AM$13,BM.medicao)&gt;0),O75/$I75*100,0))</f>
        <v>0</v>
      </c>
      <c r="M75" s="347">
        <f ca="1">IF($A75="S",VTOTALBM,IF($A75=0,0,ROUND(SomaAgrupBM,15-13*ORÇAMENTO!$AF$11)))</f>
        <v>0</v>
      </c>
      <c r="N75" s="348">
        <f t="shared" ca="1" si="17"/>
        <v>0</v>
      </c>
      <c r="O75" s="127">
        <f ca="1">IF($A75="S",VTOTALBM,IF($A75=0,0,ROUND(SomaAgrupBM,15-13*ORÇAMENTO!$AF$11)))</f>
        <v>0</v>
      </c>
      <c r="Q75" s="349"/>
      <c r="R75" s="350"/>
      <c r="T75" s="119" t="str">
        <f t="shared" ca="1" si="18"/>
        <v/>
      </c>
      <c r="U75" s="170" t="str">
        <f t="shared" ca="1" si="19"/>
        <v/>
      </c>
      <c r="V75" s="171" t="str">
        <f ca="1">IF(AND($W75&gt;0,RegimeExecucao="Unitário"),$F75,"")</f>
        <v/>
      </c>
      <c r="W75" s="486">
        <f ca="1">IF($Y75&gt;0,CHOOSE(MATCH(RegimeExecucao,{"Unitário","Global"},0),IF($A75="S",$Y75/$X75,""),($Y75/$X75)*100),0)</f>
        <v>0</v>
      </c>
      <c r="X75" s="351" t="str">
        <f ca="1">IF($Y75&gt;0,CHOOSE(MATCH(RegimeExecucao,{"Unitário","Global"},0),IF($A75="S",ROUND($H75,ORÇAMENTO!$AF$10),""),ROUND($I75,ORÇAMENTO!$AF$11)),"")</f>
        <v/>
      </c>
      <c r="Y75" s="351">
        <f t="shared" ca="1" si="20"/>
        <v>0</v>
      </c>
      <c r="Z75" s="507"/>
      <c r="AB75" s="349"/>
      <c r="AC75" s="469"/>
      <c r="AD75" s="469"/>
      <c r="AE75" s="469"/>
      <c r="AF75" s="469"/>
      <c r="AG75" s="469"/>
      <c r="AH75" s="469"/>
      <c r="AI75" s="469"/>
      <c r="AJ75" s="469"/>
      <c r="AK75" s="469"/>
      <c r="AL75" s="469"/>
      <c r="AM75" s="350"/>
      <c r="AO75">
        <f ca="1">IF($A75="S",IF(BM!$I75=0,0,CHOOSE(MATCH(RegimeExecucao,{"Global","Unitário"},0),ROUND(ROUND(BM.MEDAcumulado,15-13*BM!$A$9)/100*BM!$I75,15-13*ORÇAMENTO!$AF$11),ROUND(ROUND(BM.MEDAcumulado,15-13*BM!$A$9)*ROUND(BM!$H75,15-13*ORÇAMENTO!$AF$10),15-13*ORÇAMENTO!$AF$11))),IF($A75=0,0,ROUND(SomaAgrupBM,15-13*ORÇAMENTO!$AF$11)))</f>
        <v>0</v>
      </c>
    </row>
    <row r="76" spans="1:41" ht="38.25" x14ac:dyDescent="0.2">
      <c r="A76" t="str">
        <f ca="1">ORÇAMENTO!C76</f>
        <v>S</v>
      </c>
      <c r="B76">
        <f ca="1">ORÇAMENTO!D76</f>
        <v>0</v>
      </c>
      <c r="C76" s="116" t="str">
        <f t="shared" ca="1" si="14"/>
        <v/>
      </c>
      <c r="D76" s="119" t="str">
        <f ca="1">ORÇAMENTO!O76</f>
        <v>-</v>
      </c>
      <c r="E76" s="170" t="str">
        <f t="shared" ca="1" si="15"/>
        <v>(abra o arquivo 'Referência 04-2026.xlsm)</v>
      </c>
      <c r="F76" s="171" t="str">
        <f ca="1">IF(RegimeExecucao="Global","",ORÇAMENTO.Unidade)</f>
        <v/>
      </c>
      <c r="G76" s="124" t="str">
        <f ca="1">IF(RegimeExecucao="Global","",ORÇAMENTO!T76)</f>
        <v/>
      </c>
      <c r="H76" s="124" t="str">
        <f ca="1">IF(RegimeExecucao="Global","",ORÇAMENTO!W76)</f>
        <v/>
      </c>
      <c r="I76" s="127">
        <f ca="1">ORÇAMENTO!X76</f>
        <v>0</v>
      </c>
      <c r="J76" s="345">
        <f ca="1">IF($A76="S",IF(CAIXA.Modo,BM.AFAnterior,BM.MEDAnterior),IF(AND(RegimeExecucao="Global",$I76&gt;0,COUNTIF($AB$13:$AM$13,BM.medicao-1)&gt;0),M76/$I76*100,0))</f>
        <v>0</v>
      </c>
      <c r="K76" s="124">
        <f t="shared" ca="1" si="16"/>
        <v>0</v>
      </c>
      <c r="L76" s="346">
        <f ca="1">IF($A76="S",IF(CAIXA.Modo,BM.AFAcumulado,BM.MEDAcumulado),IF(AND(RegimeExecucao="Global",$I76&gt;0,COUNTIF($AB$13:$AM$13,BM.medicao)&gt;0),O76/$I76*100,0))</f>
        <v>0</v>
      </c>
      <c r="M76" s="347">
        <f ca="1">IF($A76="S",VTOTALBM,IF($A76=0,0,ROUND(SomaAgrupBM,15-13*ORÇAMENTO!$AF$11)))</f>
        <v>0</v>
      </c>
      <c r="N76" s="348">
        <f t="shared" ca="1" si="17"/>
        <v>0</v>
      </c>
      <c r="O76" s="127">
        <f ca="1">IF($A76="S",VTOTALBM,IF($A76=0,0,ROUND(SomaAgrupBM,15-13*ORÇAMENTO!$AF$11)))</f>
        <v>0</v>
      </c>
      <c r="Q76" s="349"/>
      <c r="R76" s="350"/>
      <c r="T76" s="119" t="str">
        <f t="shared" ca="1" si="18"/>
        <v/>
      </c>
      <c r="U76" s="170" t="str">
        <f t="shared" ca="1" si="19"/>
        <v/>
      </c>
      <c r="V76" s="171" t="str">
        <f ca="1">IF(AND($W76&gt;0,RegimeExecucao="Unitário"),$F76,"")</f>
        <v/>
      </c>
      <c r="W76" s="486">
        <f ca="1">IF($Y76&gt;0,CHOOSE(MATCH(RegimeExecucao,{"Unitário","Global"},0),IF($A76="S",$Y76/$X76,""),($Y76/$X76)*100),0)</f>
        <v>0</v>
      </c>
      <c r="X76" s="351" t="str">
        <f ca="1">IF($Y76&gt;0,CHOOSE(MATCH(RegimeExecucao,{"Unitário","Global"},0),IF($A76="S",ROUND($H76,ORÇAMENTO!$AF$10),""),ROUND($I76,ORÇAMENTO!$AF$11)),"")</f>
        <v/>
      </c>
      <c r="Y76" s="351">
        <f t="shared" ca="1" si="20"/>
        <v>0</v>
      </c>
      <c r="Z76" s="507"/>
      <c r="AB76" s="349"/>
      <c r="AC76" s="469"/>
      <c r="AD76" s="469"/>
      <c r="AE76" s="469"/>
      <c r="AF76" s="469"/>
      <c r="AG76" s="469"/>
      <c r="AH76" s="469"/>
      <c r="AI76" s="469"/>
      <c r="AJ76" s="469"/>
      <c r="AK76" s="469"/>
      <c r="AL76" s="469"/>
      <c r="AM76" s="350"/>
      <c r="AO76">
        <f ca="1">IF($A76="S",IF(BM!$I76=0,0,CHOOSE(MATCH(RegimeExecucao,{"Global","Unitário"},0),ROUND(ROUND(BM.MEDAcumulado,15-13*BM!$A$9)/100*BM!$I76,15-13*ORÇAMENTO!$AF$11),ROUND(ROUND(BM.MEDAcumulado,15-13*BM!$A$9)*ROUND(BM!$H76,15-13*ORÇAMENTO!$AF$10),15-13*ORÇAMENTO!$AF$11))),IF($A76=0,0,ROUND(SomaAgrupBM,15-13*ORÇAMENTO!$AF$11)))</f>
        <v>0</v>
      </c>
    </row>
    <row r="77" spans="1:41" ht="38.25" x14ac:dyDescent="0.2">
      <c r="A77" t="str">
        <f ca="1">ORÇAMENTO!C77</f>
        <v>S</v>
      </c>
      <c r="B77">
        <f ca="1">ORÇAMENTO!D77</f>
        <v>0</v>
      </c>
      <c r="C77" s="116" t="str">
        <f t="shared" ca="1" si="14"/>
        <v/>
      </c>
      <c r="D77" s="119" t="str">
        <f ca="1">ORÇAMENTO!O77</f>
        <v>-</v>
      </c>
      <c r="E77" s="170" t="str">
        <f t="shared" ca="1" si="15"/>
        <v>(abra o arquivo 'Referência 04-2026.xlsm)</v>
      </c>
      <c r="F77" s="171" t="str">
        <f ca="1">IF(RegimeExecucao="Global","",ORÇAMENTO.Unidade)</f>
        <v/>
      </c>
      <c r="G77" s="124" t="str">
        <f ca="1">IF(RegimeExecucao="Global","",ORÇAMENTO!T77)</f>
        <v/>
      </c>
      <c r="H77" s="124" t="str">
        <f ca="1">IF(RegimeExecucao="Global","",ORÇAMENTO!W77)</f>
        <v/>
      </c>
      <c r="I77" s="127">
        <f ca="1">ORÇAMENTO!X77</f>
        <v>0</v>
      </c>
      <c r="J77" s="345">
        <f ca="1">IF($A77="S",IF(CAIXA.Modo,BM.AFAnterior,BM.MEDAnterior),IF(AND(RegimeExecucao="Global",$I77&gt;0,COUNTIF($AB$13:$AM$13,BM.medicao-1)&gt;0),M77/$I77*100,0))</f>
        <v>0</v>
      </c>
      <c r="K77" s="124">
        <f t="shared" ca="1" si="16"/>
        <v>0</v>
      </c>
      <c r="L77" s="346">
        <f ca="1">IF($A77="S",IF(CAIXA.Modo,BM.AFAcumulado,BM.MEDAcumulado),IF(AND(RegimeExecucao="Global",$I77&gt;0,COUNTIF($AB$13:$AM$13,BM.medicao)&gt;0),O77/$I77*100,0))</f>
        <v>0</v>
      </c>
      <c r="M77" s="347">
        <f ca="1">IF($A77="S",VTOTALBM,IF($A77=0,0,ROUND(SomaAgrupBM,15-13*ORÇAMENTO!$AF$11)))</f>
        <v>0</v>
      </c>
      <c r="N77" s="348">
        <f t="shared" ca="1" si="17"/>
        <v>0</v>
      </c>
      <c r="O77" s="127">
        <f ca="1">IF($A77="S",VTOTALBM,IF($A77=0,0,ROUND(SomaAgrupBM,15-13*ORÇAMENTO!$AF$11)))</f>
        <v>0</v>
      </c>
      <c r="Q77" s="349"/>
      <c r="R77" s="350"/>
      <c r="T77" s="119" t="str">
        <f t="shared" ca="1" si="18"/>
        <v/>
      </c>
      <c r="U77" s="170" t="str">
        <f t="shared" ca="1" si="19"/>
        <v/>
      </c>
      <c r="V77" s="171" t="str">
        <f ca="1">IF(AND($W77&gt;0,RegimeExecucao="Unitário"),$F77,"")</f>
        <v/>
      </c>
      <c r="W77" s="486">
        <f ca="1">IF($Y77&gt;0,CHOOSE(MATCH(RegimeExecucao,{"Unitário","Global"},0),IF($A77="S",$Y77/$X77,""),($Y77/$X77)*100),0)</f>
        <v>0</v>
      </c>
      <c r="X77" s="351" t="str">
        <f ca="1">IF($Y77&gt;0,CHOOSE(MATCH(RegimeExecucao,{"Unitário","Global"},0),IF($A77="S",ROUND($H77,ORÇAMENTO!$AF$10),""),ROUND($I77,ORÇAMENTO!$AF$11)),"")</f>
        <v/>
      </c>
      <c r="Y77" s="351">
        <f t="shared" ca="1" si="20"/>
        <v>0</v>
      </c>
      <c r="Z77" s="507"/>
      <c r="AB77" s="349"/>
      <c r="AC77" s="469"/>
      <c r="AD77" s="469"/>
      <c r="AE77" s="469"/>
      <c r="AF77" s="469"/>
      <c r="AG77" s="469"/>
      <c r="AH77" s="469"/>
      <c r="AI77" s="469"/>
      <c r="AJ77" s="469"/>
      <c r="AK77" s="469"/>
      <c r="AL77" s="469"/>
      <c r="AM77" s="350"/>
      <c r="AO77">
        <f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6" t="str">
        <f t="shared" ca="1" si="14"/>
        <v/>
      </c>
      <c r="D78" s="119" t="str">
        <f ca="1">ORÇAMENTO!O78</f>
        <v>-</v>
      </c>
      <c r="E78" s="170" t="str">
        <f t="shared" ca="1" si="15"/>
        <v>(abra o arquivo 'Referência 04-2026.xlsm)</v>
      </c>
      <c r="F78" s="171" t="str">
        <f ca="1">IF(RegimeExecucao="Global","",ORÇAMENTO.Unidade)</f>
        <v/>
      </c>
      <c r="G78" s="124" t="str">
        <f ca="1">IF(RegimeExecucao="Global","",ORÇAMENTO!T78)</f>
        <v/>
      </c>
      <c r="H78" s="124" t="str">
        <f ca="1">IF(RegimeExecucao="Global","",ORÇAMENTO!W78)</f>
        <v/>
      </c>
      <c r="I78" s="127">
        <f ca="1">ORÇAMENTO!X78</f>
        <v>0</v>
      </c>
      <c r="J78" s="345">
        <f ca="1">IF($A78="S",IF(CAIXA.Modo,BM.AFAnterior,BM.MEDAnterior),IF(AND(RegimeExecucao="Global",$I78&gt;0,COUNTIF($AB$13:$AM$13,BM.medicao-1)&gt;0),M78/$I78*100,0))</f>
        <v>0</v>
      </c>
      <c r="K78" s="124">
        <f t="shared" ca="1" si="16"/>
        <v>0</v>
      </c>
      <c r="L78" s="346">
        <f ca="1">IF($A78="S",IF(CAIXA.Modo,BM.AFAcumulado,BM.MEDAcumulado),IF(AND(RegimeExecucao="Global",$I78&gt;0,COUNTIF($AB$13:$AM$13,BM.medicao)&gt;0),O78/$I78*100,0))</f>
        <v>0</v>
      </c>
      <c r="M78" s="347">
        <f ca="1">IF($A78="S",VTOTALBM,IF($A78=0,0,ROUND(SomaAgrupBM,15-13*ORÇAMENTO!$AF$11)))</f>
        <v>0</v>
      </c>
      <c r="N78" s="348">
        <f t="shared" ca="1" si="17"/>
        <v>0</v>
      </c>
      <c r="O78" s="127">
        <f ca="1">IF($A78="S",VTOTALBM,IF($A78=0,0,ROUND(SomaAgrupBM,15-13*ORÇAMENTO!$AF$11)))</f>
        <v>0</v>
      </c>
      <c r="Q78" s="349"/>
      <c r="R78" s="350"/>
      <c r="T78" s="119" t="str">
        <f t="shared" ca="1" si="18"/>
        <v/>
      </c>
      <c r="U78" s="170" t="str">
        <f t="shared" ca="1" si="19"/>
        <v/>
      </c>
      <c r="V78" s="171" t="str">
        <f ca="1">IF(AND($W78&gt;0,RegimeExecucao="Unitário"),$F78,"")</f>
        <v/>
      </c>
      <c r="W78" s="486">
        <f ca="1">IF($Y78&gt;0,CHOOSE(MATCH(RegimeExecucao,{"Unitário","Global"},0),IF($A78="S",$Y78/$X78,""),($Y78/$X78)*100),0)</f>
        <v>0</v>
      </c>
      <c r="X78" s="351" t="str">
        <f ca="1">IF($Y78&gt;0,CHOOSE(MATCH(RegimeExecucao,{"Unitário","Global"},0),IF($A78="S",ROUND($H78,ORÇAMENTO!$AF$10),""),ROUND($I78,ORÇAMENTO!$AF$11)),"")</f>
        <v/>
      </c>
      <c r="Y78" s="351">
        <f t="shared" ca="1" si="20"/>
        <v>0</v>
      </c>
      <c r="Z78" s="507"/>
      <c r="AB78" s="349"/>
      <c r="AC78" s="469"/>
      <c r="AD78" s="469"/>
      <c r="AE78" s="469"/>
      <c r="AF78" s="469"/>
      <c r="AG78" s="469"/>
      <c r="AH78" s="469"/>
      <c r="AI78" s="469"/>
      <c r="AJ78" s="469"/>
      <c r="AK78" s="469"/>
      <c r="AL78" s="469"/>
      <c r="AM78" s="350"/>
      <c r="AO78">
        <f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6" t="str">
        <f t="shared" ca="1" si="14"/>
        <v/>
      </c>
      <c r="D79" s="119" t="str">
        <f ca="1">ORÇAMENTO!O79</f>
        <v>-</v>
      </c>
      <c r="E79" s="170" t="str">
        <f t="shared" ca="1" si="15"/>
        <v>(abra o arquivo 'Referência 04-2026.xlsm)</v>
      </c>
      <c r="F79" s="171" t="str">
        <f ca="1">IF(RegimeExecucao="Global","",ORÇAMENTO.Unidade)</f>
        <v/>
      </c>
      <c r="G79" s="124" t="str">
        <f ca="1">IF(RegimeExecucao="Global","",ORÇAMENTO!T79)</f>
        <v/>
      </c>
      <c r="H79" s="124" t="str">
        <f ca="1">IF(RegimeExecucao="Global","",ORÇAMENTO!W79)</f>
        <v/>
      </c>
      <c r="I79" s="127">
        <f ca="1">ORÇAMENTO!X79</f>
        <v>0</v>
      </c>
      <c r="J79" s="345">
        <f ca="1">IF($A79="S",IF(CAIXA.Modo,BM.AFAnterior,BM.MEDAnterior),IF(AND(RegimeExecucao="Global",$I79&gt;0,COUNTIF($AB$13:$AM$13,BM.medicao-1)&gt;0),M79/$I79*100,0))</f>
        <v>0</v>
      </c>
      <c r="K79" s="124">
        <f t="shared" ca="1" si="16"/>
        <v>0</v>
      </c>
      <c r="L79" s="346">
        <f ca="1">IF($A79="S",IF(CAIXA.Modo,BM.AFAcumulado,BM.MEDAcumulado),IF(AND(RegimeExecucao="Global",$I79&gt;0,COUNTIF($AB$13:$AM$13,BM.medicao)&gt;0),O79/$I79*100,0))</f>
        <v>0</v>
      </c>
      <c r="M79" s="347">
        <f ca="1">IF($A79="S",VTOTALBM,IF($A79=0,0,ROUND(SomaAgrupBM,15-13*ORÇAMENTO!$AF$11)))</f>
        <v>0</v>
      </c>
      <c r="N79" s="348">
        <f t="shared" ca="1" si="17"/>
        <v>0</v>
      </c>
      <c r="O79" s="127">
        <f ca="1">IF($A79="S",VTOTALBM,IF($A79=0,0,ROUND(SomaAgrupBM,15-13*ORÇAMENTO!$AF$11)))</f>
        <v>0</v>
      </c>
      <c r="Q79" s="349"/>
      <c r="R79" s="350"/>
      <c r="T79" s="119" t="str">
        <f t="shared" ca="1" si="18"/>
        <v/>
      </c>
      <c r="U79" s="170" t="str">
        <f t="shared" ca="1" si="19"/>
        <v/>
      </c>
      <c r="V79" s="171" t="str">
        <f ca="1">IF(AND($W79&gt;0,RegimeExecucao="Unitário"),$F79,"")</f>
        <v/>
      </c>
      <c r="W79" s="486">
        <f ca="1">IF($Y79&gt;0,CHOOSE(MATCH(RegimeExecucao,{"Unitário","Global"},0),IF($A79="S",$Y79/$X79,""),($Y79/$X79)*100),0)</f>
        <v>0</v>
      </c>
      <c r="X79" s="351" t="str">
        <f ca="1">IF($Y79&gt;0,CHOOSE(MATCH(RegimeExecucao,{"Unitário","Global"},0),IF($A79="S",ROUND($H79,ORÇAMENTO!$AF$10),""),ROUND($I79,ORÇAMENTO!$AF$11)),"")</f>
        <v/>
      </c>
      <c r="Y79" s="351">
        <f t="shared" ca="1" si="20"/>
        <v>0</v>
      </c>
      <c r="Z79" s="507"/>
      <c r="AB79" s="349"/>
      <c r="AC79" s="469"/>
      <c r="AD79" s="469"/>
      <c r="AE79" s="469"/>
      <c r="AF79" s="469"/>
      <c r="AG79" s="469"/>
      <c r="AH79" s="469"/>
      <c r="AI79" s="469"/>
      <c r="AJ79" s="469"/>
      <c r="AK79" s="469"/>
      <c r="AL79" s="469"/>
      <c r="AM79" s="350"/>
      <c r="AO79">
        <f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116" t="str">
        <f t="shared" ca="1" si="14"/>
        <v/>
      </c>
      <c r="D80" s="119" t="str">
        <f ca="1">ORÇAMENTO!O80</f>
        <v>-</v>
      </c>
      <c r="E80" s="170" t="str">
        <f t="shared" ca="1" si="15"/>
        <v>(abra o arquivo 'Referência 04-2026.xlsm)</v>
      </c>
      <c r="F80" s="171" t="str">
        <f ca="1">IF(RegimeExecucao="Global","",ORÇAMENTO.Unidade)</f>
        <v/>
      </c>
      <c r="G80" s="124" t="str">
        <f ca="1">IF(RegimeExecucao="Global","",ORÇAMENTO!T80)</f>
        <v/>
      </c>
      <c r="H80" s="124" t="str">
        <f ca="1">IF(RegimeExecucao="Global","",ORÇAMENTO!W80)</f>
        <v/>
      </c>
      <c r="I80" s="127">
        <f ca="1">ORÇAMENTO!X80</f>
        <v>0</v>
      </c>
      <c r="J80" s="345">
        <f ca="1">IF($A80="S",IF(CAIXA.Modo,BM.AFAnterior,BM.MEDAnterior),IF(AND(RegimeExecucao="Global",$I80&gt;0,COUNTIF($AB$13:$AM$13,BM.medicao-1)&gt;0),M80/$I80*100,0))</f>
        <v>0</v>
      </c>
      <c r="K80" s="124">
        <f t="shared" ca="1" si="16"/>
        <v>0</v>
      </c>
      <c r="L80" s="346">
        <f ca="1">IF($A80="S",IF(CAIXA.Modo,BM.AFAcumulado,BM.MEDAcumulado),IF(AND(RegimeExecucao="Global",$I80&gt;0,COUNTIF($AB$13:$AM$13,BM.medicao)&gt;0),O80/$I80*100,0))</f>
        <v>0</v>
      </c>
      <c r="M80" s="347">
        <f ca="1">IF($A80="S",VTOTALBM,IF($A80=0,0,ROUND(SomaAgrupBM,15-13*ORÇAMENTO!$AF$11)))</f>
        <v>0</v>
      </c>
      <c r="N80" s="348">
        <f t="shared" ca="1" si="17"/>
        <v>0</v>
      </c>
      <c r="O80" s="127">
        <f ca="1">IF($A80="S",VTOTALBM,IF($A80=0,0,ROUND(SomaAgrupBM,15-13*ORÇAMENTO!$AF$11)))</f>
        <v>0</v>
      </c>
      <c r="Q80" s="349"/>
      <c r="R80" s="350"/>
      <c r="T80" s="119" t="str">
        <f t="shared" ca="1" si="18"/>
        <v/>
      </c>
      <c r="U80" s="170" t="str">
        <f t="shared" ca="1" si="19"/>
        <v/>
      </c>
      <c r="V80" s="171" t="str">
        <f ca="1">IF(AND($W80&gt;0,RegimeExecucao="Unitário"),$F80,"")</f>
        <v/>
      </c>
      <c r="W80" s="486">
        <f ca="1">IF($Y80&gt;0,CHOOSE(MATCH(RegimeExecucao,{"Unitário","Global"},0),IF($A80="S",$Y80/$X80,""),($Y80/$X80)*100),0)</f>
        <v>0</v>
      </c>
      <c r="X80" s="351" t="str">
        <f ca="1">IF($Y80&gt;0,CHOOSE(MATCH(RegimeExecucao,{"Unitário","Global"},0),IF($A80="S",ROUND($H80,ORÇAMENTO!$AF$10),""),ROUND($I80,ORÇAMENTO!$AF$11)),"")</f>
        <v/>
      </c>
      <c r="Y80" s="351">
        <f t="shared" ca="1" si="20"/>
        <v>0</v>
      </c>
      <c r="Z80" s="507"/>
      <c r="AB80" s="349"/>
      <c r="AC80" s="469"/>
      <c r="AD80" s="469"/>
      <c r="AE80" s="469"/>
      <c r="AF80" s="469"/>
      <c r="AG80" s="469"/>
      <c r="AH80" s="469"/>
      <c r="AI80" s="469"/>
      <c r="AJ80" s="469"/>
      <c r="AK80" s="469"/>
      <c r="AL80" s="469"/>
      <c r="AM80" s="350"/>
      <c r="AO80">
        <f ca="1">IF($A80="S",IF(BM!$I80=0,0,CHOOSE(MATCH(RegimeExecucao,{"Global","Unitário"},0),ROUND(ROUND(BM.MEDAcumulado,15-13*BM!$A$9)/100*BM!$I80,15-13*ORÇAMENTO!$AF$11),ROUND(ROUND(BM.MEDAcumulado,15-13*BM!$A$9)*ROUND(BM!$H80,15-13*ORÇAMENTO!$AF$10),15-13*ORÇAMENTO!$AF$11))),IF($A80=0,0,ROUND(SomaAgrupBM,15-13*ORÇAMENTO!$AF$11)))</f>
        <v>0</v>
      </c>
    </row>
    <row r="81" spans="1:41" ht="25.5" x14ac:dyDescent="0.2">
      <c r="A81" t="str">
        <f ca="1">ORÇAMENTO!C81</f>
        <v>S</v>
      </c>
      <c r="B81">
        <f ca="1">ORÇAMENTO!D81</f>
        <v>0</v>
      </c>
      <c r="C81" s="116" t="str">
        <f t="shared" ca="1" si="14"/>
        <v/>
      </c>
      <c r="D81" s="119" t="str">
        <f ca="1">ORÇAMENTO!O81</f>
        <v>-</v>
      </c>
      <c r="E81" s="170" t="str">
        <f t="shared" ca="1" si="15"/>
        <v>(abra o arquivo 'Referência 04-2026.xlsm)</v>
      </c>
      <c r="F81" s="171" t="str">
        <f ca="1">IF(RegimeExecucao="Global","",ORÇAMENTO.Unidade)</f>
        <v/>
      </c>
      <c r="G81" s="124" t="str">
        <f ca="1">IF(RegimeExecucao="Global","",ORÇAMENTO!T81)</f>
        <v/>
      </c>
      <c r="H81" s="124" t="str">
        <f ca="1">IF(RegimeExecucao="Global","",ORÇAMENTO!W81)</f>
        <v/>
      </c>
      <c r="I81" s="127">
        <f ca="1">ORÇAMENTO!X81</f>
        <v>0</v>
      </c>
      <c r="J81" s="345">
        <f ca="1">IF($A81="S",IF(CAIXA.Modo,BM.AFAnterior,BM.MEDAnterior),IF(AND(RegimeExecucao="Global",$I81&gt;0,COUNTIF($AB$13:$AM$13,BM.medicao-1)&gt;0),M81/$I81*100,0))</f>
        <v>0</v>
      </c>
      <c r="K81" s="124">
        <f t="shared" ca="1" si="16"/>
        <v>0</v>
      </c>
      <c r="L81" s="346">
        <f ca="1">IF($A81="S",IF(CAIXA.Modo,BM.AFAcumulado,BM.MEDAcumulado),IF(AND(RegimeExecucao="Global",$I81&gt;0,COUNTIF($AB$13:$AM$13,BM.medicao)&gt;0),O81/$I81*100,0))</f>
        <v>0</v>
      </c>
      <c r="M81" s="347">
        <f ca="1">IF($A81="S",VTOTALBM,IF($A81=0,0,ROUND(SomaAgrupBM,15-13*ORÇAMENTO!$AF$11)))</f>
        <v>0</v>
      </c>
      <c r="N81" s="348">
        <f t="shared" ca="1" si="17"/>
        <v>0</v>
      </c>
      <c r="O81" s="127">
        <f ca="1">IF($A81="S",VTOTALBM,IF($A81=0,0,ROUND(SomaAgrupBM,15-13*ORÇAMENTO!$AF$11)))</f>
        <v>0</v>
      </c>
      <c r="Q81" s="349"/>
      <c r="R81" s="350"/>
      <c r="T81" s="119" t="str">
        <f t="shared" ca="1" si="18"/>
        <v/>
      </c>
      <c r="U81" s="170" t="str">
        <f t="shared" ca="1" si="19"/>
        <v/>
      </c>
      <c r="V81" s="171" t="str">
        <f ca="1">IF(AND($W81&gt;0,RegimeExecucao="Unitário"),$F81,"")</f>
        <v/>
      </c>
      <c r="W81" s="486">
        <f ca="1">IF($Y81&gt;0,CHOOSE(MATCH(RegimeExecucao,{"Unitário","Global"},0),IF($A81="S",$Y81/$X81,""),($Y81/$X81)*100),0)</f>
        <v>0</v>
      </c>
      <c r="X81" s="351" t="str">
        <f ca="1">IF($Y81&gt;0,CHOOSE(MATCH(RegimeExecucao,{"Unitário","Global"},0),IF($A81="S",ROUND($H81,ORÇAMENTO!$AF$10),""),ROUND($I81,ORÇAMENTO!$AF$11)),"")</f>
        <v/>
      </c>
      <c r="Y81" s="351">
        <f t="shared" ca="1" si="20"/>
        <v>0</v>
      </c>
      <c r="Z81" s="507"/>
      <c r="AB81" s="349"/>
      <c r="AC81" s="469"/>
      <c r="AD81" s="469"/>
      <c r="AE81" s="469"/>
      <c r="AF81" s="469"/>
      <c r="AG81" s="469"/>
      <c r="AH81" s="469"/>
      <c r="AI81" s="469"/>
      <c r="AJ81" s="469"/>
      <c r="AK81" s="469"/>
      <c r="AL81" s="469"/>
      <c r="AM81" s="350"/>
      <c r="AO81">
        <f ca="1">IF($A81="S",IF(BM!$I81=0,0,CHOOSE(MATCH(RegimeExecucao,{"Global","Unitário"},0),ROUND(ROUND(BM.MEDAcumulado,15-13*BM!$A$9)/100*BM!$I81,15-13*ORÇAMENTO!$AF$11),ROUND(ROUND(BM.MEDAcumulado,15-13*BM!$A$9)*ROUND(BM!$H81,15-13*ORÇAMENTO!$AF$10),15-13*ORÇAMENTO!$AF$11))),IF($A81=0,0,ROUND(SomaAgrupBM,15-13*ORÇAMENTO!$AF$11)))</f>
        <v>0</v>
      </c>
    </row>
    <row r="82" spans="1:41" ht="25.5" x14ac:dyDescent="0.2">
      <c r="A82" t="str">
        <f ca="1">ORÇAMENTO!C82</f>
        <v>S</v>
      </c>
      <c r="B82">
        <f ca="1">ORÇAMENTO!D82</f>
        <v>0</v>
      </c>
      <c r="C82" s="116" t="str">
        <f t="shared" ca="1" si="14"/>
        <v/>
      </c>
      <c r="D82" s="119" t="str">
        <f ca="1">ORÇAMENTO!O82</f>
        <v>-</v>
      </c>
      <c r="E82" s="170" t="str">
        <f t="shared" ca="1" si="15"/>
        <v>(abra o arquivo 'Referência 04-2026.xlsm)</v>
      </c>
      <c r="F82" s="171" t="str">
        <f ca="1">IF(RegimeExecucao="Global","",ORÇAMENTO.Unidade)</f>
        <v/>
      </c>
      <c r="G82" s="124" t="str">
        <f ca="1">IF(RegimeExecucao="Global","",ORÇAMENTO!T82)</f>
        <v/>
      </c>
      <c r="H82" s="124" t="str">
        <f ca="1">IF(RegimeExecucao="Global","",ORÇAMENTO!W82)</f>
        <v/>
      </c>
      <c r="I82" s="127">
        <f ca="1">ORÇAMENTO!X82</f>
        <v>0</v>
      </c>
      <c r="J82" s="345">
        <f ca="1">IF($A82="S",IF(CAIXA.Modo,BM.AFAnterior,BM.MEDAnterior),IF(AND(RegimeExecucao="Global",$I82&gt;0,COUNTIF($AB$13:$AM$13,BM.medicao-1)&gt;0),M82/$I82*100,0))</f>
        <v>0</v>
      </c>
      <c r="K82" s="124">
        <f t="shared" ca="1" si="16"/>
        <v>0</v>
      </c>
      <c r="L82" s="346">
        <f ca="1">IF($A82="S",IF(CAIXA.Modo,BM.AFAcumulado,BM.MEDAcumulado),IF(AND(RegimeExecucao="Global",$I82&gt;0,COUNTIF($AB$13:$AM$13,BM.medicao)&gt;0),O82/$I82*100,0))</f>
        <v>0</v>
      </c>
      <c r="M82" s="347">
        <f ca="1">IF($A82="S",VTOTALBM,IF($A82=0,0,ROUND(SomaAgrupBM,15-13*ORÇAMENTO!$AF$11)))</f>
        <v>0</v>
      </c>
      <c r="N82" s="348">
        <f t="shared" ca="1" si="17"/>
        <v>0</v>
      </c>
      <c r="O82" s="127">
        <f ca="1">IF($A82="S",VTOTALBM,IF($A82=0,0,ROUND(SomaAgrupBM,15-13*ORÇAMENTO!$AF$11)))</f>
        <v>0</v>
      </c>
      <c r="Q82" s="349"/>
      <c r="R82" s="350"/>
      <c r="T82" s="119" t="str">
        <f t="shared" ca="1" si="18"/>
        <v/>
      </c>
      <c r="U82" s="170" t="str">
        <f t="shared" ca="1" si="19"/>
        <v/>
      </c>
      <c r="V82" s="171" t="str">
        <f ca="1">IF(AND($W82&gt;0,RegimeExecucao="Unitário"),$F82,"")</f>
        <v/>
      </c>
      <c r="W82" s="486">
        <f ca="1">IF($Y82&gt;0,CHOOSE(MATCH(RegimeExecucao,{"Unitário","Global"},0),IF($A82="S",$Y82/$X82,""),($Y82/$X82)*100),0)</f>
        <v>0</v>
      </c>
      <c r="X82" s="351" t="str">
        <f ca="1">IF($Y82&gt;0,CHOOSE(MATCH(RegimeExecucao,{"Unitário","Global"},0),IF($A82="S",ROUND($H82,ORÇAMENTO!$AF$10),""),ROUND($I82,ORÇAMENTO!$AF$11)),"")</f>
        <v/>
      </c>
      <c r="Y82" s="351">
        <f t="shared" ca="1" si="20"/>
        <v>0</v>
      </c>
      <c r="Z82" s="507"/>
      <c r="AB82" s="349"/>
      <c r="AC82" s="469"/>
      <c r="AD82" s="469"/>
      <c r="AE82" s="469"/>
      <c r="AF82" s="469"/>
      <c r="AG82" s="469"/>
      <c r="AH82" s="469"/>
      <c r="AI82" s="469"/>
      <c r="AJ82" s="469"/>
      <c r="AK82" s="469"/>
      <c r="AL82" s="469"/>
      <c r="AM82" s="350"/>
      <c r="AO82">
        <f ca="1">IF($A82="S",IF(BM!$I82=0,0,CHOOSE(MATCH(RegimeExecucao,{"Global","Unitário"},0),ROUND(ROUND(BM.MEDAcumulado,15-13*BM!$A$9)/100*BM!$I82,15-13*ORÇAMENTO!$AF$11),ROUND(ROUND(BM.MEDAcumulado,15-13*BM!$A$9)*ROUND(BM!$H82,15-13*ORÇAMENTO!$AF$10),15-13*ORÇAMENTO!$AF$11))),IF($A82=0,0,ROUND(SomaAgrupBM,15-13*ORÇAMENTO!$AF$11)))</f>
        <v>0</v>
      </c>
    </row>
    <row r="83" spans="1:41" ht="25.5" x14ac:dyDescent="0.2">
      <c r="A83" t="str">
        <f ca="1">ORÇAMENTO!C83</f>
        <v>S</v>
      </c>
      <c r="B83">
        <f ca="1">ORÇAMENTO!D83</f>
        <v>0</v>
      </c>
      <c r="C83" s="116" t="str">
        <f t="shared" ca="1" si="14"/>
        <v/>
      </c>
      <c r="D83" s="119" t="str">
        <f ca="1">ORÇAMENTO!O83</f>
        <v>-</v>
      </c>
      <c r="E83" s="170" t="str">
        <f t="shared" ca="1" si="15"/>
        <v>(abra o arquivo 'Referência 04-2026.xlsm)</v>
      </c>
      <c r="F83" s="171" t="str">
        <f ca="1">IF(RegimeExecucao="Global","",ORÇAMENTO.Unidade)</f>
        <v/>
      </c>
      <c r="G83" s="124" t="str">
        <f ca="1">IF(RegimeExecucao="Global","",ORÇAMENTO!T83)</f>
        <v/>
      </c>
      <c r="H83" s="124" t="str">
        <f ca="1">IF(RegimeExecucao="Global","",ORÇAMENTO!W83)</f>
        <v/>
      </c>
      <c r="I83" s="127">
        <f ca="1">ORÇAMENTO!X83</f>
        <v>0</v>
      </c>
      <c r="J83" s="345">
        <f ca="1">IF($A83="S",IF(CAIXA.Modo,BM.AFAnterior,BM.MEDAnterior),IF(AND(RegimeExecucao="Global",$I83&gt;0,COUNTIF($AB$13:$AM$13,BM.medicao-1)&gt;0),M83/$I83*100,0))</f>
        <v>0</v>
      </c>
      <c r="K83" s="124">
        <f t="shared" ca="1" si="16"/>
        <v>0</v>
      </c>
      <c r="L83" s="346">
        <f ca="1">IF($A83="S",IF(CAIXA.Modo,BM.AFAcumulado,BM.MEDAcumulado),IF(AND(RegimeExecucao="Global",$I83&gt;0,COUNTIF($AB$13:$AM$13,BM.medicao)&gt;0),O83/$I83*100,0))</f>
        <v>0</v>
      </c>
      <c r="M83" s="347">
        <f ca="1">IF($A83="S",VTOTALBM,IF($A83=0,0,ROUND(SomaAgrupBM,15-13*ORÇAMENTO!$AF$11)))</f>
        <v>0</v>
      </c>
      <c r="N83" s="348">
        <f t="shared" ca="1" si="17"/>
        <v>0</v>
      </c>
      <c r="O83" s="127">
        <f ca="1">IF($A83="S",VTOTALBM,IF($A83=0,0,ROUND(SomaAgrupBM,15-13*ORÇAMENTO!$AF$11)))</f>
        <v>0</v>
      </c>
      <c r="Q83" s="349"/>
      <c r="R83" s="350"/>
      <c r="T83" s="119" t="str">
        <f t="shared" ca="1" si="18"/>
        <v/>
      </c>
      <c r="U83" s="170" t="str">
        <f t="shared" ca="1" si="19"/>
        <v/>
      </c>
      <c r="V83" s="171" t="str">
        <f ca="1">IF(AND($W83&gt;0,RegimeExecucao="Unitário"),$F83,"")</f>
        <v/>
      </c>
      <c r="W83" s="486">
        <f ca="1">IF($Y83&gt;0,CHOOSE(MATCH(RegimeExecucao,{"Unitário","Global"},0),IF($A83="S",$Y83/$X83,""),($Y83/$X83)*100),0)</f>
        <v>0</v>
      </c>
      <c r="X83" s="351" t="str">
        <f ca="1">IF($Y83&gt;0,CHOOSE(MATCH(RegimeExecucao,{"Unitário","Global"},0),IF($A83="S",ROUND($H83,ORÇAMENTO!$AF$10),""),ROUND($I83,ORÇAMENTO!$AF$11)),"")</f>
        <v/>
      </c>
      <c r="Y83" s="351">
        <f t="shared" ca="1" si="20"/>
        <v>0</v>
      </c>
      <c r="Z83" s="507"/>
      <c r="AB83" s="349"/>
      <c r="AC83" s="469"/>
      <c r="AD83" s="469"/>
      <c r="AE83" s="469"/>
      <c r="AF83" s="469"/>
      <c r="AG83" s="469"/>
      <c r="AH83" s="469"/>
      <c r="AI83" s="469"/>
      <c r="AJ83" s="469"/>
      <c r="AK83" s="469"/>
      <c r="AL83" s="469"/>
      <c r="AM83" s="350"/>
      <c r="AO83">
        <f ca="1">IF($A83="S",IF(BM!$I83=0,0,CHOOSE(MATCH(RegimeExecucao,{"Global","Unitário"},0),ROUND(ROUND(BM.MEDAcumulado,15-13*BM!$A$9)/100*BM!$I83,15-13*ORÇAMENTO!$AF$11),ROUND(ROUND(BM.MEDAcumulado,15-13*BM!$A$9)*ROUND(BM!$H83,15-13*ORÇAMENTO!$AF$10),15-13*ORÇAMENTO!$AF$11))),IF($A83=0,0,ROUND(SomaAgrupBM,15-13*ORÇAMENTO!$AF$11)))</f>
        <v>0</v>
      </c>
    </row>
    <row r="84" spans="1:41" ht="25.5" x14ac:dyDescent="0.2">
      <c r="A84" t="str">
        <f ca="1">ORÇAMENTO!C84</f>
        <v>S</v>
      </c>
      <c r="B84">
        <f ca="1">ORÇAMENTO!D84</f>
        <v>0</v>
      </c>
      <c r="C84" s="116" t="str">
        <f t="shared" ca="1" si="14"/>
        <v/>
      </c>
      <c r="D84" s="119" t="str">
        <f ca="1">ORÇAMENTO!O84</f>
        <v>-</v>
      </c>
      <c r="E84" s="170" t="str">
        <f t="shared" ca="1" si="15"/>
        <v>(abra o arquivo 'Referência 04-2026.xlsm)</v>
      </c>
      <c r="F84" s="171" t="str">
        <f ca="1">IF(RegimeExecucao="Global","",ORÇAMENTO.Unidade)</f>
        <v/>
      </c>
      <c r="G84" s="124" t="str">
        <f ca="1">IF(RegimeExecucao="Global","",ORÇAMENTO!T84)</f>
        <v/>
      </c>
      <c r="H84" s="124" t="str">
        <f ca="1">IF(RegimeExecucao="Global","",ORÇAMENTO!W84)</f>
        <v/>
      </c>
      <c r="I84" s="127">
        <f ca="1">ORÇAMENTO!X84</f>
        <v>0</v>
      </c>
      <c r="J84" s="345">
        <f ca="1">IF($A84="S",IF(CAIXA.Modo,BM.AFAnterior,BM.MEDAnterior),IF(AND(RegimeExecucao="Global",$I84&gt;0,COUNTIF($AB$13:$AM$13,BM.medicao-1)&gt;0),M84/$I84*100,0))</f>
        <v>0</v>
      </c>
      <c r="K84" s="124">
        <f t="shared" ca="1" si="16"/>
        <v>0</v>
      </c>
      <c r="L84" s="346">
        <f ca="1">IF($A84="S",IF(CAIXA.Modo,BM.AFAcumulado,BM.MEDAcumulado),IF(AND(RegimeExecucao="Global",$I84&gt;0,COUNTIF($AB$13:$AM$13,BM.medicao)&gt;0),O84/$I84*100,0))</f>
        <v>0</v>
      </c>
      <c r="M84" s="347">
        <f ca="1">IF($A84="S",VTOTALBM,IF($A84=0,0,ROUND(SomaAgrupBM,15-13*ORÇAMENTO!$AF$11)))</f>
        <v>0</v>
      </c>
      <c r="N84" s="348">
        <f t="shared" ca="1" si="17"/>
        <v>0</v>
      </c>
      <c r="O84" s="127">
        <f ca="1">IF($A84="S",VTOTALBM,IF($A84=0,0,ROUND(SomaAgrupBM,15-13*ORÇAMENTO!$AF$11)))</f>
        <v>0</v>
      </c>
      <c r="Q84" s="349"/>
      <c r="R84" s="350"/>
      <c r="T84" s="119" t="str">
        <f t="shared" ca="1" si="18"/>
        <v/>
      </c>
      <c r="U84" s="170" t="str">
        <f t="shared" ca="1" si="19"/>
        <v/>
      </c>
      <c r="V84" s="171" t="str">
        <f ca="1">IF(AND($W84&gt;0,RegimeExecucao="Unitário"),$F84,"")</f>
        <v/>
      </c>
      <c r="W84" s="486">
        <f ca="1">IF($Y84&gt;0,CHOOSE(MATCH(RegimeExecucao,{"Unitário","Global"},0),IF($A84="S",$Y84/$X84,""),($Y84/$X84)*100),0)</f>
        <v>0</v>
      </c>
      <c r="X84" s="351" t="str">
        <f ca="1">IF($Y84&gt;0,CHOOSE(MATCH(RegimeExecucao,{"Unitário","Global"},0),IF($A84="S",ROUND($H84,ORÇAMENTO!$AF$10),""),ROUND($I84,ORÇAMENTO!$AF$11)),"")</f>
        <v/>
      </c>
      <c r="Y84" s="351">
        <f t="shared" ca="1" si="20"/>
        <v>0</v>
      </c>
      <c r="Z84" s="507"/>
      <c r="AB84" s="349"/>
      <c r="AC84" s="469"/>
      <c r="AD84" s="469"/>
      <c r="AE84" s="469"/>
      <c r="AF84" s="469"/>
      <c r="AG84" s="469"/>
      <c r="AH84" s="469"/>
      <c r="AI84" s="469"/>
      <c r="AJ84" s="469"/>
      <c r="AK84" s="469"/>
      <c r="AL84" s="469"/>
      <c r="AM84" s="350"/>
      <c r="AO84">
        <f ca="1">IF($A84="S",IF(BM!$I84=0,0,CHOOSE(MATCH(RegimeExecucao,{"Global","Unitário"},0),ROUND(ROUND(BM.MEDAcumulado,15-13*BM!$A$9)/100*BM!$I84,15-13*ORÇAMENTO!$AF$11),ROUND(ROUND(BM.MEDAcumulado,15-13*BM!$A$9)*ROUND(BM!$H84,15-13*ORÇAMENTO!$AF$10),15-13*ORÇAMENTO!$AF$11))),IF($A84=0,0,ROUND(SomaAgrupBM,15-13*ORÇAMENTO!$AF$11)))</f>
        <v>0</v>
      </c>
    </row>
    <row r="85" spans="1:41" ht="25.5" x14ac:dyDescent="0.2">
      <c r="A85" t="str">
        <f ca="1">ORÇAMENTO!C85</f>
        <v>S</v>
      </c>
      <c r="B85">
        <f ca="1">ORÇAMENTO!D85</f>
        <v>0</v>
      </c>
      <c r="C85" s="116" t="str">
        <f t="shared" ca="1" si="14"/>
        <v/>
      </c>
      <c r="D85" s="119" t="str">
        <f ca="1">ORÇAMENTO!O85</f>
        <v>-</v>
      </c>
      <c r="E85" s="170" t="str">
        <f t="shared" ca="1" si="15"/>
        <v>(abra o arquivo 'Referência 04-2026.xlsm)</v>
      </c>
      <c r="F85" s="171" t="str">
        <f ca="1">IF(RegimeExecucao="Global","",ORÇAMENTO.Unidade)</f>
        <v/>
      </c>
      <c r="G85" s="124" t="str">
        <f ca="1">IF(RegimeExecucao="Global","",ORÇAMENTO!T85)</f>
        <v/>
      </c>
      <c r="H85" s="124" t="str">
        <f ca="1">IF(RegimeExecucao="Global","",ORÇAMENTO!W85)</f>
        <v/>
      </c>
      <c r="I85" s="127">
        <f ca="1">ORÇAMENTO!X85</f>
        <v>0</v>
      </c>
      <c r="J85" s="345">
        <f ca="1">IF($A85="S",IF(CAIXA.Modo,BM.AFAnterior,BM.MEDAnterior),IF(AND(RegimeExecucao="Global",$I85&gt;0,COUNTIF($AB$13:$AM$13,BM.medicao-1)&gt;0),M85/$I85*100,0))</f>
        <v>0</v>
      </c>
      <c r="K85" s="124">
        <f t="shared" ca="1" si="16"/>
        <v>0</v>
      </c>
      <c r="L85" s="346">
        <f ca="1">IF($A85="S",IF(CAIXA.Modo,BM.AFAcumulado,BM.MEDAcumulado),IF(AND(RegimeExecucao="Global",$I85&gt;0,COUNTIF($AB$13:$AM$13,BM.medicao)&gt;0),O85/$I85*100,0))</f>
        <v>0</v>
      </c>
      <c r="M85" s="347">
        <f ca="1">IF($A85="S",VTOTALBM,IF($A85=0,0,ROUND(SomaAgrupBM,15-13*ORÇAMENTO!$AF$11)))</f>
        <v>0</v>
      </c>
      <c r="N85" s="348">
        <f t="shared" ca="1" si="17"/>
        <v>0</v>
      </c>
      <c r="O85" s="127">
        <f ca="1">IF($A85="S",VTOTALBM,IF($A85=0,0,ROUND(SomaAgrupBM,15-13*ORÇAMENTO!$AF$11)))</f>
        <v>0</v>
      </c>
      <c r="Q85" s="349"/>
      <c r="R85" s="350"/>
      <c r="T85" s="119" t="str">
        <f t="shared" ca="1" si="18"/>
        <v/>
      </c>
      <c r="U85" s="170" t="str">
        <f t="shared" ca="1" si="19"/>
        <v/>
      </c>
      <c r="V85" s="171" t="str">
        <f ca="1">IF(AND($W85&gt;0,RegimeExecucao="Unitário"),$F85,"")</f>
        <v/>
      </c>
      <c r="W85" s="486">
        <f ca="1">IF($Y85&gt;0,CHOOSE(MATCH(RegimeExecucao,{"Unitário","Global"},0),IF($A85="S",$Y85/$X85,""),($Y85/$X85)*100),0)</f>
        <v>0</v>
      </c>
      <c r="X85" s="351" t="str">
        <f ca="1">IF($Y85&gt;0,CHOOSE(MATCH(RegimeExecucao,{"Unitário","Global"},0),IF($A85="S",ROUND($H85,ORÇAMENTO!$AF$10),""),ROUND($I85,ORÇAMENTO!$AF$11)),"")</f>
        <v/>
      </c>
      <c r="Y85" s="351">
        <f t="shared" ca="1" si="20"/>
        <v>0</v>
      </c>
      <c r="Z85" s="507"/>
      <c r="AB85" s="349"/>
      <c r="AC85" s="469"/>
      <c r="AD85" s="469"/>
      <c r="AE85" s="469"/>
      <c r="AF85" s="469"/>
      <c r="AG85" s="469"/>
      <c r="AH85" s="469"/>
      <c r="AI85" s="469"/>
      <c r="AJ85" s="469"/>
      <c r="AK85" s="469"/>
      <c r="AL85" s="469"/>
      <c r="AM85" s="350"/>
      <c r="AO85">
        <f ca="1">IF($A85="S",IF(BM!$I85=0,0,CHOOSE(MATCH(RegimeExecucao,{"Global","Unitário"},0),ROUND(ROUND(BM.MEDAcumulado,15-13*BM!$A$9)/100*BM!$I85,15-13*ORÇAMENTO!$AF$11),ROUND(ROUND(BM.MEDAcumulado,15-13*BM!$A$9)*ROUND(BM!$H85,15-13*ORÇAMENTO!$AF$10),15-13*ORÇAMENTO!$AF$11))),IF($A85=0,0,ROUND(SomaAgrupBM,15-13*ORÇAMENTO!$AF$11)))</f>
        <v>0</v>
      </c>
    </row>
    <row r="86" spans="1:41" ht="38.25" x14ac:dyDescent="0.2">
      <c r="A86" t="str">
        <f ca="1">ORÇAMENTO!C86</f>
        <v>S</v>
      </c>
      <c r="B86">
        <f ca="1">ORÇAMENTO!D86</f>
        <v>0</v>
      </c>
      <c r="C86" s="116" t="str">
        <f ca="1">IF(OR($I86&gt;0,$A86=1,$A86=2,$A86=3,$A86=4),"F","")</f>
        <v/>
      </c>
      <c r="D86" s="119" t="str">
        <f ca="1">ORÇAMENTO!O86</f>
        <v>-</v>
      </c>
      <c r="E86" s="170" t="str">
        <f ca="1">ORÇAMENTO.Descricao</f>
        <v>(abra o arquivo 'Referência 04-2026.xlsm)</v>
      </c>
      <c r="F86" s="171" t="str">
        <f ca="1">IF(RegimeExecucao="Global","",ORÇAMENTO.Unidade)</f>
        <v/>
      </c>
      <c r="G86" s="124" t="str">
        <f ca="1">IF(RegimeExecucao="Global","",ORÇAMENTO!T86)</f>
        <v/>
      </c>
      <c r="H86" s="124" t="str">
        <f ca="1">IF(RegimeExecucao="Global","",ORÇAMENTO!W86)</f>
        <v/>
      </c>
      <c r="I86" s="127">
        <f ca="1">ORÇAMENTO!X86</f>
        <v>0</v>
      </c>
      <c r="J86" s="345">
        <f ca="1">IF($A86="S",IF(CAIXA.Modo,BM.AFAnterior,BM.MEDAnterior),IF(AND(RegimeExecucao="Global",$I86&gt;0,COUNTIF($AB$13:$AM$13,BM.medicao-1)&gt;0),M86/$I86*100,0))</f>
        <v>0</v>
      </c>
      <c r="K86" s="124">
        <f ca="1">L86-J86</f>
        <v>0</v>
      </c>
      <c r="L86" s="346">
        <f ca="1">IF($A86="S",IF(CAIXA.Modo,BM.AFAcumulado,BM.MEDAcumulado),IF(AND(RegimeExecucao="Global",$I86&gt;0,COUNTIF($AB$13:$AM$13,BM.medicao)&gt;0),O86/$I86*100,0))</f>
        <v>0</v>
      </c>
      <c r="M86" s="347">
        <f ca="1">IF($A86="S",VTOTALBM,IF($A86=0,0,ROUND(SomaAgrupBM,15-13*ORÇAMENTO!$AF$11)))</f>
        <v>0</v>
      </c>
      <c r="N86" s="348">
        <f ca="1">O86-M86</f>
        <v>0</v>
      </c>
      <c r="O86" s="127">
        <f ca="1">IF($A86="S",VTOTALBM,IF($A86=0,0,ROUND(SomaAgrupBM,15-13*ORÇAMENTO!$AF$11)))</f>
        <v>0</v>
      </c>
      <c r="Q86" s="349"/>
      <c r="R86" s="350"/>
      <c r="T86" s="119" t="str">
        <f ca="1">IF($W86&gt;0,$D86,"")</f>
        <v/>
      </c>
      <c r="U86" s="170" t="str">
        <f ca="1">IF($W86&gt;0,$E86,"")</f>
        <v/>
      </c>
      <c r="V86" s="171" t="str">
        <f ca="1">IF(AND($W86&gt;0,RegimeExecucao="Unitário"),$F86,"")</f>
        <v/>
      </c>
      <c r="W86" s="486">
        <f ca="1">IF($Y86&gt;0,CHOOSE(MATCH(RegimeExecucao,{"Unitário","Global"},0),IF($A86="S",$Y86/$X86,""),($Y86/$X86)*100),0)</f>
        <v>0</v>
      </c>
      <c r="X86" s="351" t="str">
        <f ca="1">IF($Y86&gt;0,CHOOSE(MATCH(RegimeExecucao,{"Unitário","Global"},0),IF($A86="S",ROUND($H86,ORÇAMENTO!$AF$10),""),ROUND($I86,ORÇAMENTO!$AF$11)),"")</f>
        <v/>
      </c>
      <c r="Y86" s="351">
        <f ca="1">AO86-O86</f>
        <v>0</v>
      </c>
      <c r="Z86" s="507"/>
      <c r="AB86" s="349"/>
      <c r="AC86" s="469"/>
      <c r="AD86" s="469"/>
      <c r="AE86" s="469"/>
      <c r="AF86" s="469"/>
      <c r="AG86" s="469"/>
      <c r="AH86" s="469"/>
      <c r="AI86" s="469"/>
      <c r="AJ86" s="469"/>
      <c r="AK86" s="469"/>
      <c r="AL86" s="469"/>
      <c r="AM86" s="350"/>
      <c r="AO86">
        <f ca="1">IF($A86="S",IF(BM!$I86=0,0,CHOOSE(MATCH(RegimeExecucao,{"Global","Unitário"},0),ROUND(ROUND(BM.MEDAcumulado,15-13*BM!$A$9)/100*BM!$I86,15-13*ORÇAMENTO!$AF$11),ROUND(ROUND(BM.MEDAcumulado,15-13*BM!$A$9)*ROUND(BM!$H86,15-13*ORÇAMENTO!$AF$10),15-13*ORÇAMENTO!$AF$11))),IF($A86=0,0,ROUND(SomaAgrupBM,15-13*ORÇAMENTO!$AF$11)))</f>
        <v>0</v>
      </c>
    </row>
    <row r="87" spans="1:41" ht="25.5" x14ac:dyDescent="0.2">
      <c r="A87" t="str">
        <f ca="1">ORÇAMENTO!C87</f>
        <v>S</v>
      </c>
      <c r="B87">
        <f ca="1">ORÇAMENTO!D87</f>
        <v>0</v>
      </c>
      <c r="C87" s="116" t="str">
        <f ca="1">IF(OR($I87&gt;0,$A87=1,$A87=2,$A87=3,$A87=4),"F","")</f>
        <v/>
      </c>
      <c r="D87" s="119" t="str">
        <f ca="1">ORÇAMENTO!O87</f>
        <v>-</v>
      </c>
      <c r="E87" s="170" t="str">
        <f ca="1">ORÇAMENTO.Descricao</f>
        <v>(abra o arquivo 'Referência 04-2026.xlsm)</v>
      </c>
      <c r="F87" s="171" t="str">
        <f ca="1">IF(RegimeExecucao="Global","",ORÇAMENTO.Unidade)</f>
        <v/>
      </c>
      <c r="G87" s="124" t="str">
        <f ca="1">IF(RegimeExecucao="Global","",ORÇAMENTO!T87)</f>
        <v/>
      </c>
      <c r="H87" s="124" t="str">
        <f ca="1">IF(RegimeExecucao="Global","",ORÇAMENTO!W87)</f>
        <v/>
      </c>
      <c r="I87" s="127">
        <f ca="1">ORÇAMENTO!X87</f>
        <v>0</v>
      </c>
      <c r="J87" s="345">
        <f ca="1">IF($A87="S",IF(CAIXA.Modo,BM.AFAnterior,BM.MEDAnterior),IF(AND(RegimeExecucao="Global",$I87&gt;0,COUNTIF($AB$13:$AM$13,BM.medicao-1)&gt;0),M87/$I87*100,0))</f>
        <v>0</v>
      </c>
      <c r="K87" s="124">
        <f ca="1">L87-J87</f>
        <v>0</v>
      </c>
      <c r="L87" s="346">
        <f ca="1">IF($A87="S",IF(CAIXA.Modo,BM.AFAcumulado,BM.MEDAcumulado),IF(AND(RegimeExecucao="Global",$I87&gt;0,COUNTIF($AB$13:$AM$13,BM.medicao)&gt;0),O87/$I87*100,0))</f>
        <v>0</v>
      </c>
      <c r="M87" s="347">
        <f ca="1">IF($A87="S",VTOTALBM,IF($A87=0,0,ROUND(SomaAgrupBM,15-13*ORÇAMENTO!$AF$11)))</f>
        <v>0</v>
      </c>
      <c r="N87" s="348">
        <f ca="1">O87-M87</f>
        <v>0</v>
      </c>
      <c r="O87" s="127">
        <f ca="1">IF($A87="S",VTOTALBM,IF($A87=0,0,ROUND(SomaAgrupBM,15-13*ORÇAMENTO!$AF$11)))</f>
        <v>0</v>
      </c>
      <c r="Q87" s="349"/>
      <c r="R87" s="350"/>
      <c r="T87" s="119" t="str">
        <f ca="1">IF($W87&gt;0,$D87,"")</f>
        <v/>
      </c>
      <c r="U87" s="170" t="str">
        <f ca="1">IF($W87&gt;0,$E87,"")</f>
        <v/>
      </c>
      <c r="V87" s="171" t="str">
        <f ca="1">IF(AND($W87&gt;0,RegimeExecucao="Unitário"),$F87,"")</f>
        <v/>
      </c>
      <c r="W87" s="486">
        <f ca="1">IF($Y87&gt;0,CHOOSE(MATCH(RegimeExecucao,{"Unitário","Global"},0),IF($A87="S",$Y87/$X87,""),($Y87/$X87)*100),0)</f>
        <v>0</v>
      </c>
      <c r="X87" s="351" t="str">
        <f ca="1">IF($Y87&gt;0,CHOOSE(MATCH(RegimeExecucao,{"Unitário","Global"},0),IF($A87="S",ROUND($H87,ORÇAMENTO!$AF$10),""),ROUND($I87,ORÇAMENTO!$AF$11)),"")</f>
        <v/>
      </c>
      <c r="Y87" s="351">
        <f ca="1">AO87-O87</f>
        <v>0</v>
      </c>
      <c r="Z87" s="507"/>
      <c r="AB87" s="349"/>
      <c r="AC87" s="469"/>
      <c r="AD87" s="469"/>
      <c r="AE87" s="469"/>
      <c r="AF87" s="469"/>
      <c r="AG87" s="469"/>
      <c r="AH87" s="469"/>
      <c r="AI87" s="469"/>
      <c r="AJ87" s="469"/>
      <c r="AK87" s="469"/>
      <c r="AL87" s="469"/>
      <c r="AM87" s="350"/>
      <c r="AO87">
        <f ca="1">IF($A87="S",IF(BM!$I87=0,0,CHOOSE(MATCH(RegimeExecucao,{"Global","Unitário"},0),ROUND(ROUND(BM.MEDAcumulado,15-13*BM!$A$9)/100*BM!$I87,15-13*ORÇAMENTO!$AF$11),ROUND(ROUND(BM.MEDAcumulado,15-13*BM!$A$9)*ROUND(BM!$H87,15-13*ORÇAMENTO!$AF$10),15-13*ORÇAMENTO!$AF$11))),IF($A87=0,0,ROUND(SomaAgrupBM,15-13*ORÇAMENTO!$AF$11)))</f>
        <v>0</v>
      </c>
    </row>
    <row r="88" spans="1:41" ht="51" x14ac:dyDescent="0.2">
      <c r="A88" t="str">
        <f ca="1">ORÇAMENTO!C88</f>
        <v>S</v>
      </c>
      <c r="B88">
        <f ca="1">ORÇAMENTO!D88</f>
        <v>0</v>
      </c>
      <c r="C88" s="116" t="str">
        <f ca="1">IF(OR($I88&gt;0,$A88=1,$A88=2,$A88=3,$A88=4),"F","")</f>
        <v/>
      </c>
      <c r="D88" s="119" t="str">
        <f ca="1">ORÇAMENTO!O88</f>
        <v>-</v>
      </c>
      <c r="E88" s="170" t="str">
        <f ca="1">ORÇAMENTO.Descricao</f>
        <v>(abra o arquivo 'Referência 04-2026.xlsm)</v>
      </c>
      <c r="F88" s="171" t="str">
        <f ca="1">IF(RegimeExecucao="Global","",ORÇAMENTO.Unidade)</f>
        <v/>
      </c>
      <c r="G88" s="124" t="str">
        <f ca="1">IF(RegimeExecucao="Global","",ORÇAMENTO!T88)</f>
        <v/>
      </c>
      <c r="H88" s="124" t="str">
        <f ca="1">IF(RegimeExecucao="Global","",ORÇAMENTO!W88)</f>
        <v/>
      </c>
      <c r="I88" s="127">
        <f ca="1">ORÇAMENTO!X88</f>
        <v>0</v>
      </c>
      <c r="J88" s="345">
        <f ca="1">IF($A88="S",IF(CAIXA.Modo,BM.AFAnterior,BM.MEDAnterior),IF(AND(RegimeExecucao="Global",$I88&gt;0,COUNTIF($AB$13:$AM$13,BM.medicao-1)&gt;0),M88/$I88*100,0))</f>
        <v>0</v>
      </c>
      <c r="K88" s="124">
        <f ca="1">L88-J88</f>
        <v>0</v>
      </c>
      <c r="L88" s="346">
        <f ca="1">IF($A88="S",IF(CAIXA.Modo,BM.AFAcumulado,BM.MEDAcumulado),IF(AND(RegimeExecucao="Global",$I88&gt;0,COUNTIF($AB$13:$AM$13,BM.medicao)&gt;0),O88/$I88*100,0))</f>
        <v>0</v>
      </c>
      <c r="M88" s="347">
        <f ca="1">IF($A88="S",VTOTALBM,IF($A88=0,0,ROUND(SomaAgrupBM,15-13*ORÇAMENTO!$AF$11)))</f>
        <v>0</v>
      </c>
      <c r="N88" s="348">
        <f ca="1">O88-M88</f>
        <v>0</v>
      </c>
      <c r="O88" s="127">
        <f ca="1">IF($A88="S",VTOTALBM,IF($A88=0,0,ROUND(SomaAgrupBM,15-13*ORÇAMENTO!$AF$11)))</f>
        <v>0</v>
      </c>
      <c r="Q88" s="349"/>
      <c r="R88" s="350"/>
      <c r="T88" s="119" t="str">
        <f ca="1">IF($W88&gt;0,$D88,"")</f>
        <v/>
      </c>
      <c r="U88" s="170" t="str">
        <f ca="1">IF($W88&gt;0,$E88,"")</f>
        <v/>
      </c>
      <c r="V88" s="171" t="str">
        <f ca="1">IF(AND($W88&gt;0,RegimeExecucao="Unitário"),$F88,"")</f>
        <v/>
      </c>
      <c r="W88" s="486">
        <f ca="1">IF($Y88&gt;0,CHOOSE(MATCH(RegimeExecucao,{"Unitário","Global"},0),IF($A88="S",$Y88/$X88,""),($Y88/$X88)*100),0)</f>
        <v>0</v>
      </c>
      <c r="X88" s="351" t="str">
        <f ca="1">IF($Y88&gt;0,CHOOSE(MATCH(RegimeExecucao,{"Unitário","Global"},0),IF($A88="S",ROUND($H88,ORÇAMENTO!$AF$10),""),ROUND($I88,ORÇAMENTO!$AF$11)),"")</f>
        <v/>
      </c>
      <c r="Y88" s="351">
        <f ca="1">AO88-O88</f>
        <v>0</v>
      </c>
      <c r="Z88" s="507"/>
      <c r="AB88" s="349"/>
      <c r="AC88" s="469"/>
      <c r="AD88" s="469"/>
      <c r="AE88" s="469"/>
      <c r="AF88" s="469"/>
      <c r="AG88" s="469"/>
      <c r="AH88" s="469"/>
      <c r="AI88" s="469"/>
      <c r="AJ88" s="469"/>
      <c r="AK88" s="469"/>
      <c r="AL88" s="469"/>
      <c r="AM88" s="350"/>
      <c r="AO88">
        <f ca="1">IF($A88="S",IF(BM!$I88=0,0,CHOOSE(MATCH(RegimeExecucao,{"Global","Unitário"},0),ROUND(ROUND(BM.MEDAcumulado,15-13*BM!$A$9)/100*BM!$I88,15-13*ORÇAMENTO!$AF$11),ROUND(ROUND(BM.MEDAcumulado,15-13*BM!$A$9)*ROUND(BM!$H88,15-13*ORÇAMENTO!$AF$10),15-13*ORÇAMENTO!$AF$11))),IF($A88=0,0,ROUND(SomaAgrupBM,15-13*ORÇAMENTO!$AF$11)))</f>
        <v>0</v>
      </c>
    </row>
    <row r="89" spans="1:41" ht="5.0999999999999996" customHeight="1" x14ac:dyDescent="0.2">
      <c r="C89" s="116" t="s">
        <v>244</v>
      </c>
      <c r="D89" s="440"/>
      <c r="E89" s="441"/>
      <c r="F89" s="441"/>
      <c r="G89" s="441"/>
      <c r="H89" s="441"/>
      <c r="I89" s="442"/>
      <c r="J89" s="440"/>
      <c r="K89" s="441"/>
      <c r="L89" s="442"/>
      <c r="M89" s="466"/>
      <c r="N89" s="467"/>
      <c r="O89" s="468"/>
      <c r="Q89" s="440"/>
      <c r="R89" s="442"/>
      <c r="T89" s="440"/>
      <c r="U89" s="441"/>
      <c r="V89" s="441"/>
      <c r="W89" s="441"/>
      <c r="X89" s="441"/>
      <c r="Y89" s="441"/>
      <c r="Z89" s="442"/>
      <c r="AB89" s="440"/>
      <c r="AC89" s="441"/>
      <c r="AD89" s="441"/>
      <c r="AE89" s="441"/>
      <c r="AF89" s="441"/>
      <c r="AG89" s="441"/>
      <c r="AH89" s="441"/>
      <c r="AI89" s="441"/>
      <c r="AJ89" s="441"/>
      <c r="AK89" s="441"/>
      <c r="AL89" s="441"/>
      <c r="AM89" s="442"/>
    </row>
    <row r="91" spans="1:41" ht="14.25" x14ac:dyDescent="0.2">
      <c r="D91" s="796" t="s">
        <v>185</v>
      </c>
      <c r="E91" s="796"/>
      <c r="F91" s="796"/>
      <c r="G91" s="796"/>
      <c r="H91" s="796"/>
      <c r="I91" s="796"/>
      <c r="J91" s="796"/>
      <c r="K91" s="796"/>
      <c r="L91" s="796"/>
      <c r="M91" s="796"/>
      <c r="N91" s="796"/>
      <c r="O91" s="796"/>
      <c r="T91" s="797" t="s">
        <v>347</v>
      </c>
      <c r="U91" s="797"/>
      <c r="V91" s="797"/>
      <c r="W91" s="797"/>
      <c r="X91" s="797"/>
      <c r="Y91" s="797"/>
      <c r="Z91" s="797"/>
    </row>
    <row r="92" spans="1:41" ht="12.75" customHeight="1" x14ac:dyDescent="0.2">
      <c r="D92" s="674"/>
      <c r="E92" s="674"/>
      <c r="F92" s="674"/>
      <c r="G92" s="674"/>
      <c r="H92" s="674"/>
      <c r="I92" s="674"/>
      <c r="J92" s="674"/>
      <c r="K92" s="674"/>
      <c r="L92" s="674"/>
      <c r="M92" s="674"/>
      <c r="N92" s="674"/>
      <c r="O92" s="674"/>
      <c r="T92" s="798"/>
      <c r="U92" s="798"/>
      <c r="V92" s="798"/>
      <c r="W92" s="798"/>
      <c r="X92" s="798"/>
      <c r="Y92" s="798"/>
      <c r="Z92" s="798"/>
    </row>
    <row r="93" spans="1:41" ht="12.75" customHeight="1" x14ac:dyDescent="0.2">
      <c r="D93" s="674"/>
      <c r="E93" s="674"/>
      <c r="F93" s="674"/>
      <c r="G93" s="674"/>
      <c r="H93" s="674"/>
      <c r="I93" s="674"/>
      <c r="J93" s="674"/>
      <c r="K93" s="674"/>
      <c r="L93" s="674"/>
      <c r="M93" s="674"/>
      <c r="N93" s="674"/>
      <c r="O93" s="674"/>
      <c r="T93" s="798"/>
      <c r="U93" s="798"/>
      <c r="V93" s="798"/>
      <c r="W93" s="798"/>
      <c r="X93" s="798"/>
      <c r="Y93" s="798"/>
      <c r="Z93" s="798"/>
    </row>
    <row r="94" spans="1:41" ht="12.75" customHeight="1" x14ac:dyDescent="0.2">
      <c r="D94" s="674"/>
      <c r="E94" s="674"/>
      <c r="F94" s="674"/>
      <c r="G94" s="674"/>
      <c r="H94" s="674"/>
      <c r="I94" s="674"/>
      <c r="J94" s="674"/>
      <c r="K94" s="674"/>
      <c r="L94" s="674"/>
      <c r="M94" s="674"/>
      <c r="N94" s="674"/>
      <c r="O94" s="674"/>
      <c r="T94" s="798"/>
      <c r="U94" s="798"/>
      <c r="V94" s="798"/>
      <c r="W94" s="798"/>
      <c r="X94" s="798"/>
      <c r="Y94" s="798"/>
      <c r="Z94" s="798"/>
    </row>
    <row r="95" spans="1:41" ht="14.25" x14ac:dyDescent="0.2">
      <c r="D95" s="475"/>
      <c r="E95" s="475"/>
      <c r="F95" s="475"/>
      <c r="G95" s="475"/>
      <c r="H95" s="475"/>
      <c r="I95" s="475"/>
      <c r="J95" s="475"/>
      <c r="K95" s="475"/>
      <c r="L95" s="475"/>
      <c r="M95" s="475"/>
      <c r="N95" s="475"/>
      <c r="O95" s="475"/>
    </row>
    <row r="96" spans="1:41" ht="15" customHeight="1" x14ac:dyDescent="0.25">
      <c r="D96" s="675"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96" s="675"/>
      <c r="F96" s="675"/>
      <c r="G96" s="675"/>
      <c r="H96" s="675"/>
      <c r="I96" s="675"/>
      <c r="J96" s="675"/>
      <c r="K96" s="675"/>
      <c r="L96" s="675"/>
    </row>
    <row r="97" spans="4:26" x14ac:dyDescent="0.2">
      <c r="D97" s="794"/>
      <c r="E97" s="794"/>
      <c r="F97" s="794"/>
      <c r="G97" s="794"/>
      <c r="H97" s="794"/>
      <c r="I97" s="794"/>
    </row>
    <row r="98" spans="4:26" x14ac:dyDescent="0.2">
      <c r="D98" s="792"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98" s="792"/>
      <c r="F98" s="792"/>
      <c r="G98" s="792"/>
      <c r="H98" s="792"/>
      <c r="I98" s="792"/>
      <c r="J98" s="792"/>
      <c r="K98" s="792"/>
      <c r="L98" s="792"/>
      <c r="M98" s="792"/>
      <c r="N98" s="792"/>
      <c r="O98" s="792"/>
    </row>
    <row r="99" spans="4:26" ht="39.950000000000003" customHeight="1" x14ac:dyDescent="0.25">
      <c r="E99" s="144" t="str">
        <f>Import.Município</f>
        <v>SARANDI/RS</v>
      </c>
      <c r="J99" s="644" t="str">
        <f ca="1">IF(DADOS!$D$50&lt;&gt;"","Preencher os Dados do Responsável pela Fiscalização, na aba DADOS.","")</f>
        <v/>
      </c>
      <c r="K99" s="644"/>
      <c r="L99" s="644"/>
      <c r="M99" s="644"/>
      <c r="W99" s="793"/>
      <c r="X99" s="793"/>
      <c r="Y99" s="793"/>
      <c r="Z99" s="793"/>
    </row>
    <row r="100" spans="4:26" x14ac:dyDescent="0.2">
      <c r="E100" s="10" t="s">
        <v>186</v>
      </c>
      <c r="J100" s="190" t="s">
        <v>296</v>
      </c>
      <c r="W100" s="190" t="s">
        <v>348</v>
      </c>
    </row>
    <row r="101" spans="4:26" x14ac:dyDescent="0.2">
      <c r="J101" s="78" t="s">
        <v>108</v>
      </c>
      <c r="K101" s="281">
        <f t="array" ref="K101:K104">Import.RespFiscalização</f>
        <v>0</v>
      </c>
      <c r="L101" s="79"/>
      <c r="W101" s="78" t="s">
        <v>108</v>
      </c>
      <c r="X101" s="791"/>
      <c r="Y101" s="791"/>
      <c r="Z101" s="791"/>
    </row>
    <row r="102" spans="4:26" x14ac:dyDescent="0.2">
      <c r="E102" s="491">
        <f>DADOS!$C$48</f>
        <v>0</v>
      </c>
      <c r="J102" s="78" t="s">
        <v>127</v>
      </c>
      <c r="K102" s="281">
        <v>0</v>
      </c>
      <c r="L102" s="79"/>
      <c r="W102" s="78" t="s">
        <v>349</v>
      </c>
      <c r="X102" s="791"/>
      <c r="Y102" s="791"/>
      <c r="Z102" s="791"/>
    </row>
    <row r="103" spans="4:26" x14ac:dyDescent="0.2">
      <c r="E103" s="146" t="s">
        <v>187</v>
      </c>
      <c r="J103" s="78" t="s">
        <v>109</v>
      </c>
      <c r="K103" s="281">
        <v>0</v>
      </c>
      <c r="L103" s="79"/>
      <c r="W103" s="78" t="s">
        <v>109</v>
      </c>
      <c r="X103" s="791"/>
      <c r="Y103" s="791"/>
      <c r="Z103" s="791"/>
    </row>
    <row r="104" spans="4:26" x14ac:dyDescent="0.2">
      <c r="J104" s="78" t="s">
        <v>110</v>
      </c>
      <c r="K104" s="13">
        <v>0</v>
      </c>
      <c r="W104" s="78"/>
      <c r="X104" s="13"/>
    </row>
  </sheetData>
  <sheetProtection algorithmName="SHA-512" hashValue="smwLZ1lyljekBcqJU9guqHUUBXUPnfUcuLpNWIJ/ELCsV/MuPf4ZaY6z+isN8EZIC/ig/JvkZ4taEEKWOFTnjQ==" saltValue="RDAhIHhaACbFKsMJuVtz7w==" spinCount="100000" sheet="1" objects="1" scenarios="1" autoFilter="0"/>
  <autoFilter ref="C15:C89"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96:L96"/>
    <mergeCell ref="D97:I97"/>
    <mergeCell ref="AB15:AM15"/>
    <mergeCell ref="D91:O91"/>
    <mergeCell ref="T91:Z91"/>
    <mergeCell ref="D92:O94"/>
    <mergeCell ref="T92:Z94"/>
    <mergeCell ref="D15:E15"/>
    <mergeCell ref="X103:Z103"/>
    <mergeCell ref="D98:O98"/>
    <mergeCell ref="W99:Z99"/>
    <mergeCell ref="X101:Z101"/>
    <mergeCell ref="X102:Z102"/>
  </mergeCells>
  <phoneticPr fontId="38" type="noConversion"/>
  <conditionalFormatting sqref="D14:O14 T14:Z14 D17:O19 T17:Z19 D31:O88 T31:Z88">
    <cfRule type="expression" dxfId="77" priority="10409" stopIfTrue="1">
      <formula>OR(ACOMPANHAMENTO="PLE",TIPOORCAMENTO="Proposto",$L14&lt;0,AND($L14&gt;100,RegimeExecucao="Global"),$O14&gt;$I14,$O14&lt;0)</formula>
    </cfRule>
    <cfRule type="expression" dxfId="76" priority="10410" stopIfTrue="1">
      <formula>$A14=1</formula>
    </cfRule>
    <cfRule type="expression" dxfId="75" priority="10411" stopIfTrue="1">
      <formula>$A14&lt;&gt;"S"</formula>
    </cfRule>
  </conditionalFormatting>
  <conditionalFormatting sqref="Q14:R14 AB14:AM14 Q17:R19 AB17:AM19 Q31:R88 AB31:AM88">
    <cfRule type="expression" dxfId="74" priority="10412" stopIfTrue="1">
      <formula>$A14=1</formula>
    </cfRule>
    <cfRule type="expression" dxfId="73" priority="10413" stopIfTrue="1">
      <formula>$A14&lt;&gt;"S"</formula>
    </cfRule>
  </conditionalFormatting>
  <conditionalFormatting sqref="E2">
    <cfRule type="expression" dxfId="72" priority="10414" stopIfTrue="1">
      <formula>Import.RegimeExecução="(SELECIONAR)"</formula>
    </cfRule>
  </conditionalFormatting>
  <conditionalFormatting sqref="F13:H13">
    <cfRule type="expression" dxfId="71" priority="10415" stopIfTrue="1">
      <formula>RegimeExecucao="Global"</formula>
    </cfRule>
  </conditionalFormatting>
  <conditionalFormatting sqref="D15:O15">
    <cfRule type="expression" dxfId="70" priority="10416" stopIfTrue="1">
      <formula>OR(ACOMPANHAMENTO="PLE",TIPOORCAMENTO="Proposto")</formula>
    </cfRule>
  </conditionalFormatting>
  <conditionalFormatting sqref="AB13">
    <cfRule type="cellIs" dxfId="69" priority="10417" stopIfTrue="1" operator="notEqual">
      <formula>1</formula>
    </cfRule>
  </conditionalFormatting>
  <conditionalFormatting sqref="O11">
    <cfRule type="expression" dxfId="68" priority="5276">
      <formula>ROUND($P$11,4)&gt;ROUND($P$10,4)</formula>
    </cfRule>
  </conditionalFormatting>
  <conditionalFormatting sqref="D16:O16 T16:Z16 T29:Z29 D29:O29 T20:Z26 D20:O26">
    <cfRule type="expression" dxfId="67" priority="216" stopIfTrue="1">
      <formula>OR(ACOMPANHAMENTO="PLE",TIPOORCAMENTO="Proposto",$L16&lt;0,AND($L16&gt;100,RegimeExecucao="Global"),$O16&gt;$I16,$O16&lt;0)</formula>
    </cfRule>
    <cfRule type="expression" dxfId="66" priority="217" stopIfTrue="1">
      <formula>$A16=1</formula>
    </cfRule>
    <cfRule type="expression" dxfId="65" priority="218" stopIfTrue="1">
      <formula>$A16&lt;&gt;"S"</formula>
    </cfRule>
  </conditionalFormatting>
  <conditionalFormatting sqref="Q16:R16 AB16:AM16 AB29:AM29 Q29:R29 AB20:AM26 Q20:R26">
    <cfRule type="expression" dxfId="64" priority="219" stopIfTrue="1">
      <formula>$A16=1</formula>
    </cfRule>
    <cfRule type="expression" dxfId="63" priority="220" stopIfTrue="1">
      <formula>$A16&lt;&gt;"S"</formula>
    </cfRule>
  </conditionalFormatting>
  <conditionalFormatting sqref="D30:O30 T30:Z30">
    <cfRule type="expression" dxfId="62" priority="211" stopIfTrue="1">
      <formula>OR(ACOMPANHAMENTO="PLE",TIPOORCAMENTO="Proposto",$L30&lt;0,AND($L30&gt;100,RegimeExecucao="Global"),$O30&gt;$I30,$O30&lt;0)</formula>
    </cfRule>
    <cfRule type="expression" dxfId="61" priority="212" stopIfTrue="1">
      <formula>$A30=1</formula>
    </cfRule>
    <cfRule type="expression" dxfId="60" priority="213" stopIfTrue="1">
      <formula>$A30&lt;&gt;"S"</formula>
    </cfRule>
  </conditionalFormatting>
  <conditionalFormatting sqref="Q30:R30 AB30:AM30">
    <cfRule type="expression" dxfId="59" priority="214" stopIfTrue="1">
      <formula>$A30=1</formula>
    </cfRule>
    <cfRule type="expression" dxfId="58" priority="215" stopIfTrue="1">
      <formula>$A30&lt;&gt;"S"</formula>
    </cfRule>
  </conditionalFormatting>
  <conditionalFormatting sqref="D27:O27 T27:Z27">
    <cfRule type="expression" dxfId="57" priority="76" stopIfTrue="1">
      <formula>OR(ACOMPANHAMENTO="PLE",TIPOORCAMENTO="Proposto",$L27&lt;0,AND($L27&gt;100,RegimeExecucao="Global"),$O27&gt;$I27,$O27&lt;0)</formula>
    </cfRule>
    <cfRule type="expression" dxfId="56" priority="77" stopIfTrue="1">
      <formula>$A27=1</formula>
    </cfRule>
    <cfRule type="expression" dxfId="55" priority="78" stopIfTrue="1">
      <formula>$A27&lt;&gt;"S"</formula>
    </cfRule>
  </conditionalFormatting>
  <conditionalFormatting sqref="Q27:R27 AB27:AM27">
    <cfRule type="expression" dxfId="54" priority="79" stopIfTrue="1">
      <formula>$A27=1</formula>
    </cfRule>
    <cfRule type="expression" dxfId="53" priority="80" stopIfTrue="1">
      <formula>$A27&lt;&gt;"S"</formula>
    </cfRule>
  </conditionalFormatting>
  <conditionalFormatting sqref="D28:O28 T28:Z28">
    <cfRule type="expression" dxfId="52" priority="66" stopIfTrue="1">
      <formula>OR(ACOMPANHAMENTO="PLE",TIPOORCAMENTO="Proposto",$L28&lt;0,AND($L28&gt;100,RegimeExecucao="Global"),$O28&gt;$I28,$O28&lt;0)</formula>
    </cfRule>
    <cfRule type="expression" dxfId="51" priority="67" stopIfTrue="1">
      <formula>$A28=1</formula>
    </cfRule>
    <cfRule type="expression" dxfId="50" priority="68" stopIfTrue="1">
      <formula>$A28&lt;&gt;"S"</formula>
    </cfRule>
  </conditionalFormatting>
  <conditionalFormatting sqref="Q28:R28 AB28:AM28">
    <cfRule type="expression" dxfId="49" priority="69" stopIfTrue="1">
      <formula>$A28=1</formula>
    </cfRule>
    <cfRule type="expression" dxfId="48" priority="70" stopIfTrue="1">
      <formula>$A28&lt;&gt;"S"</formula>
    </cfRule>
  </conditionalFormatting>
  <dataValidations count="4">
    <dataValidation type="list" allowBlank="1" showErrorMessage="1" sqref="Z14 Z16:Z88"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88"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88"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&amp;LPMv3.08&amp;R&amp;P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41" width="9.140625" hidden="1" customWidth="1"/>
  </cols>
  <sheetData>
    <row r="1" spans="1:41" ht="30" customHeight="1" x14ac:dyDescent="0.2">
      <c r="F1" s="358" t="str">
        <f>CONCATENATE("RRE - RELATÓRIO RESUMO DO EMPREENDIMENTO - ",IF(CAIXA.Modo,"CAIXA","TOMADOR"))</f>
        <v>RRE - RELATÓRIO RESUMO DO EMPREENDIMENTO - TOMADOR</v>
      </c>
      <c r="H1" s="8"/>
      <c r="I1" s="8"/>
      <c r="P1" s="527" t="s">
        <v>445</v>
      </c>
      <c r="AD1" s="359" t="s">
        <v>350</v>
      </c>
      <c r="AE1" s="360" t="s">
        <v>351</v>
      </c>
    </row>
    <row r="2" spans="1:41" x14ac:dyDescent="0.2">
      <c r="AC2" s="361" t="str">
        <f>J25</f>
        <v>Repasse</v>
      </c>
      <c r="AD2" s="362">
        <f ca="1">AD6-AD4-AD3</f>
        <v>0</v>
      </c>
      <c r="AE2" s="362">
        <f ca="1">AE6-AE4-AE3</f>
        <v>0</v>
      </c>
    </row>
    <row r="3" spans="1:41" x14ac:dyDescent="0.2">
      <c r="E3" s="663" t="s">
        <v>146</v>
      </c>
      <c r="F3" s="663"/>
      <c r="G3" s="663"/>
      <c r="H3" s="663"/>
      <c r="I3" s="662" t="s">
        <v>145</v>
      </c>
      <c r="J3" s="662"/>
      <c r="K3" s="662"/>
      <c r="L3" s="89" t="s">
        <v>422</v>
      </c>
      <c r="M3" s="152"/>
      <c r="O3" s="363"/>
      <c r="P3" s="284" t="s">
        <v>208</v>
      </c>
      <c r="R3" s="152"/>
      <c r="S3" s="152"/>
      <c r="T3" s="152"/>
      <c r="U3" s="152"/>
      <c r="AC3" s="361" t="s">
        <v>168</v>
      </c>
      <c r="AD3" s="362">
        <f ca="1">SUM(T13:OFFSET(T24,-1,0))</f>
        <v>0</v>
      </c>
      <c r="AE3" s="362">
        <f ca="1">IF(OR($O$28&lt;$M$28,$M$26&gt;$AD$3),MIN($M$26,$L$26),MIN($AD$3,$N$28-$N$27+$M$26))</f>
        <v>0</v>
      </c>
    </row>
    <row r="4" spans="1:41" ht="12.75" customHeight="1" x14ac:dyDescent="0.2">
      <c r="E4" s="670" t="str">
        <f>Import.Proponente</f>
        <v>PREFEITURA MUNICIPAL DE SARANDI/RS</v>
      </c>
      <c r="F4" s="670"/>
      <c r="G4" s="670"/>
      <c r="H4" s="670"/>
      <c r="I4" s="668" t="str">
        <f>Import.CR</f>
        <v>000000-00</v>
      </c>
      <c r="J4" s="668"/>
      <c r="K4" s="668"/>
      <c r="L4" s="57" t="str">
        <f>Import.TransfereGOV</f>
        <v>000000</v>
      </c>
      <c r="M4" s="803" t="s">
        <v>301</v>
      </c>
      <c r="N4" s="804"/>
      <c r="O4" s="805"/>
      <c r="P4" s="364" t="str">
        <f>import.recurso</f>
        <v>OGU</v>
      </c>
      <c r="R4" s="152"/>
      <c r="S4" s="152"/>
      <c r="T4" s="363"/>
      <c r="U4" s="363"/>
      <c r="AC4" s="361" t="s">
        <v>352</v>
      </c>
      <c r="AD4" s="362">
        <f ca="1">SUM(U13:OFFSET(U24,-1,0))</f>
        <v>0</v>
      </c>
      <c r="AE4" s="362">
        <f ca="1">IF(OR($O$28&lt;$M$28,$M$27&gt;$AD$4),MIN($M$27,$L$27),MIN($AD$4,$N$28+$M$27))</f>
        <v>0</v>
      </c>
    </row>
    <row r="5" spans="1:41" ht="5.0999999999999996" customHeight="1" x14ac:dyDescent="0.2">
      <c r="H5" s="287"/>
      <c r="I5" s="287"/>
      <c r="J5" s="287"/>
      <c r="K5" s="287"/>
      <c r="L5" s="287"/>
      <c r="M5" s="365"/>
      <c r="N5" s="275"/>
      <c r="O5" s="4"/>
      <c r="R5" s="152"/>
      <c r="S5" s="152"/>
      <c r="T5" s="152"/>
      <c r="U5" s="152"/>
    </row>
    <row r="6" spans="1:41" ht="12.75" customHeight="1" x14ac:dyDescent="0.2">
      <c r="E6" s="662" t="s">
        <v>200</v>
      </c>
      <c r="F6" s="662"/>
      <c r="G6" s="662"/>
      <c r="H6" s="662"/>
      <c r="I6" s="830" t="s">
        <v>300</v>
      </c>
      <c r="J6" s="830"/>
      <c r="K6" s="830"/>
      <c r="L6" s="830"/>
      <c r="M6" s="56" t="str">
        <f>IF(import.recurso="FGTS","FINANCIAMENTO","REPASSE")</f>
        <v>REPASSE</v>
      </c>
      <c r="N6" s="98" t="s">
        <v>302</v>
      </c>
      <c r="O6" s="56" t="s">
        <v>303</v>
      </c>
      <c r="P6" s="153" t="s">
        <v>353</v>
      </c>
      <c r="R6" s="152"/>
      <c r="S6" s="152"/>
      <c r="T6" s="152"/>
      <c r="U6" s="152"/>
      <c r="AC6" s="361" t="s">
        <v>354</v>
      </c>
      <c r="AD6" s="362">
        <f ca="1">$O$28</f>
        <v>0</v>
      </c>
      <c r="AE6" s="362">
        <f ca="1">AD6</f>
        <v>0</v>
      </c>
    </row>
    <row r="7" spans="1:41" ht="12.75" customHeight="1" x14ac:dyDescent="0.2">
      <c r="D7" s="665" t="s">
        <v>207</v>
      </c>
      <c r="E7" s="668" t="str">
        <f>Import.Apelido</f>
        <v>PAVILHÃO COMUNITÁRIO COMUNIDADE ÁREA 10</v>
      </c>
      <c r="F7" s="668"/>
      <c r="G7" s="668"/>
      <c r="H7" s="668"/>
      <c r="I7" s="827" t="str">
        <f>Import.Município</f>
        <v>SARANDI/RS</v>
      </c>
      <c r="J7" s="827"/>
      <c r="K7" s="827"/>
      <c r="L7" s="827"/>
      <c r="M7" s="366">
        <f>Import.Repasse</f>
        <v>200000</v>
      </c>
      <c r="N7" s="367">
        <f>Import.Contrapartida</f>
        <v>158258.26</v>
      </c>
      <c r="O7" s="366">
        <f>M7+N7</f>
        <v>358258.26</v>
      </c>
      <c r="P7" s="446">
        <f>IF(ACOMPANHAMENTO="PLE",PLE.Medicao,BM.medicao)</f>
        <v>1</v>
      </c>
      <c r="R7" s="152"/>
      <c r="S7" s="152"/>
      <c r="T7" s="152"/>
      <c r="U7" s="152"/>
    </row>
    <row r="8" spans="1:41" x14ac:dyDescent="0.2">
      <c r="D8" s="665"/>
      <c r="E8" s="94"/>
      <c r="F8" s="94"/>
      <c r="G8" s="94"/>
      <c r="H8" s="94"/>
      <c r="I8" s="94"/>
      <c r="J8" s="94"/>
      <c r="K8" s="94"/>
      <c r="L8" s="94"/>
      <c r="M8" s="94"/>
      <c r="N8" s="94"/>
      <c r="O8" s="94"/>
      <c r="P8" s="94"/>
      <c r="R8" s="152"/>
      <c r="S8" s="152"/>
      <c r="T8" s="152"/>
      <c r="U8" s="152"/>
    </row>
    <row r="9" spans="1:41" ht="12.75" customHeight="1" x14ac:dyDescent="0.2">
      <c r="D9" s="665"/>
      <c r="G9" s="828" t="s">
        <v>355</v>
      </c>
      <c r="H9" s="828"/>
      <c r="I9" s="828" t="s">
        <v>356</v>
      </c>
      <c r="J9" s="828"/>
      <c r="K9" s="368"/>
      <c r="L9" s="829" t="s">
        <v>307</v>
      </c>
      <c r="M9" s="369" t="s">
        <v>310</v>
      </c>
      <c r="N9" s="288" t="s">
        <v>236</v>
      </c>
      <c r="P9" s="370"/>
      <c r="R9" s="152"/>
      <c r="S9" s="152"/>
      <c r="T9" s="152"/>
      <c r="U9" s="152"/>
      <c r="V9" s="7" t="s">
        <v>357</v>
      </c>
    </row>
    <row r="10" spans="1:41" ht="12.75" customHeight="1" x14ac:dyDescent="0.2">
      <c r="D10" s="665"/>
      <c r="G10" s="707" t="str">
        <f ca="1">IF(J10="-","-",IF($P$24&lt;J10,"Atrasada",IF($P$24&gt;J10,"Adiantada","Normal")))</f>
        <v>Normal</v>
      </c>
      <c r="H10" s="707"/>
      <c r="I10" s="371">
        <f>DATE(YEAR($L$35),MONTH($L$35),1)</f>
        <v>1</v>
      </c>
      <c r="J10" s="372">
        <f ca="1">IF($I$10&lt;DATE(YEAR(CRONO!$U$13),MONTH(CRONO!$U$13),1),0,IF($I$10&gt;OFFSET(CRONO!$AG$13,0,-1),1,INDEX(CRONO!$T$98:$AH$98,MATCH(RRE!$I$10,CRONO!$T$13:$AG$13,0))))</f>
        <v>0</v>
      </c>
      <c r="K10" s="368"/>
      <c r="L10" s="829"/>
      <c r="M10" s="373">
        <f ca="1">QCI!L10</f>
        <v>200000</v>
      </c>
      <c r="N10" s="290">
        <f ca="1">QCI!M10</f>
        <v>158258.26</v>
      </c>
      <c r="P10" s="370"/>
      <c r="R10" s="152"/>
      <c r="S10" s="152"/>
      <c r="T10" s="152"/>
      <c r="U10" s="152"/>
      <c r="AC10" s="824" t="s">
        <v>358</v>
      </c>
      <c r="AD10" s="824"/>
      <c r="AE10" s="824"/>
      <c r="AF10" s="824"/>
      <c r="AG10" s="824"/>
      <c r="AH10" s="824"/>
      <c r="AJ10" s="824" t="s">
        <v>4</v>
      </c>
      <c r="AK10" s="824"/>
      <c r="AL10" s="824"/>
      <c r="AM10" s="824"/>
      <c r="AN10" s="824"/>
      <c r="AO10" s="824"/>
    </row>
    <row r="11" spans="1:41" ht="20.100000000000001" customHeight="1" x14ac:dyDescent="0.2">
      <c r="D11" s="665"/>
      <c r="M11" s="483" t="str">
        <f>IF(CAIXA.Modo,"Valores Aferidos (R$)","Valores Medidos (R$)")</f>
        <v>Valores Medidos (R$)</v>
      </c>
      <c r="N11" s="483"/>
      <c r="O11" s="483"/>
      <c r="R11" s="374"/>
      <c r="S11" s="374"/>
      <c r="T11" s="483"/>
      <c r="U11" s="483"/>
      <c r="V11" s="480" t="s">
        <v>398</v>
      </c>
      <c r="Y11" s="825" t="str">
        <f>IF(CAIXA.Modo,"Valores Aferidos (R$)","Valores Medidos (R$)")</f>
        <v>Valores Medidos (R$)</v>
      </c>
      <c r="Z11" s="825"/>
      <c r="AC11" s="826" t="s">
        <v>359</v>
      </c>
      <c r="AD11" s="826"/>
      <c r="AE11" s="826"/>
      <c r="AF11" s="826" t="s">
        <v>360</v>
      </c>
      <c r="AG11" s="826"/>
      <c r="AH11" s="826"/>
      <c r="AJ11" s="826" t="s">
        <v>359</v>
      </c>
      <c r="AK11" s="826"/>
      <c r="AL11" s="826"/>
      <c r="AM11" s="826" t="s">
        <v>360</v>
      </c>
      <c r="AN11" s="826"/>
      <c r="AO11" s="826"/>
    </row>
    <row r="12" spans="1:41" hidden="1" x14ac:dyDescent="0.2">
      <c r="A12" t="e">
        <f ca="1">MATCH(E12,ORÇAMENTO!$E$15:$E$89,0)-1</f>
        <v>#N/A</v>
      </c>
      <c r="B12" t="e">
        <f ca="1">IF(ISERROR($A12),NA(),OFFSET(ORÇAMENTO!$D$15,$A12,0))</f>
        <v>#N/A</v>
      </c>
      <c r="C12" t="str">
        <f ca="1">QCI!B12</f>
        <v>Branco</v>
      </c>
      <c r="D12" t="str">
        <f ca="1">IF(L12&gt;0,"F","")</f>
        <v/>
      </c>
      <c r="E12" s="291">
        <f>QCI!D12</f>
        <v>-1</v>
      </c>
      <c r="F12" s="375" t="str">
        <f ca="1">QCI!G12</f>
        <v/>
      </c>
      <c r="G12" s="376">
        <f>QCI!H12</f>
        <v>0</v>
      </c>
      <c r="H12" s="292">
        <f>QCI!I12</f>
        <v>0</v>
      </c>
      <c r="I12" s="292" t="str">
        <f ca="1">QCI!J12</f>
        <v/>
      </c>
      <c r="J12" s="377" t="str">
        <f ca="1">QCI!K12</f>
        <v/>
      </c>
      <c r="K12" s="378" t="str">
        <f ca="1">IF($C12="Automático",IF(ACOMPANHAMENTO="BM",BM.medicao,PLE.Medicao),IF(ISBLANK($X12),"",$X12))</f>
        <v/>
      </c>
      <c r="L12" s="296">
        <f ca="1">QCI!$O12</f>
        <v>0</v>
      </c>
      <c r="M12" s="293">
        <f ca="1">ROUND(IF(C12="Automático",AE12+AL12,Y12),2)</f>
        <v>0</v>
      </c>
      <c r="N12" s="294">
        <f ca="1">O12-M12</f>
        <v>0</v>
      </c>
      <c r="O12" s="295">
        <f ca="1">ROUND(IF(C12="Automático",AH12+AO12,Z12),2)</f>
        <v>0</v>
      </c>
      <c r="P12" s="380">
        <f ca="1">O12/(L12+10^-12)</f>
        <v>0</v>
      </c>
      <c r="R12" s="379">
        <f ca="1">ROUND(IF($C12="Automático",AC12+AJ12,$Y12*IF(ISERROR(QCI!$AA12/QCI!$O12),0,QCI!$AA12/QCI!$O12)),2)</f>
        <v>0</v>
      </c>
      <c r="S12" s="379">
        <f ca="1">ROUND(IF($C12="Automático",AD12+AK12,$Y12*IF(ISERROR(QCI!$AB12/QCI!$O12),0,QCI!$AB12/QCI!$O12)),2)</f>
        <v>0</v>
      </c>
      <c r="T12" s="379">
        <f ca="1">ROUND(IF($C12="Automático",AF12+AM12,$Z12*IF(ISERROR(QCI!$AA12/QCI!$O12),0,QCI!$AA12/QCI!$O12)),2)</f>
        <v>0</v>
      </c>
      <c r="U12" s="379">
        <f ca="1">ROUND(IF($C12="Automático",AG12+AN12,$Z12*IF(ISERROR(QCI!$AB12/QCI!$O12),0,QCI!$AB12/QCI!$O12)),2)</f>
        <v>0</v>
      </c>
      <c r="V12" s="481" t="str">
        <f ca="1">IF(AND($L12&gt;0,$J12&lt;&gt;0,$J12&lt;&gt;"",COUNTIF($J12:$J$13,$J12)=1),OFFSET(V12,-1,0)+1,OFFSET(V12,-1,0))</f>
        <v>Lista CTEFs</v>
      </c>
      <c r="X12" s="553"/>
      <c r="Y12" s="297"/>
      <c r="Z12" s="298"/>
      <c r="AC12" s="192" t="e">
        <f ca="1">IF(ACOMPANHAMENTO&lt;&gt;"PLE",0,SUMPRODUCT((OFFSET(CÁLCULO!$AX$15:$BH$15,$A12,0,$B12)&lt;=(PLE.Medicao-1))*OFFSET(CÁLCULO!$AB$15:$AL$15,$A12,0,$B12)*OFFSET(ORÇAMENTO!$AA$15,$A12,0,$B12)/(OFFSET(ORÇAMENTO!$X$15,$A12,0,$B12)+10^-12))+IF(AUTOEVENTO="Manual",SUMPRODUCT((OFFSET(CÁLCULO!$M$15,$A12,0,$B12)=1)*OFFSET(ORÇAMENTO!$AA$15,$A12,0,$B12)*(PLE!$AE$9-PLE!$Y$9)),0))</f>
        <v>#N/A</v>
      </c>
      <c r="AD12" s="192" t="e">
        <f ca="1">IF(ACOMPANHAMENTO&lt;&gt;"PLE",0,SUMPRODUCT((OFFSET(CÁLCULO!$AX$15:$BH$15,$A12,0,$B12)&lt;=(PLE.Medicao-1))*OFFSET(CÁLCULO!$AB$15:$AL$15,$A12,0,$B12)*OFFSET(ORÇAMENTO!$AB$15,$A12,0,$B12)/(OFFSET(ORÇAMENTO!$X$15,$A12,0,$B12)+10^-12))+IF(AUTOEVENTO="Manual",SUMPRODUCT((OFFSET(CÁLCULO!$M$15,$A12,0,$B12)=1)*OFFSET(ORÇAMENTO!$AB$15,$A12,0,$B12)*(PLE!$AE$9-PLE!$Y$9)),0))</f>
        <v>#N/A</v>
      </c>
      <c r="AE12" s="192" t="e">
        <f ca="1">ROUND(IF(ACOMPANHAMENTO&lt;&gt;"PLE",0,SUMIF(OFFSET(CÁLCULO!$AX$15:$BH$15,$A12,0,$B12),"&lt;="&amp;(PLE.Medicao-1),OFFSET(CÁLCULO!$AB$15:$AL$15,$A12,0,$B12))+IF(AUTOEVENTO="Manual",SUMIF(OFFSET(CÁLCULO!$M$15,$A12,0,$B12),1,OFFSET(ORÇAMENTO!$X$15,$A12,0,$B12))*(PLE!$AE$9-PLE!$Y$9),0)),2)</f>
        <v>#N/A</v>
      </c>
      <c r="AF12" s="192" t="e">
        <f ca="1">IF(ACOMPANHAMENTO&lt;&gt;"PLE",0,SUMPRODUCT((OFFSET(CÁLCULO!$AX$15:$BH$15,$A12,0,$B12)&lt;=PLE.Medicao)*OFFSET(CÁLCULO!$AB$15:$AL$15,$A12,0,$B12)*OFFSET(ORÇAMENTO!$AA$15,$A12,0,$B12)/(OFFSET(ORÇAMENTO!$X$15,$A12,0,$B12)+10^-12))+IF(AUTOEVENTO="Manual",SUMPRODUCT((OFFSET(CÁLCULO!$M$15,$A12,0,$B12)=1)*OFFSET(ORÇAMENTO!$AA$15,$A12,0,$B12)*PLE!$AE$9),0))</f>
        <v>#N/A</v>
      </c>
      <c r="AG12" s="192" t="e">
        <f ca="1">IF(ACOMPANHAMENTO&lt;&gt;"PLE",0,SUMPRODUCT((OFFSET(CÁLCULO!$AX$15:$BH$15,$A12,0,$B12)&lt;=PLE.Medicao)*OFFSET(CÁLCULO!$AB$15:$AL$15,$A12,0,$B12)*OFFSET(ORÇAMENTO!$AB$15,$A12,0,$B12)/(OFFSET(ORÇAMENTO!$X$15,$A12,0,$B12)+10^-12))+IF(AUTOEVENTO="Manual",SUMPRODUCT((OFFSET(CÁLCULO!$M$15,$A12,0,$B12)=1)*OFFSET(ORÇAMENTO!$AB$15,$A12,0,$B12)*PLE!$AE$9),0))</f>
        <v>#N/A</v>
      </c>
      <c r="AH12" s="192" t="e">
        <f ca="1">ROUND(IF(ACOMPANHAMENTO&lt;&gt;"PLE",0,SUMIF(OFFSET(CÁLCULO!$AX$15:$BH$15,$A12,0,$B12),"&lt;="&amp;PLE.Medicao,OFFSET(CÁLCULO!$AB$15:$AL$15,$A12,0,$B12))+IF(AUTOEVENTO="Manual",SUMIF(OFFSET(CÁLCULO!$M$15,$A12,0,$B12),1,OFFSET(ORÇAMENTO!$X$15,$A12,0,$B12))*PLE!$AE$9,0)),2)</f>
        <v>#N/A</v>
      </c>
      <c r="AJ12" s="192">
        <f ca="1">IF(ACOMPANHAMENTO&lt;&gt;"BM",0,SUMPRODUCT(OFFSET(BM!$M$15,$A12,0,$B12)*(OFFSET(BM!$A$15,$A12,0,$B12)="S")*OFFSET(ORÇAMENTO!AA$15,$A12,0,$B12)/(OFFSET(ORÇAMENTO!$X$15,$A12,0,$B12)+10^-12)))</f>
        <v>0</v>
      </c>
      <c r="AK12" s="192">
        <f ca="1">IF(ACOMPANHAMENTO&lt;&gt;"BM",0,SUMPRODUCT(OFFSET(BM!$M$15,$A12,0,$B12)*(OFFSET(BM!$A$15,$A12,0,$B12)="S")*OFFSET(ORÇAMENTO!AB$15,$A12,0,$B12)/(OFFSET(ORÇAMENTO!$X$15,$A12,0,$B12)+10^-12)))</f>
        <v>0</v>
      </c>
      <c r="AL12" s="192">
        <f ca="1">IF(ACOMPANHAMENTO&lt;&gt;"BM",0,OFFSET(BM!$M$15,$A12,0))</f>
        <v>0</v>
      </c>
      <c r="AM12" s="192">
        <f ca="1">IF(ACOMPANHAMENTO&lt;&gt;"BM",0,SUMPRODUCT(OFFSET(BM!$O$15,$A12,0,$B12)*(OFFSET(BM!$A$15,$A12,0,$B12)="S")*OFFSET(ORÇAMENTO!AA$15,$A12,0,$B12)/(OFFSET(ORÇAMENTO!$X$15,$A12,0,$B12)+10^-12)))</f>
        <v>0</v>
      </c>
      <c r="AN12" s="192">
        <f ca="1">IF(ACOMPANHAMENTO&lt;&gt;"BM",0,SUMPRODUCT(OFFSET(BM!$O$15,$A12,0,$B12)*(OFFSET(BM!$A$15,$A12,0,$B12)="S")*OFFSET(ORÇAMENTO!AB$15,$A12,0,$B12)/(OFFSET(ORÇAMENTO!$X$15,$A12,0,$B12)+10^-12)))</f>
        <v>0</v>
      </c>
      <c r="AO12" s="192">
        <f ca="1">IF(ACOMPANHAMENTO&lt;&gt;"BM",0,OFFSET(BM!$O$15,$A12,0))</f>
        <v>0</v>
      </c>
    </row>
    <row r="13" spans="1:41" ht="39.950000000000003" customHeight="1" x14ac:dyDescent="0.2">
      <c r="A13" s="300" t="s">
        <v>361</v>
      </c>
      <c r="B13" s="10" t="s">
        <v>219</v>
      </c>
      <c r="C13" s="300" t="s">
        <v>312</v>
      </c>
      <c r="D13" s="108" t="s">
        <v>215</v>
      </c>
      <c r="E13" s="109" t="s">
        <v>193</v>
      </c>
      <c r="F13" s="109" t="s">
        <v>315</v>
      </c>
      <c r="G13" s="109" t="s">
        <v>160</v>
      </c>
      <c r="H13" s="109" t="s">
        <v>201</v>
      </c>
      <c r="I13" s="109" t="s">
        <v>316</v>
      </c>
      <c r="J13" s="109" t="s">
        <v>317</v>
      </c>
      <c r="K13" s="301" t="s">
        <v>362</v>
      </c>
      <c r="L13" s="109" t="s">
        <v>363</v>
      </c>
      <c r="M13" s="301" t="s">
        <v>359</v>
      </c>
      <c r="N13" s="302" t="s">
        <v>366</v>
      </c>
      <c r="O13" s="303" t="s">
        <v>360</v>
      </c>
      <c r="P13" s="109" t="s">
        <v>369</v>
      </c>
      <c r="R13" s="381" t="s">
        <v>364</v>
      </c>
      <c r="S13" s="381" t="s">
        <v>365</v>
      </c>
      <c r="T13" s="381" t="s">
        <v>367</v>
      </c>
      <c r="U13" s="381" t="s">
        <v>368</v>
      </c>
      <c r="V13" s="482"/>
      <c r="X13" s="301" t="s">
        <v>362</v>
      </c>
      <c r="Y13" s="166" t="s">
        <v>359</v>
      </c>
      <c r="Z13" s="167" t="s">
        <v>360</v>
      </c>
      <c r="AC13" s="111" t="s">
        <v>168</v>
      </c>
      <c r="AD13" s="111" t="s">
        <v>352</v>
      </c>
      <c r="AE13" s="111" t="s">
        <v>354</v>
      </c>
      <c r="AF13" s="111" t="s">
        <v>168</v>
      </c>
      <c r="AG13" s="111" t="s">
        <v>352</v>
      </c>
      <c r="AH13" s="111" t="s">
        <v>354</v>
      </c>
      <c r="AJ13" s="111" t="s">
        <v>168</v>
      </c>
      <c r="AK13" s="111" t="s">
        <v>352</v>
      </c>
      <c r="AL13" s="111" t="s">
        <v>354</v>
      </c>
      <c r="AM13" s="111" t="s">
        <v>168</v>
      </c>
      <c r="AN13" s="111" t="s">
        <v>352</v>
      </c>
      <c r="AO13" s="111" t="s">
        <v>354</v>
      </c>
    </row>
    <row r="14" spans="1:41" x14ac:dyDescent="0.2">
      <c r="A14">
        <f ca="1">MATCH(E14,ORÇAMENTO!$E$15:$E$89,0)-1</f>
        <v>1</v>
      </c>
      <c r="B14">
        <f ca="1">IF(ISERROR($A14),NA(),OFFSET(ORÇAMENTO!$D$15,$A14,0))</f>
        <v>13</v>
      </c>
      <c r="C14" t="str">
        <f ca="1">QCI!B14</f>
        <v>Automático</v>
      </c>
      <c r="D14" t="str">
        <f t="shared" ref="D14:D22" ca="1" si="0">IF(L14&gt;0,"F","")</f>
        <v/>
      </c>
      <c r="E14" s="291">
        <f>QCI!D14</f>
        <v>1</v>
      </c>
      <c r="F14" s="375" t="str">
        <f ca="1">QCI!G14</f>
        <v>REFORMA E AMPLIAÇÃO DE PAVILHÃO</v>
      </c>
      <c r="G14" s="376" t="str">
        <f>QCI!H14</f>
        <v>Em Análise</v>
      </c>
      <c r="H14" s="292">
        <f>QCI!I14</f>
        <v>1</v>
      </c>
      <c r="I14" s="292" t="str">
        <f ca="1">QCI!J14</f>
        <v>un</v>
      </c>
      <c r="J14" s="377" t="str">
        <f ca="1">QCI!K14</f>
        <v>LOTE 1</v>
      </c>
      <c r="K14" s="378">
        <f ca="1">IF($C14="Automático",IF(ACOMPANHAMENTO="BM",BM.medicao,PLE.Medicao),IF(ISBLANK($X14),"",$X14))</f>
        <v>1</v>
      </c>
      <c r="L14" s="296">
        <f ca="1">QCI!$O14</f>
        <v>0</v>
      </c>
      <c r="M14" s="293">
        <f t="shared" ref="M14:M22" ca="1" si="1">ROUND(IF(C14="Automático",AE14+AL14,Y14),2)</f>
        <v>0</v>
      </c>
      <c r="N14" s="294">
        <f t="shared" ref="N14:N22" ca="1" si="2">O14-M14</f>
        <v>0</v>
      </c>
      <c r="O14" s="295">
        <f t="shared" ref="O14:O22" ca="1" si="3">ROUND(IF(C14="Automático",AH14+AO14,Z14),2)</f>
        <v>0</v>
      </c>
      <c r="P14" s="380">
        <f t="shared" ref="P14:P22" ca="1" si="4">O14/(L14+10^-12)</f>
        <v>0</v>
      </c>
      <c r="R14" s="379">
        <f ca="1">ROUND(IF($C14="Automático",AC14+AJ14,$Y14*IF(ISERROR(QCI!$AA14/QCI!$O14),0,QCI!$AA14/QCI!$O14)),2)</f>
        <v>0</v>
      </c>
      <c r="S14" s="379">
        <f ca="1">ROUND(IF($C14="Automático",AD14+AK14,$Y14*IF(ISERROR(QCI!$AB14/QCI!$O14),0,QCI!$AB14/QCI!$O14)),2)</f>
        <v>0</v>
      </c>
      <c r="T14" s="379">
        <f ca="1">ROUND(IF($C14="Automático",AF14+AM14,$Z14*IF(ISERROR(QCI!$AA14/QCI!$O14),0,QCI!$AA14/QCI!$O14)),2)</f>
        <v>0</v>
      </c>
      <c r="U14" s="379">
        <f ca="1">ROUND(IF($C14="Automático",AG14+AN14,$Z14*IF(ISERROR(QCI!$AB14/QCI!$O14),0,QCI!$AB14/QCI!$O14)),2)</f>
        <v>0</v>
      </c>
      <c r="V14" s="481">
        <f ca="1">IF(AND($L14&gt;0,$J14&lt;&gt;0,$J14&lt;&gt;"",COUNTIF($J$13:$J14,$J14)=1),OFFSET(V14,-1,0)+1,OFFSET(V14,-1,0))</f>
        <v>0</v>
      </c>
      <c r="X14" s="553"/>
      <c r="Y14" s="297"/>
      <c r="Z14" s="298"/>
      <c r="AC14" s="192">
        <f ca="1">IF(ACOMPANHAMENTO&lt;&gt;"PLE",0,SUMPRODUCT((OFFSET(CÁLCULO!$AX$15:$BH$15,$A14,0,$B14)&lt;=(PLE.Medicao-1))*OFFSET(CÁLCULO!$AB$15:$AL$15,$A14,0,$B14)*OFFSET(ORÇAMENTO!$AA$15,$A14,0,$B14)/(OFFSET(ORÇAMENTO!$X$15,$A14,0,$B14)+10^-12))+IF(AUTOEVENTO="Manual",SUMPRODUCT((OFFSET(CÁLCULO!$M$15,$A14,0,$B14)=1)*OFFSET(ORÇAMENTO!$AA$15,$A14,0,$B14)*(PLE!$AE$9-PLE!$Y$9)),0))</f>
        <v>0</v>
      </c>
      <c r="AD14" s="192">
        <f ca="1">IF(ACOMPANHAMENTO&lt;&gt;"PLE",0,SUMPRODUCT((OFFSET(CÁLCULO!$AX$15:$BH$15,$A14,0,$B14)&lt;=(PLE.Medicao-1))*OFFSET(CÁLCULO!$AB$15:$AL$15,$A14,0,$B14)*OFFSET(ORÇAMENTO!$AB$15,$A14,0,$B14)/(OFFSET(ORÇAMENTO!$X$15,$A14,0,$B14)+10^-12))+IF(AUTOEVENTO="Manual",SUMPRODUCT((OFFSET(CÁLCULO!$M$15,$A14,0,$B14)=1)*OFFSET(ORÇAMENTO!$AB$15,$A14,0,$B14)*(PLE!$AE$9-PLE!$Y$9)),0))</f>
        <v>0</v>
      </c>
      <c r="AE14" s="192">
        <f ca="1">ROUND(IF(ACOMPANHAMENTO&lt;&gt;"PLE",0,SUMIF(OFFSET(CÁLCULO!$AX$15:$BH$15,$A14,0,$B14),"&lt;="&amp;(PLE.Medicao-1),OFFSET(CÁLCULO!$AB$15:$AL$15,$A14,0,$B14))+IF(AUTOEVENTO="Manual",SUMIF(OFFSET(CÁLCULO!$M$15,$A14,0,$B14),1,OFFSET(ORÇAMENTO!$X$15,$A14,0,$B14))*(PLE!$AE$9-PLE!$Y$9),0)),2)</f>
        <v>0</v>
      </c>
      <c r="AF14" s="192">
        <f ca="1">IF(ACOMPANHAMENTO&lt;&gt;"PLE",0,SUMPRODUCT((OFFSET(CÁLCULO!$AX$15:$BH$15,$A14,0,$B14)&lt;=PLE.Medicao)*OFFSET(CÁLCULO!$AB$15:$AL$15,$A14,0,$B14)*OFFSET(ORÇAMENTO!$AA$15,$A14,0,$B14)/(OFFSET(ORÇAMENTO!$X$15,$A14,0,$B14)+10^-12))+IF(AUTOEVENTO="Manual",SUMPRODUCT((OFFSET(CÁLCULO!$M$15,$A14,0,$B14)=1)*OFFSET(ORÇAMENTO!$AA$15,$A14,0,$B14)*PLE!$AE$9),0))</f>
        <v>0</v>
      </c>
      <c r="AG14" s="192">
        <f ca="1">IF(ACOMPANHAMENTO&lt;&gt;"PLE",0,SUMPRODUCT((OFFSET(CÁLCULO!$AX$15:$BH$15,$A14,0,$B14)&lt;=PLE.Medicao)*OFFSET(CÁLCULO!$AB$15:$AL$15,$A14,0,$B14)*OFFSET(ORÇAMENTO!$AB$15,$A14,0,$B14)/(OFFSET(ORÇAMENTO!$X$15,$A14,0,$B14)+10^-12))+IF(AUTOEVENTO="Manual",SUMPRODUCT((OFFSET(CÁLCULO!$M$15,$A14,0,$B14)=1)*OFFSET(ORÇAMENTO!$AB$15,$A14,0,$B14)*PLE!$AE$9),0))</f>
        <v>0</v>
      </c>
      <c r="AH14" s="192">
        <f ca="1">ROUND(IF(ACOMPANHAMENTO&lt;&gt;"PLE",0,SUMIF(OFFSET(CÁLCULO!$AX$15:$BH$15,$A14,0,$B14),"&lt;="&amp;PLE.Medicao,OFFSET(CÁLCULO!$AB$15:$AL$15,$A14,0,$B14))+IF(AUTOEVENTO="Manual",SUMIF(OFFSET(CÁLCULO!$M$15,$A14,0,$B14),1,OFFSET(ORÇAMENTO!$X$15,$A14,0,$B14))*PLE!$AE$9,0)),2)</f>
        <v>0</v>
      </c>
      <c r="AJ14" s="192">
        <f ca="1">IF(ACOMPANHAMENTO&lt;&gt;"BM",0,SUMPRODUCT(OFFSET(BM!$M$15,$A14,0,$B14)*(OFFSET(BM!$A$15,$A14,0,$B14)="S")*OFFSET(ORÇAMENTO!AA$15,$A14,0,$B14)/(OFFSET(ORÇAMENTO!$X$15,$A14,0,$B14)+10^-12)))</f>
        <v>0</v>
      </c>
      <c r="AK14" s="192">
        <f ca="1">IF(ACOMPANHAMENTO&lt;&gt;"BM",0,SUMPRODUCT(OFFSET(BM!$M$15,$A14,0,$B14)*(OFFSET(BM!$A$15,$A14,0,$B14)="S")*OFFSET(ORÇAMENTO!AB$15,$A14,0,$B14)/(OFFSET(ORÇAMENTO!$X$15,$A14,0,$B14)+10^-12)))</f>
        <v>0</v>
      </c>
      <c r="AL14" s="192">
        <f ca="1">IF(ACOMPANHAMENTO&lt;&gt;"BM",0,OFFSET(BM!$M$15,$A14,0))</f>
        <v>0</v>
      </c>
      <c r="AM14" s="192">
        <f ca="1">IF(ACOMPANHAMENTO&lt;&gt;"BM",0,SUMPRODUCT(OFFSET(BM!$O$15,$A14,0,$B14)*(OFFSET(BM!$A$15,$A14,0,$B14)="S")*OFFSET(ORÇAMENTO!AA$15,$A14,0,$B14)/(OFFSET(ORÇAMENTO!$X$15,$A14,0,$B14)+10^-12)))</f>
        <v>0</v>
      </c>
      <c r="AN14" s="192">
        <f ca="1">IF(ACOMPANHAMENTO&lt;&gt;"BM",0,SUMPRODUCT(OFFSET(BM!$O$15,$A14,0,$B14)*(OFFSET(BM!$A$15,$A14,0,$B14)="S")*OFFSET(ORÇAMENTO!AB$15,$A14,0,$B14)/(OFFSET(ORÇAMENTO!$X$15,$A14,0,$B14)+10^-12)))</f>
        <v>0</v>
      </c>
      <c r="AO14" s="192">
        <f ca="1">IF(ACOMPANHAMENTO&lt;&gt;"BM",0,OFFSET(BM!$O$15,$A14,0))</f>
        <v>0</v>
      </c>
    </row>
    <row r="15" spans="1:41" x14ac:dyDescent="0.2">
      <c r="A15">
        <f ca="1">MATCH(E15,ORÇAMENTO!$E$15:$E$89,0)-1</f>
        <v>14</v>
      </c>
      <c r="B15">
        <f ca="1">IF(ISERROR($A15),NA(),OFFSET(ORÇAMENTO!$D$15,$A15,0))</f>
        <v>60</v>
      </c>
      <c r="C15" t="str">
        <f ca="1">QCI!B15</f>
        <v>Automático</v>
      </c>
      <c r="D15" t="str">
        <f t="shared" ca="1" si="0"/>
        <v/>
      </c>
      <c r="E15" s="291">
        <f>QCI!D15</f>
        <v>2</v>
      </c>
      <c r="F15" s="375" t="str">
        <f ca="1">QCI!G15</f>
        <v>CONSTRUÇÃO DA CHURRASQUEIRA</v>
      </c>
      <c r="G15" s="376" t="str">
        <f>QCI!H15</f>
        <v>Sem Projeto</v>
      </c>
      <c r="H15" s="292">
        <f>QCI!I15</f>
        <v>1</v>
      </c>
      <c r="I15" s="292" t="str">
        <f ca="1">QCI!J15</f>
        <v>un</v>
      </c>
      <c r="J15" s="377" t="str">
        <f ca="1">QCI!K15</f>
        <v>LOTE 1</v>
      </c>
      <c r="K15" s="378">
        <f ca="1">IF($C15="Automático",IF(ACOMPANHAMENTO="BM",BM.medicao,PLE.Medicao),IF(ISBLANK($X15),"",$X15))</f>
        <v>1</v>
      </c>
      <c r="L15" s="296">
        <f ca="1">QCI!$O15</f>
        <v>0</v>
      </c>
      <c r="M15" s="293">
        <f t="shared" ca="1" si="1"/>
        <v>0</v>
      </c>
      <c r="N15" s="294">
        <f t="shared" ca="1" si="2"/>
        <v>0</v>
      </c>
      <c r="O15" s="295">
        <f t="shared" ca="1" si="3"/>
        <v>0</v>
      </c>
      <c r="P15" s="380">
        <f t="shared" ca="1" si="4"/>
        <v>0</v>
      </c>
      <c r="R15" s="379">
        <f ca="1">ROUND(IF($C15="Automático",AC15+AJ15,$Y15*IF(ISERROR(QCI!$AA15/QCI!$O15),0,QCI!$AA15/QCI!$O15)),2)</f>
        <v>0</v>
      </c>
      <c r="S15" s="379">
        <f ca="1">ROUND(IF($C15="Automático",AD15+AK15,$Y15*IF(ISERROR(QCI!$AB15/QCI!$O15),0,QCI!$AB15/QCI!$O15)),2)</f>
        <v>0</v>
      </c>
      <c r="T15" s="379">
        <f ca="1">ROUND(IF($C15="Automático",AF15+AM15,$Z15*IF(ISERROR(QCI!$AA15/QCI!$O15),0,QCI!$AA15/QCI!$O15)),2)</f>
        <v>0</v>
      </c>
      <c r="U15" s="379">
        <f ca="1">ROUND(IF($C15="Automático",AG15+AN15,$Z15*IF(ISERROR(QCI!$AB15/QCI!$O15),0,QCI!$AB15/QCI!$O15)),2)</f>
        <v>0</v>
      </c>
      <c r="V15" s="481">
        <f ca="1">IF(AND($L15&gt;0,$J15&lt;&gt;0,$J15&lt;&gt;"",COUNTIF($J$13:$J15,$J15)=1),OFFSET(V15,-1,0)+1,OFFSET(V15,-1,0))</f>
        <v>0</v>
      </c>
      <c r="X15" s="553"/>
      <c r="Y15" s="297"/>
      <c r="Z15" s="298"/>
      <c r="AC15" s="192">
        <f ca="1">IF(ACOMPANHAMENTO&lt;&gt;"PLE",0,SUMPRODUCT((OFFSET(CÁLCULO!$AX$15:$BH$15,$A15,0,$B15)&lt;=(PLE.Medicao-1))*OFFSET(CÁLCULO!$AB$15:$AL$15,$A15,0,$B15)*OFFSET(ORÇAMENTO!$AA$15,$A15,0,$B15)/(OFFSET(ORÇAMENTO!$X$15,$A15,0,$B15)+10^-12))+IF(AUTOEVENTO="Manual",SUMPRODUCT((OFFSET(CÁLCULO!$M$15,$A15,0,$B15)=1)*OFFSET(ORÇAMENTO!$AA$15,$A15,0,$B15)*(PLE!$AE$9-PLE!$Y$9)),0))</f>
        <v>0</v>
      </c>
      <c r="AD15" s="192">
        <f ca="1">IF(ACOMPANHAMENTO&lt;&gt;"PLE",0,SUMPRODUCT((OFFSET(CÁLCULO!$AX$15:$BH$15,$A15,0,$B15)&lt;=(PLE.Medicao-1))*OFFSET(CÁLCULO!$AB$15:$AL$15,$A15,0,$B15)*OFFSET(ORÇAMENTO!$AB$15,$A15,0,$B15)/(OFFSET(ORÇAMENTO!$X$15,$A15,0,$B15)+10^-12))+IF(AUTOEVENTO="Manual",SUMPRODUCT((OFFSET(CÁLCULO!$M$15,$A15,0,$B15)=1)*OFFSET(ORÇAMENTO!$AB$15,$A15,0,$B15)*(PLE!$AE$9-PLE!$Y$9)),0))</f>
        <v>0</v>
      </c>
      <c r="AE15" s="192">
        <f ca="1">ROUND(IF(ACOMPANHAMENTO&lt;&gt;"PLE",0,SUMIF(OFFSET(CÁLCULO!$AX$15:$BH$15,$A15,0,$B15),"&lt;="&amp;(PLE.Medicao-1),OFFSET(CÁLCULO!$AB$15:$AL$15,$A15,0,$B15))+IF(AUTOEVENTO="Manual",SUMIF(OFFSET(CÁLCULO!$M$15,$A15,0,$B15),1,OFFSET(ORÇAMENTO!$X$15,$A15,0,$B15))*(PLE!$AE$9-PLE!$Y$9),0)),2)</f>
        <v>0</v>
      </c>
      <c r="AF15" s="192">
        <f ca="1">IF(ACOMPANHAMENTO&lt;&gt;"PLE",0,SUMPRODUCT((OFFSET(CÁLCULO!$AX$15:$BH$15,$A15,0,$B15)&lt;=PLE.Medicao)*OFFSET(CÁLCULO!$AB$15:$AL$15,$A15,0,$B15)*OFFSET(ORÇAMENTO!$AA$15,$A15,0,$B15)/(OFFSET(ORÇAMENTO!$X$15,$A15,0,$B15)+10^-12))+IF(AUTOEVENTO="Manual",SUMPRODUCT((OFFSET(CÁLCULO!$M$15,$A15,0,$B15)=1)*OFFSET(ORÇAMENTO!$AA$15,$A15,0,$B15)*PLE!$AE$9),0))</f>
        <v>0</v>
      </c>
      <c r="AG15" s="192">
        <f ca="1">IF(ACOMPANHAMENTO&lt;&gt;"PLE",0,SUMPRODUCT((OFFSET(CÁLCULO!$AX$15:$BH$15,$A15,0,$B15)&lt;=PLE.Medicao)*OFFSET(CÁLCULO!$AB$15:$AL$15,$A15,0,$B15)*OFFSET(ORÇAMENTO!$AB$15,$A15,0,$B15)/(OFFSET(ORÇAMENTO!$X$15,$A15,0,$B15)+10^-12))+IF(AUTOEVENTO="Manual",SUMPRODUCT((OFFSET(CÁLCULO!$M$15,$A15,0,$B15)=1)*OFFSET(ORÇAMENTO!$AB$15,$A15,0,$B15)*PLE!$AE$9),0))</f>
        <v>0</v>
      </c>
      <c r="AH15" s="192">
        <f ca="1">ROUND(IF(ACOMPANHAMENTO&lt;&gt;"PLE",0,SUMIF(OFFSET(CÁLCULO!$AX$15:$BH$15,$A15,0,$B15),"&lt;="&amp;PLE.Medicao,OFFSET(CÁLCULO!$AB$15:$AL$15,$A15,0,$B15))+IF(AUTOEVENTO="Manual",SUMIF(OFFSET(CÁLCULO!$M$15,$A15,0,$B15),1,OFFSET(ORÇAMENTO!$X$15,$A15,0,$B15))*PLE!$AE$9,0)),2)</f>
        <v>0</v>
      </c>
      <c r="AJ15" s="192">
        <f ca="1">IF(ACOMPANHAMENTO&lt;&gt;"BM",0,SUMPRODUCT(OFFSET(BM!$M$15,$A15,0,$B15)*(OFFSET(BM!$A$15,$A15,0,$B15)="S")*OFFSET(ORÇAMENTO!AA$15,$A15,0,$B15)/(OFFSET(ORÇAMENTO!$X$15,$A15,0,$B15)+10^-12)))</f>
        <v>0</v>
      </c>
      <c r="AK15" s="192">
        <f ca="1">IF(ACOMPANHAMENTO&lt;&gt;"BM",0,SUMPRODUCT(OFFSET(BM!$M$15,$A15,0,$B15)*(OFFSET(BM!$A$15,$A15,0,$B15)="S")*OFFSET(ORÇAMENTO!AB$15,$A15,0,$B15)/(OFFSET(ORÇAMENTO!$X$15,$A15,0,$B15)+10^-12)))</f>
        <v>0</v>
      </c>
      <c r="AL15" s="192">
        <f ca="1">IF(ACOMPANHAMENTO&lt;&gt;"BM",0,OFFSET(BM!$M$15,$A15,0))</f>
        <v>0</v>
      </c>
      <c r="AM15" s="192">
        <f ca="1">IF(ACOMPANHAMENTO&lt;&gt;"BM",0,SUMPRODUCT(OFFSET(BM!$O$15,$A15,0,$B15)*(OFFSET(BM!$A$15,$A15,0,$B15)="S")*OFFSET(ORÇAMENTO!AA$15,$A15,0,$B15)/(OFFSET(ORÇAMENTO!$X$15,$A15,0,$B15)+10^-12)))</f>
        <v>0</v>
      </c>
      <c r="AN15" s="192">
        <f ca="1">IF(ACOMPANHAMENTO&lt;&gt;"BM",0,SUMPRODUCT(OFFSET(BM!$O$15,$A15,0,$B15)*(OFFSET(BM!$A$15,$A15,0,$B15)="S")*OFFSET(ORÇAMENTO!AB$15,$A15,0,$B15)/(OFFSET(ORÇAMENTO!$X$15,$A15,0,$B15)+10^-12)))</f>
        <v>0</v>
      </c>
      <c r="AO15" s="192">
        <f ca="1">IF(ACOMPANHAMENTO&lt;&gt;"BM",0,OFFSET(BM!$O$15,$A15,0))</f>
        <v>0</v>
      </c>
    </row>
    <row r="16" spans="1:41" x14ac:dyDescent="0.2">
      <c r="A16" t="e">
        <f ca="1">MATCH(E16,ORÇAMENTO!$E$15:$E$89,0)-1</f>
        <v>#N/A</v>
      </c>
      <c r="B16" t="e">
        <f ca="1">IF(ISERROR($A16),NA(),OFFSET(ORÇAMENTO!$D$15,$A16,0))</f>
        <v>#N/A</v>
      </c>
      <c r="C16" t="str">
        <f ca="1">QCI!B16</f>
        <v>Branco</v>
      </c>
      <c r="D16" t="str">
        <f t="shared" ca="1" si="0"/>
        <v/>
      </c>
      <c r="E16" s="291">
        <f>QCI!D16</f>
        <v>3</v>
      </c>
      <c r="F16" s="375" t="str">
        <f ca="1">QCI!G16</f>
        <v/>
      </c>
      <c r="G16" s="376" t="str">
        <f>QCI!H16</f>
        <v>Em Análise</v>
      </c>
      <c r="H16" s="292">
        <f>QCI!I16</f>
        <v>1</v>
      </c>
      <c r="I16" s="292" t="str">
        <f ca="1">QCI!J16</f>
        <v>un</v>
      </c>
      <c r="J16" s="377" t="str">
        <f ca="1">QCI!K16</f>
        <v/>
      </c>
      <c r="K16" s="378" t="str">
        <f ca="1">IF($C16="Automático",IF(ACOMPANHAMENTO="BM",BM.medicao,PLE.Medicao),IF(ISBLANK($X16),"",$X16))</f>
        <v/>
      </c>
      <c r="L16" s="296">
        <f ca="1">QCI!$O16</f>
        <v>0</v>
      </c>
      <c r="M16" s="293">
        <f t="shared" ca="1" si="1"/>
        <v>0</v>
      </c>
      <c r="N16" s="294">
        <f t="shared" ca="1" si="2"/>
        <v>0</v>
      </c>
      <c r="O16" s="295">
        <f t="shared" ca="1" si="3"/>
        <v>0</v>
      </c>
      <c r="P16" s="380">
        <f t="shared" ca="1" si="4"/>
        <v>0</v>
      </c>
      <c r="R16" s="379">
        <f ca="1">ROUND(IF($C16="Automático",AC16+AJ16,$Y16*IF(ISERROR(QCI!$AA16/QCI!$O16),0,QCI!$AA16/QCI!$O16)),2)</f>
        <v>0</v>
      </c>
      <c r="S16" s="379">
        <f ca="1">ROUND(IF($C16="Automático",AD16+AK16,$Y16*IF(ISERROR(QCI!$AB16/QCI!$O16),0,QCI!$AB16/QCI!$O16)),2)</f>
        <v>0</v>
      </c>
      <c r="T16" s="379">
        <f ca="1">ROUND(IF($C16="Automático",AF16+AM16,$Z16*IF(ISERROR(QCI!$AA16/QCI!$O16),0,QCI!$AA16/QCI!$O16)),2)</f>
        <v>0</v>
      </c>
      <c r="U16" s="379">
        <f ca="1">ROUND(IF($C16="Automático",AG16+AN16,$Z16*IF(ISERROR(QCI!$AB16/QCI!$O16),0,QCI!$AB16/QCI!$O16)),2)</f>
        <v>0</v>
      </c>
      <c r="V16" s="481">
        <f ca="1">IF(AND($L16&gt;0,$J16&lt;&gt;0,$J16&lt;&gt;"",COUNTIF($J$13:$J16,$J16)=1),OFFSET(V16,-1,0)+1,OFFSET(V16,-1,0))</f>
        <v>0</v>
      </c>
      <c r="X16" s="553"/>
      <c r="Y16" s="297"/>
      <c r="Z16" s="298"/>
      <c r="AC16" s="192" t="e">
        <f ca="1">IF(ACOMPANHAMENTO&lt;&gt;"PLE",0,SUMPRODUCT((OFFSET(CÁLCULO!$AX$15:$BH$15,$A16,0,$B16)&lt;=(PLE.Medicao-1))*OFFSET(CÁLCULO!$AB$15:$AL$15,$A16,0,$B16)*OFFSET(ORÇAMENTO!$AA$15,$A16,0,$B16)/(OFFSET(ORÇAMENTO!$X$15,$A16,0,$B16)+10^-12))+IF(AUTOEVENTO="Manual",SUMPRODUCT((OFFSET(CÁLCULO!$M$15,$A16,0,$B16)=1)*OFFSET(ORÇAMENTO!$AA$15,$A16,0,$B16)*(PLE!$AE$9-PLE!$Y$9)),0))</f>
        <v>#N/A</v>
      </c>
      <c r="AD16" s="192" t="e">
        <f ca="1">IF(ACOMPANHAMENTO&lt;&gt;"PLE",0,SUMPRODUCT((OFFSET(CÁLCULO!$AX$15:$BH$15,$A16,0,$B16)&lt;=(PLE.Medicao-1))*OFFSET(CÁLCULO!$AB$15:$AL$15,$A16,0,$B16)*OFFSET(ORÇAMENTO!$AB$15,$A16,0,$B16)/(OFFSET(ORÇAMENTO!$X$15,$A16,0,$B16)+10^-12))+IF(AUTOEVENTO="Manual",SUMPRODUCT((OFFSET(CÁLCULO!$M$15,$A16,0,$B16)=1)*OFFSET(ORÇAMENTO!$AB$15,$A16,0,$B16)*(PLE!$AE$9-PLE!$Y$9)),0))</f>
        <v>#N/A</v>
      </c>
      <c r="AE16" s="192" t="e">
        <f ca="1">ROUND(IF(ACOMPANHAMENTO&lt;&gt;"PLE",0,SUMIF(OFFSET(CÁLCULO!$AX$15:$BH$15,$A16,0,$B16),"&lt;="&amp;(PLE.Medicao-1),OFFSET(CÁLCULO!$AB$15:$AL$15,$A16,0,$B16))+IF(AUTOEVENTO="Manual",SUMIF(OFFSET(CÁLCULO!$M$15,$A16,0,$B16),1,OFFSET(ORÇAMENTO!$X$15,$A16,0,$B16))*(PLE!$AE$9-PLE!$Y$9),0)),2)</f>
        <v>#N/A</v>
      </c>
      <c r="AF16" s="192" t="e">
        <f ca="1">IF(ACOMPANHAMENTO&lt;&gt;"PLE",0,SUMPRODUCT((OFFSET(CÁLCULO!$AX$15:$BH$15,$A16,0,$B16)&lt;=PLE.Medicao)*OFFSET(CÁLCULO!$AB$15:$AL$15,$A16,0,$B16)*OFFSET(ORÇAMENTO!$AA$15,$A16,0,$B16)/(OFFSET(ORÇAMENTO!$X$15,$A16,0,$B16)+10^-12))+IF(AUTOEVENTO="Manual",SUMPRODUCT((OFFSET(CÁLCULO!$M$15,$A16,0,$B16)=1)*OFFSET(ORÇAMENTO!$AA$15,$A16,0,$B16)*PLE!$AE$9),0))</f>
        <v>#N/A</v>
      </c>
      <c r="AG16" s="192" t="e">
        <f ca="1">IF(ACOMPANHAMENTO&lt;&gt;"PLE",0,SUMPRODUCT((OFFSET(CÁLCULO!$AX$15:$BH$15,$A16,0,$B16)&lt;=PLE.Medicao)*OFFSET(CÁLCULO!$AB$15:$AL$15,$A16,0,$B16)*OFFSET(ORÇAMENTO!$AB$15,$A16,0,$B16)/(OFFSET(ORÇAMENTO!$X$15,$A16,0,$B16)+10^-12))+IF(AUTOEVENTO="Manual",SUMPRODUCT((OFFSET(CÁLCULO!$M$15,$A16,0,$B16)=1)*OFFSET(ORÇAMENTO!$AB$15,$A16,0,$B16)*PLE!$AE$9),0))</f>
        <v>#N/A</v>
      </c>
      <c r="AH16" s="192" t="e">
        <f ca="1">ROUND(IF(ACOMPANHAMENTO&lt;&gt;"PLE",0,SUMIF(OFFSET(CÁLCULO!$AX$15:$BH$15,$A16,0,$B16),"&lt;="&amp;PLE.Medicao,OFFSET(CÁLCULO!$AB$15:$AL$15,$A16,0,$B16))+IF(AUTOEVENTO="Manual",SUMIF(OFFSET(CÁLCULO!$M$15,$A16,0,$B16),1,OFFSET(ORÇAMENTO!$X$15,$A16,0,$B16))*PLE!$AE$9,0)),2)</f>
        <v>#N/A</v>
      </c>
      <c r="AJ16" s="192">
        <f ca="1">IF(ACOMPANHAMENTO&lt;&gt;"BM",0,SUMPRODUCT(OFFSET(BM!$M$15,$A16,0,$B16)*(OFFSET(BM!$A$15,$A16,0,$B16)="S")*OFFSET(ORÇAMENTO!AA$15,$A16,0,$B16)/(OFFSET(ORÇAMENTO!$X$15,$A16,0,$B16)+10^-12)))</f>
        <v>0</v>
      </c>
      <c r="AK16" s="192">
        <f ca="1">IF(ACOMPANHAMENTO&lt;&gt;"BM",0,SUMPRODUCT(OFFSET(BM!$M$15,$A16,0,$B16)*(OFFSET(BM!$A$15,$A16,0,$B16)="S")*OFFSET(ORÇAMENTO!AB$15,$A16,0,$B16)/(OFFSET(ORÇAMENTO!$X$15,$A16,0,$B16)+10^-12)))</f>
        <v>0</v>
      </c>
      <c r="AL16" s="192">
        <f ca="1">IF(ACOMPANHAMENTO&lt;&gt;"BM",0,OFFSET(BM!$M$15,$A16,0))</f>
        <v>0</v>
      </c>
      <c r="AM16" s="192">
        <f ca="1">IF(ACOMPANHAMENTO&lt;&gt;"BM",0,SUMPRODUCT(OFFSET(BM!$O$15,$A16,0,$B16)*(OFFSET(BM!$A$15,$A16,0,$B16)="S")*OFFSET(ORÇAMENTO!AA$15,$A16,0,$B16)/(OFFSET(ORÇAMENTO!$X$15,$A16,0,$B16)+10^-12)))</f>
        <v>0</v>
      </c>
      <c r="AN16" s="192">
        <f ca="1">IF(ACOMPANHAMENTO&lt;&gt;"BM",0,SUMPRODUCT(OFFSET(BM!$O$15,$A16,0,$B16)*(OFFSET(BM!$A$15,$A16,0,$B16)="S")*OFFSET(ORÇAMENTO!AB$15,$A16,0,$B16)/(OFFSET(ORÇAMENTO!$X$15,$A16,0,$B16)+10^-12)))</f>
        <v>0</v>
      </c>
      <c r="AO16" s="192">
        <f ca="1">IF(ACOMPANHAMENTO&lt;&gt;"BM",0,OFFSET(BM!$O$15,$A16,0))</f>
        <v>0</v>
      </c>
    </row>
    <row r="17" spans="1:41" x14ac:dyDescent="0.2">
      <c r="A17" t="e">
        <f ca="1">MATCH(E17,ORÇAMENTO!$E$15:$E$89,0)-1</f>
        <v>#N/A</v>
      </c>
      <c r="B17" t="e">
        <f ca="1">IF(ISERROR($A17),NA(),OFFSET(ORÇAMENTO!$D$15,$A17,0))</f>
        <v>#N/A</v>
      </c>
      <c r="C17" t="str">
        <f ca="1">QCI!B17</f>
        <v>Branco</v>
      </c>
      <c r="D17" t="str">
        <f t="shared" ca="1" si="0"/>
        <v/>
      </c>
      <c r="E17" s="291">
        <f>QCI!D17</f>
        <v>4</v>
      </c>
      <c r="F17" s="375" t="str">
        <f ca="1">QCI!G17</f>
        <v/>
      </c>
      <c r="G17" s="376" t="str">
        <f>QCI!H17</f>
        <v>Em Análise</v>
      </c>
      <c r="H17" s="292">
        <f>QCI!I17</f>
        <v>1</v>
      </c>
      <c r="I17" s="292" t="str">
        <f ca="1">QCI!J17</f>
        <v>un</v>
      </c>
      <c r="J17" s="377" t="str">
        <f ca="1">QCI!K17</f>
        <v/>
      </c>
      <c r="K17" s="378" t="str">
        <f ca="1">IF($C17="Automático",IF(ACOMPANHAMENTO="BM",BM.medicao,PLE.Medicao),IF(ISBLANK($X17),"",$X17))</f>
        <v/>
      </c>
      <c r="L17" s="296">
        <f ca="1">QCI!$O17</f>
        <v>0</v>
      </c>
      <c r="M17" s="293">
        <f t="shared" ca="1" si="1"/>
        <v>0</v>
      </c>
      <c r="N17" s="294">
        <f t="shared" ca="1" si="2"/>
        <v>0</v>
      </c>
      <c r="O17" s="295">
        <f t="shared" ca="1" si="3"/>
        <v>0</v>
      </c>
      <c r="P17" s="380">
        <f t="shared" ca="1" si="4"/>
        <v>0</v>
      </c>
      <c r="R17" s="379">
        <f ca="1">ROUND(IF($C17="Automático",AC17+AJ17,$Y17*IF(ISERROR(QCI!$AA17/QCI!$O17),0,QCI!$AA17/QCI!$O17)),2)</f>
        <v>0</v>
      </c>
      <c r="S17" s="379">
        <f ca="1">ROUND(IF($C17="Automático",AD17+AK17,$Y17*IF(ISERROR(QCI!$AB17/QCI!$O17),0,QCI!$AB17/QCI!$O17)),2)</f>
        <v>0</v>
      </c>
      <c r="T17" s="379">
        <f ca="1">ROUND(IF($C17="Automático",AF17+AM17,$Z17*IF(ISERROR(QCI!$AA17/QCI!$O17),0,QCI!$AA17/QCI!$O17)),2)</f>
        <v>0</v>
      </c>
      <c r="U17" s="379">
        <f ca="1">ROUND(IF($C17="Automático",AG17+AN17,$Z17*IF(ISERROR(QCI!$AB17/QCI!$O17),0,QCI!$AB17/QCI!$O17)),2)</f>
        <v>0</v>
      </c>
      <c r="V17" s="481">
        <f ca="1">IF(AND($L17&gt;0,$J17&lt;&gt;0,$J17&lt;&gt;"",COUNTIF($J$13:$J17,$J17)=1),OFFSET(V17,-1,0)+1,OFFSET(V17,-1,0))</f>
        <v>0</v>
      </c>
      <c r="X17" s="553"/>
      <c r="Y17" s="297"/>
      <c r="Z17" s="298"/>
      <c r="AC17" s="192" t="e">
        <f ca="1">IF(ACOMPANHAMENTO&lt;&gt;"PLE",0,SUMPRODUCT((OFFSET(CÁLCULO!$AX$15:$BH$15,$A17,0,$B17)&lt;=(PLE.Medicao-1))*OFFSET(CÁLCULO!$AB$15:$AL$15,$A17,0,$B17)*OFFSET(ORÇAMENTO!$AA$15,$A17,0,$B17)/(OFFSET(ORÇAMENTO!$X$15,$A17,0,$B17)+10^-12))+IF(AUTOEVENTO="Manual",SUMPRODUCT((OFFSET(CÁLCULO!$M$15,$A17,0,$B17)=1)*OFFSET(ORÇAMENTO!$AA$15,$A17,0,$B17)*(PLE!$AE$9-PLE!$Y$9)),0))</f>
        <v>#N/A</v>
      </c>
      <c r="AD17" s="192" t="e">
        <f ca="1">IF(ACOMPANHAMENTO&lt;&gt;"PLE",0,SUMPRODUCT((OFFSET(CÁLCULO!$AX$15:$BH$15,$A17,0,$B17)&lt;=(PLE.Medicao-1))*OFFSET(CÁLCULO!$AB$15:$AL$15,$A17,0,$B17)*OFFSET(ORÇAMENTO!$AB$15,$A17,0,$B17)/(OFFSET(ORÇAMENTO!$X$15,$A17,0,$B17)+10^-12))+IF(AUTOEVENTO="Manual",SUMPRODUCT((OFFSET(CÁLCULO!$M$15,$A17,0,$B17)=1)*OFFSET(ORÇAMENTO!$AB$15,$A17,0,$B17)*(PLE!$AE$9-PLE!$Y$9)),0))</f>
        <v>#N/A</v>
      </c>
      <c r="AE17" s="192" t="e">
        <f ca="1">ROUND(IF(ACOMPANHAMENTO&lt;&gt;"PLE",0,SUMIF(OFFSET(CÁLCULO!$AX$15:$BH$15,$A17,0,$B17),"&lt;="&amp;(PLE.Medicao-1),OFFSET(CÁLCULO!$AB$15:$AL$15,$A17,0,$B17))+IF(AUTOEVENTO="Manual",SUMIF(OFFSET(CÁLCULO!$M$15,$A17,0,$B17),1,OFFSET(ORÇAMENTO!$X$15,$A17,0,$B17))*(PLE!$AE$9-PLE!$Y$9),0)),2)</f>
        <v>#N/A</v>
      </c>
      <c r="AF17" s="192" t="e">
        <f ca="1">IF(ACOMPANHAMENTO&lt;&gt;"PLE",0,SUMPRODUCT((OFFSET(CÁLCULO!$AX$15:$BH$15,$A17,0,$B17)&lt;=PLE.Medicao)*OFFSET(CÁLCULO!$AB$15:$AL$15,$A17,0,$B17)*OFFSET(ORÇAMENTO!$AA$15,$A17,0,$B17)/(OFFSET(ORÇAMENTO!$X$15,$A17,0,$B17)+10^-12))+IF(AUTOEVENTO="Manual",SUMPRODUCT((OFFSET(CÁLCULO!$M$15,$A17,0,$B17)=1)*OFFSET(ORÇAMENTO!$AA$15,$A17,0,$B17)*PLE!$AE$9),0))</f>
        <v>#N/A</v>
      </c>
      <c r="AG17" s="192" t="e">
        <f ca="1">IF(ACOMPANHAMENTO&lt;&gt;"PLE",0,SUMPRODUCT((OFFSET(CÁLCULO!$AX$15:$BH$15,$A17,0,$B17)&lt;=PLE.Medicao)*OFFSET(CÁLCULO!$AB$15:$AL$15,$A17,0,$B17)*OFFSET(ORÇAMENTO!$AB$15,$A17,0,$B17)/(OFFSET(ORÇAMENTO!$X$15,$A17,0,$B17)+10^-12))+IF(AUTOEVENTO="Manual",SUMPRODUCT((OFFSET(CÁLCULO!$M$15,$A17,0,$B17)=1)*OFFSET(ORÇAMENTO!$AB$15,$A17,0,$B17)*PLE!$AE$9),0))</f>
        <v>#N/A</v>
      </c>
      <c r="AH17" s="192" t="e">
        <f ca="1">ROUND(IF(ACOMPANHAMENTO&lt;&gt;"PLE",0,SUMIF(OFFSET(CÁLCULO!$AX$15:$BH$15,$A17,0,$B17),"&lt;="&amp;PLE.Medicao,OFFSET(CÁLCULO!$AB$15:$AL$15,$A17,0,$B17))+IF(AUTOEVENTO="Manual",SUMIF(OFFSET(CÁLCULO!$M$15,$A17,0,$B17),1,OFFSET(ORÇAMENTO!$X$15,$A17,0,$B17))*PLE!$AE$9,0)),2)</f>
        <v>#N/A</v>
      </c>
      <c r="AJ17" s="192">
        <f ca="1">IF(ACOMPANHAMENTO&lt;&gt;"BM",0,SUMPRODUCT(OFFSET(BM!$M$15,$A17,0,$B17)*(OFFSET(BM!$A$15,$A17,0,$B17)="S")*OFFSET(ORÇAMENTO!AA$15,$A17,0,$B17)/(OFFSET(ORÇAMENTO!$X$15,$A17,0,$B17)+10^-12)))</f>
        <v>0</v>
      </c>
      <c r="AK17" s="192">
        <f ca="1">IF(ACOMPANHAMENTO&lt;&gt;"BM",0,SUMPRODUCT(OFFSET(BM!$M$15,$A17,0,$B17)*(OFFSET(BM!$A$15,$A17,0,$B17)="S")*OFFSET(ORÇAMENTO!AB$15,$A17,0,$B17)/(OFFSET(ORÇAMENTO!$X$15,$A17,0,$B17)+10^-12)))</f>
        <v>0</v>
      </c>
      <c r="AL17" s="192">
        <f ca="1">IF(ACOMPANHAMENTO&lt;&gt;"BM",0,OFFSET(BM!$M$15,$A17,0))</f>
        <v>0</v>
      </c>
      <c r="AM17" s="192">
        <f ca="1">IF(ACOMPANHAMENTO&lt;&gt;"BM",0,SUMPRODUCT(OFFSET(BM!$O$15,$A17,0,$B17)*(OFFSET(BM!$A$15,$A17,0,$B17)="S")*OFFSET(ORÇAMENTO!AA$15,$A17,0,$B17)/(OFFSET(ORÇAMENTO!$X$15,$A17,0,$B17)+10^-12)))</f>
        <v>0</v>
      </c>
      <c r="AN17" s="192">
        <f ca="1">IF(ACOMPANHAMENTO&lt;&gt;"BM",0,SUMPRODUCT(OFFSET(BM!$O$15,$A17,0,$B17)*(OFFSET(BM!$A$15,$A17,0,$B17)="S")*OFFSET(ORÇAMENTO!AB$15,$A17,0,$B17)/(OFFSET(ORÇAMENTO!$X$15,$A17,0,$B17)+10^-12)))</f>
        <v>0</v>
      </c>
      <c r="AO17" s="192">
        <f ca="1">IF(ACOMPANHAMENTO&lt;&gt;"BM",0,OFFSET(BM!$O$15,$A17,0))</f>
        <v>0</v>
      </c>
    </row>
    <row r="18" spans="1:41" x14ac:dyDescent="0.2">
      <c r="A18" t="e">
        <f ca="1">MATCH(E18,ORÇAMENTO!$E$15:$E$89,0)-1</f>
        <v>#N/A</v>
      </c>
      <c r="B18" t="e">
        <f ca="1">IF(ISERROR($A18),NA(),OFFSET(ORÇAMENTO!$D$15,$A18,0))</f>
        <v>#N/A</v>
      </c>
      <c r="C18" t="str">
        <f ca="1">QCI!B18</f>
        <v>Branco</v>
      </c>
      <c r="D18" t="str">
        <f t="shared" ca="1" si="0"/>
        <v/>
      </c>
      <c r="E18" s="291">
        <f>QCI!D18</f>
        <v>5</v>
      </c>
      <c r="F18" s="375" t="str">
        <f ca="1">QCI!G18</f>
        <v/>
      </c>
      <c r="G18" s="376" t="str">
        <f>QCI!H18</f>
        <v>Em Análise</v>
      </c>
      <c r="H18" s="292">
        <f>QCI!I18</f>
        <v>1</v>
      </c>
      <c r="I18" s="292" t="str">
        <f ca="1">QCI!J18</f>
        <v>un</v>
      </c>
      <c r="J18" s="377" t="str">
        <f ca="1">QCI!K18</f>
        <v/>
      </c>
      <c r="K18" s="378" t="str">
        <f ca="1">IF($C18="Automático",IF(ACOMPANHAMENTO="BM",BM.medicao,PLE.Medicao),IF(ISBLANK($X18),"",$X18))</f>
        <v/>
      </c>
      <c r="L18" s="296">
        <f ca="1">QCI!$O18</f>
        <v>0</v>
      </c>
      <c r="M18" s="293">
        <f t="shared" ca="1" si="1"/>
        <v>0</v>
      </c>
      <c r="N18" s="294">
        <f t="shared" ca="1" si="2"/>
        <v>0</v>
      </c>
      <c r="O18" s="295">
        <f t="shared" ca="1" si="3"/>
        <v>0</v>
      </c>
      <c r="P18" s="380">
        <f t="shared" ca="1" si="4"/>
        <v>0</v>
      </c>
      <c r="R18" s="379">
        <f ca="1">ROUND(IF($C18="Automático",AC18+AJ18,$Y18*IF(ISERROR(QCI!$AA18/QCI!$O18),0,QCI!$AA18/QCI!$O18)),2)</f>
        <v>0</v>
      </c>
      <c r="S18" s="379">
        <f ca="1">ROUND(IF($C18="Automático",AD18+AK18,$Y18*IF(ISERROR(QCI!$AB18/QCI!$O18),0,QCI!$AB18/QCI!$O18)),2)</f>
        <v>0</v>
      </c>
      <c r="T18" s="379">
        <f ca="1">ROUND(IF($C18="Automático",AF18+AM18,$Z18*IF(ISERROR(QCI!$AA18/QCI!$O18),0,QCI!$AA18/QCI!$O18)),2)</f>
        <v>0</v>
      </c>
      <c r="U18" s="379">
        <f ca="1">ROUND(IF($C18="Automático",AG18+AN18,$Z18*IF(ISERROR(QCI!$AB18/QCI!$O18),0,QCI!$AB18/QCI!$O18)),2)</f>
        <v>0</v>
      </c>
      <c r="V18" s="481">
        <f ca="1">IF(AND($L18&gt;0,$J18&lt;&gt;0,$J18&lt;&gt;"",COUNTIF($J$13:$J18,$J18)=1),OFFSET(V18,-1,0)+1,OFFSET(V18,-1,0))</f>
        <v>0</v>
      </c>
      <c r="X18" s="553"/>
      <c r="Y18" s="297"/>
      <c r="Z18" s="298"/>
      <c r="AC18" s="192" t="e">
        <f ca="1">IF(ACOMPANHAMENTO&lt;&gt;"PLE",0,SUMPRODUCT((OFFSET(CÁLCULO!$AX$15:$BH$15,$A18,0,$B18)&lt;=(PLE.Medicao-1))*OFFSET(CÁLCULO!$AB$15:$AL$15,$A18,0,$B18)*OFFSET(ORÇAMENTO!$AA$15,$A18,0,$B18)/(OFFSET(ORÇAMENTO!$X$15,$A18,0,$B18)+10^-12))+IF(AUTOEVENTO="Manual",SUMPRODUCT((OFFSET(CÁLCULO!$M$15,$A18,0,$B18)=1)*OFFSET(ORÇAMENTO!$AA$15,$A18,0,$B18)*(PLE!$AE$9-PLE!$Y$9)),0))</f>
        <v>#N/A</v>
      </c>
      <c r="AD18" s="192" t="e">
        <f ca="1">IF(ACOMPANHAMENTO&lt;&gt;"PLE",0,SUMPRODUCT((OFFSET(CÁLCULO!$AX$15:$BH$15,$A18,0,$B18)&lt;=(PLE.Medicao-1))*OFFSET(CÁLCULO!$AB$15:$AL$15,$A18,0,$B18)*OFFSET(ORÇAMENTO!$AB$15,$A18,0,$B18)/(OFFSET(ORÇAMENTO!$X$15,$A18,0,$B18)+10^-12))+IF(AUTOEVENTO="Manual",SUMPRODUCT((OFFSET(CÁLCULO!$M$15,$A18,0,$B18)=1)*OFFSET(ORÇAMENTO!$AB$15,$A18,0,$B18)*(PLE!$AE$9-PLE!$Y$9)),0))</f>
        <v>#N/A</v>
      </c>
      <c r="AE18" s="192" t="e">
        <f ca="1">ROUND(IF(ACOMPANHAMENTO&lt;&gt;"PLE",0,SUMIF(OFFSET(CÁLCULO!$AX$15:$BH$15,$A18,0,$B18),"&lt;="&amp;(PLE.Medicao-1),OFFSET(CÁLCULO!$AB$15:$AL$15,$A18,0,$B18))+IF(AUTOEVENTO="Manual",SUMIF(OFFSET(CÁLCULO!$M$15,$A18,0,$B18),1,OFFSET(ORÇAMENTO!$X$15,$A18,0,$B18))*(PLE!$AE$9-PLE!$Y$9),0)),2)</f>
        <v>#N/A</v>
      </c>
      <c r="AF18" s="192" t="e">
        <f ca="1">IF(ACOMPANHAMENTO&lt;&gt;"PLE",0,SUMPRODUCT((OFFSET(CÁLCULO!$AX$15:$BH$15,$A18,0,$B18)&lt;=PLE.Medicao)*OFFSET(CÁLCULO!$AB$15:$AL$15,$A18,0,$B18)*OFFSET(ORÇAMENTO!$AA$15,$A18,0,$B18)/(OFFSET(ORÇAMENTO!$X$15,$A18,0,$B18)+10^-12))+IF(AUTOEVENTO="Manual",SUMPRODUCT((OFFSET(CÁLCULO!$M$15,$A18,0,$B18)=1)*OFFSET(ORÇAMENTO!$AA$15,$A18,0,$B18)*PLE!$AE$9),0))</f>
        <v>#N/A</v>
      </c>
      <c r="AG18" s="192" t="e">
        <f ca="1">IF(ACOMPANHAMENTO&lt;&gt;"PLE",0,SUMPRODUCT((OFFSET(CÁLCULO!$AX$15:$BH$15,$A18,0,$B18)&lt;=PLE.Medicao)*OFFSET(CÁLCULO!$AB$15:$AL$15,$A18,0,$B18)*OFFSET(ORÇAMENTO!$AB$15,$A18,0,$B18)/(OFFSET(ORÇAMENTO!$X$15,$A18,0,$B18)+10^-12))+IF(AUTOEVENTO="Manual",SUMPRODUCT((OFFSET(CÁLCULO!$M$15,$A18,0,$B18)=1)*OFFSET(ORÇAMENTO!$AB$15,$A18,0,$B18)*PLE!$AE$9),0))</f>
        <v>#N/A</v>
      </c>
      <c r="AH18" s="192" t="e">
        <f ca="1">ROUND(IF(ACOMPANHAMENTO&lt;&gt;"PLE",0,SUMIF(OFFSET(CÁLCULO!$AX$15:$BH$15,$A18,0,$B18),"&lt;="&amp;PLE.Medicao,OFFSET(CÁLCULO!$AB$15:$AL$15,$A18,0,$B18))+IF(AUTOEVENTO="Manual",SUMIF(OFFSET(CÁLCULO!$M$15,$A18,0,$B18),1,OFFSET(ORÇAMENTO!$X$15,$A18,0,$B18))*PLE!$AE$9,0)),2)</f>
        <v>#N/A</v>
      </c>
      <c r="AJ18" s="192">
        <f ca="1">IF(ACOMPANHAMENTO&lt;&gt;"BM",0,SUMPRODUCT(OFFSET(BM!$M$15,$A18,0,$B18)*(OFFSET(BM!$A$15,$A18,0,$B18)="S")*OFFSET(ORÇAMENTO!AA$15,$A18,0,$B18)/(OFFSET(ORÇAMENTO!$X$15,$A18,0,$B18)+10^-12)))</f>
        <v>0</v>
      </c>
      <c r="AK18" s="192">
        <f ca="1">IF(ACOMPANHAMENTO&lt;&gt;"BM",0,SUMPRODUCT(OFFSET(BM!$M$15,$A18,0,$B18)*(OFFSET(BM!$A$15,$A18,0,$B18)="S")*OFFSET(ORÇAMENTO!AB$15,$A18,0,$B18)/(OFFSET(ORÇAMENTO!$X$15,$A18,0,$B18)+10^-12)))</f>
        <v>0</v>
      </c>
      <c r="AL18" s="192">
        <f ca="1">IF(ACOMPANHAMENTO&lt;&gt;"BM",0,OFFSET(BM!$M$15,$A18,0))</f>
        <v>0</v>
      </c>
      <c r="AM18" s="192">
        <f ca="1">IF(ACOMPANHAMENTO&lt;&gt;"BM",0,SUMPRODUCT(OFFSET(BM!$O$15,$A18,0,$B18)*(OFFSET(BM!$A$15,$A18,0,$B18)="S")*OFFSET(ORÇAMENTO!AA$15,$A18,0,$B18)/(OFFSET(ORÇAMENTO!$X$15,$A18,0,$B18)+10^-12)))</f>
        <v>0</v>
      </c>
      <c r="AN18" s="192">
        <f ca="1">IF(ACOMPANHAMENTO&lt;&gt;"BM",0,SUMPRODUCT(OFFSET(BM!$O$15,$A18,0,$B18)*(OFFSET(BM!$A$15,$A18,0,$B18)="S")*OFFSET(ORÇAMENTO!AB$15,$A18,0,$B18)/(OFFSET(ORÇAMENTO!$X$15,$A18,0,$B18)+10^-12)))</f>
        <v>0</v>
      </c>
      <c r="AO18" s="192">
        <f ca="1">IF(ACOMPANHAMENTO&lt;&gt;"BM",0,OFFSET(BM!$O$15,$A18,0))</f>
        <v>0</v>
      </c>
    </row>
    <row r="19" spans="1:41" x14ac:dyDescent="0.2">
      <c r="A19" t="e">
        <f ca="1">MATCH(E19,ORÇAMENTO!$E$15:$E$89,0)-1</f>
        <v>#N/A</v>
      </c>
      <c r="B19" t="e">
        <f ca="1">IF(ISERROR($A19),NA(),OFFSET(ORÇAMENTO!$D$15,$A19,0))</f>
        <v>#N/A</v>
      </c>
      <c r="C19" t="str">
        <f ca="1">QCI!B19</f>
        <v>Branco</v>
      </c>
      <c r="D19" t="str">
        <f t="shared" ca="1" si="0"/>
        <v/>
      </c>
      <c r="E19" s="291">
        <f>QCI!D19</f>
        <v>6</v>
      </c>
      <c r="F19" s="375" t="str">
        <f ca="1">QCI!G19</f>
        <v/>
      </c>
      <c r="G19" s="376">
        <f>QCI!H19</f>
        <v>0</v>
      </c>
      <c r="H19" s="292">
        <f>QCI!I19</f>
        <v>0</v>
      </c>
      <c r="I19" s="292" t="str">
        <f ca="1">QCI!J19</f>
        <v/>
      </c>
      <c r="J19" s="377" t="str">
        <f ca="1">QCI!K19</f>
        <v/>
      </c>
      <c r="K19" s="378" t="str">
        <f ca="1">IF($C19="Automático",IF(ACOMPANHAMENTO="BM",BM.medicao,PLE.Medicao),IF(ISBLANK($X19),"",$X19))</f>
        <v/>
      </c>
      <c r="L19" s="296">
        <f ca="1">QCI!$O19</f>
        <v>0</v>
      </c>
      <c r="M19" s="293">
        <f t="shared" ca="1" si="1"/>
        <v>0</v>
      </c>
      <c r="N19" s="294">
        <f t="shared" ca="1" si="2"/>
        <v>0</v>
      </c>
      <c r="O19" s="295">
        <f t="shared" ca="1" si="3"/>
        <v>0</v>
      </c>
      <c r="P19" s="380">
        <f t="shared" ca="1" si="4"/>
        <v>0</v>
      </c>
      <c r="R19" s="379">
        <f ca="1">ROUND(IF($C19="Automático",AC19+AJ19,$Y19*IF(ISERROR(QCI!$AA19/QCI!$O19),0,QCI!$AA19/QCI!$O19)),2)</f>
        <v>0</v>
      </c>
      <c r="S19" s="379">
        <f ca="1">ROUND(IF($C19="Automático",AD19+AK19,$Y19*IF(ISERROR(QCI!$AB19/QCI!$O19),0,QCI!$AB19/QCI!$O19)),2)</f>
        <v>0</v>
      </c>
      <c r="T19" s="379">
        <f ca="1">ROUND(IF($C19="Automático",AF19+AM19,$Z19*IF(ISERROR(QCI!$AA19/QCI!$O19),0,QCI!$AA19/QCI!$O19)),2)</f>
        <v>0</v>
      </c>
      <c r="U19" s="379">
        <f ca="1">ROUND(IF($C19="Automático",AG19+AN19,$Z19*IF(ISERROR(QCI!$AB19/QCI!$O19),0,QCI!$AB19/QCI!$O19)),2)</f>
        <v>0</v>
      </c>
      <c r="V19" s="481">
        <f ca="1">IF(AND($L19&gt;0,$J19&lt;&gt;0,$J19&lt;&gt;"",COUNTIF($J$13:$J19,$J19)=1),OFFSET(V19,-1,0)+1,OFFSET(V19,-1,0))</f>
        <v>0</v>
      </c>
      <c r="X19" s="553"/>
      <c r="Y19" s="297"/>
      <c r="Z19" s="298"/>
      <c r="AC19" s="192" t="e">
        <f ca="1">IF(ACOMPANHAMENTO&lt;&gt;"PLE",0,SUMPRODUCT((OFFSET(CÁLCULO!$AX$15:$BH$15,$A19,0,$B19)&lt;=(PLE.Medicao-1))*OFFSET(CÁLCULO!$AB$15:$AL$15,$A19,0,$B19)*OFFSET(ORÇAMENTO!$AA$15,$A19,0,$B19)/(OFFSET(ORÇAMENTO!$X$15,$A19,0,$B19)+10^-12))+IF(AUTOEVENTO="Manual",SUMPRODUCT((OFFSET(CÁLCULO!$M$15,$A19,0,$B19)=1)*OFFSET(ORÇAMENTO!$AA$15,$A19,0,$B19)*(PLE!$AE$9-PLE!$Y$9)),0))</f>
        <v>#N/A</v>
      </c>
      <c r="AD19" s="192" t="e">
        <f ca="1">IF(ACOMPANHAMENTO&lt;&gt;"PLE",0,SUMPRODUCT((OFFSET(CÁLCULO!$AX$15:$BH$15,$A19,0,$B19)&lt;=(PLE.Medicao-1))*OFFSET(CÁLCULO!$AB$15:$AL$15,$A19,0,$B19)*OFFSET(ORÇAMENTO!$AB$15,$A19,0,$B19)/(OFFSET(ORÇAMENTO!$X$15,$A19,0,$B19)+10^-12))+IF(AUTOEVENTO="Manual",SUMPRODUCT((OFFSET(CÁLCULO!$M$15,$A19,0,$B19)=1)*OFFSET(ORÇAMENTO!$AB$15,$A19,0,$B19)*(PLE!$AE$9-PLE!$Y$9)),0))</f>
        <v>#N/A</v>
      </c>
      <c r="AE19" s="192" t="e">
        <f ca="1">ROUND(IF(ACOMPANHAMENTO&lt;&gt;"PLE",0,SUMIF(OFFSET(CÁLCULO!$AX$15:$BH$15,$A19,0,$B19),"&lt;="&amp;(PLE.Medicao-1),OFFSET(CÁLCULO!$AB$15:$AL$15,$A19,0,$B19))+IF(AUTOEVENTO="Manual",SUMIF(OFFSET(CÁLCULO!$M$15,$A19,0,$B19),1,OFFSET(ORÇAMENTO!$X$15,$A19,0,$B19))*(PLE!$AE$9-PLE!$Y$9),0)),2)</f>
        <v>#N/A</v>
      </c>
      <c r="AF19" s="192" t="e">
        <f ca="1">IF(ACOMPANHAMENTO&lt;&gt;"PLE",0,SUMPRODUCT((OFFSET(CÁLCULO!$AX$15:$BH$15,$A19,0,$B19)&lt;=PLE.Medicao)*OFFSET(CÁLCULO!$AB$15:$AL$15,$A19,0,$B19)*OFFSET(ORÇAMENTO!$AA$15,$A19,0,$B19)/(OFFSET(ORÇAMENTO!$X$15,$A19,0,$B19)+10^-12))+IF(AUTOEVENTO="Manual",SUMPRODUCT((OFFSET(CÁLCULO!$M$15,$A19,0,$B19)=1)*OFFSET(ORÇAMENTO!$AA$15,$A19,0,$B19)*PLE!$AE$9),0))</f>
        <v>#N/A</v>
      </c>
      <c r="AG19" s="192" t="e">
        <f ca="1">IF(ACOMPANHAMENTO&lt;&gt;"PLE",0,SUMPRODUCT((OFFSET(CÁLCULO!$AX$15:$BH$15,$A19,0,$B19)&lt;=PLE.Medicao)*OFFSET(CÁLCULO!$AB$15:$AL$15,$A19,0,$B19)*OFFSET(ORÇAMENTO!$AB$15,$A19,0,$B19)/(OFFSET(ORÇAMENTO!$X$15,$A19,0,$B19)+10^-12))+IF(AUTOEVENTO="Manual",SUMPRODUCT((OFFSET(CÁLCULO!$M$15,$A19,0,$B19)=1)*OFFSET(ORÇAMENTO!$AB$15,$A19,0,$B19)*PLE!$AE$9),0))</f>
        <v>#N/A</v>
      </c>
      <c r="AH19" s="192" t="e">
        <f ca="1">ROUND(IF(ACOMPANHAMENTO&lt;&gt;"PLE",0,SUMIF(OFFSET(CÁLCULO!$AX$15:$BH$15,$A19,0,$B19),"&lt;="&amp;PLE.Medicao,OFFSET(CÁLCULO!$AB$15:$AL$15,$A19,0,$B19))+IF(AUTOEVENTO="Manual",SUMIF(OFFSET(CÁLCULO!$M$15,$A19,0,$B19),1,OFFSET(ORÇAMENTO!$X$15,$A19,0,$B19))*PLE!$AE$9,0)),2)</f>
        <v>#N/A</v>
      </c>
      <c r="AJ19" s="192">
        <f ca="1">IF(ACOMPANHAMENTO&lt;&gt;"BM",0,SUMPRODUCT(OFFSET(BM!$M$15,$A19,0,$B19)*(OFFSET(BM!$A$15,$A19,0,$B19)="S")*OFFSET(ORÇAMENTO!AA$15,$A19,0,$B19)/(OFFSET(ORÇAMENTO!$X$15,$A19,0,$B19)+10^-12)))</f>
        <v>0</v>
      </c>
      <c r="AK19" s="192">
        <f ca="1">IF(ACOMPANHAMENTO&lt;&gt;"BM",0,SUMPRODUCT(OFFSET(BM!$M$15,$A19,0,$B19)*(OFFSET(BM!$A$15,$A19,0,$B19)="S")*OFFSET(ORÇAMENTO!AB$15,$A19,0,$B19)/(OFFSET(ORÇAMENTO!$X$15,$A19,0,$B19)+10^-12)))</f>
        <v>0</v>
      </c>
      <c r="AL19" s="192">
        <f ca="1">IF(ACOMPANHAMENTO&lt;&gt;"BM",0,OFFSET(BM!$M$15,$A19,0))</f>
        <v>0</v>
      </c>
      <c r="AM19" s="192">
        <f ca="1">IF(ACOMPANHAMENTO&lt;&gt;"BM",0,SUMPRODUCT(OFFSET(BM!$O$15,$A19,0,$B19)*(OFFSET(BM!$A$15,$A19,0,$B19)="S")*OFFSET(ORÇAMENTO!AA$15,$A19,0,$B19)/(OFFSET(ORÇAMENTO!$X$15,$A19,0,$B19)+10^-12)))</f>
        <v>0</v>
      </c>
      <c r="AN19" s="192">
        <f ca="1">IF(ACOMPANHAMENTO&lt;&gt;"BM",0,SUMPRODUCT(OFFSET(BM!$O$15,$A19,0,$B19)*(OFFSET(BM!$A$15,$A19,0,$B19)="S")*OFFSET(ORÇAMENTO!AB$15,$A19,0,$B19)/(OFFSET(ORÇAMENTO!$X$15,$A19,0,$B19)+10^-12)))</f>
        <v>0</v>
      </c>
      <c r="AO19" s="192">
        <f ca="1">IF(ACOMPANHAMENTO&lt;&gt;"BM",0,OFFSET(BM!$O$15,$A19,0))</f>
        <v>0</v>
      </c>
    </row>
    <row r="20" spans="1:41" x14ac:dyDescent="0.2">
      <c r="A20" t="e">
        <f ca="1">MATCH(E20,ORÇAMENTO!$E$15:$E$89,0)-1</f>
        <v>#N/A</v>
      </c>
      <c r="B20" t="e">
        <f ca="1">IF(ISERROR($A20),NA(),OFFSET(ORÇAMENTO!$D$15,$A20,0))</f>
        <v>#N/A</v>
      </c>
      <c r="C20" t="str">
        <f ca="1">QCI!B20</f>
        <v>Branco</v>
      </c>
      <c r="D20" t="str">
        <f t="shared" ca="1" si="0"/>
        <v/>
      </c>
      <c r="E20" s="291">
        <f>QCI!D20</f>
        <v>7</v>
      </c>
      <c r="F20" s="375" t="str">
        <f ca="1">QCI!G20</f>
        <v/>
      </c>
      <c r="G20" s="376">
        <f>QCI!H20</f>
        <v>0</v>
      </c>
      <c r="H20" s="292">
        <f>QCI!I20</f>
        <v>0</v>
      </c>
      <c r="I20" s="292" t="str">
        <f ca="1">QCI!J20</f>
        <v/>
      </c>
      <c r="J20" s="377" t="str">
        <f ca="1">QCI!K20</f>
        <v/>
      </c>
      <c r="K20" s="378" t="str">
        <f ca="1">IF($C20="Automático",IF(ACOMPANHAMENTO="BM",BM.medicao,PLE.Medicao),IF(ISBLANK($X20),"",$X20))</f>
        <v/>
      </c>
      <c r="L20" s="296">
        <f ca="1">QCI!$O20</f>
        <v>0</v>
      </c>
      <c r="M20" s="293">
        <f t="shared" ca="1" si="1"/>
        <v>0</v>
      </c>
      <c r="N20" s="294">
        <f t="shared" ca="1" si="2"/>
        <v>0</v>
      </c>
      <c r="O20" s="295">
        <f t="shared" ca="1" si="3"/>
        <v>0</v>
      </c>
      <c r="P20" s="380">
        <f t="shared" ca="1" si="4"/>
        <v>0</v>
      </c>
      <c r="R20" s="379">
        <f ca="1">ROUND(IF($C20="Automático",AC20+AJ20,$Y20*IF(ISERROR(QCI!$AA20/QCI!$O20),0,QCI!$AA20/QCI!$O20)),2)</f>
        <v>0</v>
      </c>
      <c r="S20" s="379">
        <f ca="1">ROUND(IF($C20="Automático",AD20+AK20,$Y20*IF(ISERROR(QCI!$AB20/QCI!$O20),0,QCI!$AB20/QCI!$O20)),2)</f>
        <v>0</v>
      </c>
      <c r="T20" s="379">
        <f ca="1">ROUND(IF($C20="Automático",AF20+AM20,$Z20*IF(ISERROR(QCI!$AA20/QCI!$O20),0,QCI!$AA20/QCI!$O20)),2)</f>
        <v>0</v>
      </c>
      <c r="U20" s="379">
        <f ca="1">ROUND(IF($C20="Automático",AG20+AN20,$Z20*IF(ISERROR(QCI!$AB20/QCI!$O20),0,QCI!$AB20/QCI!$O20)),2)</f>
        <v>0</v>
      </c>
      <c r="V20" s="481">
        <f ca="1">IF(AND($L20&gt;0,$J20&lt;&gt;0,$J20&lt;&gt;"",COUNTIF($J$13:$J20,$J20)=1),OFFSET(V20,-1,0)+1,OFFSET(V20,-1,0))</f>
        <v>0</v>
      </c>
      <c r="X20" s="553"/>
      <c r="Y20" s="297"/>
      <c r="Z20" s="298"/>
      <c r="AC20" s="192" t="e">
        <f ca="1">IF(ACOMPANHAMENTO&lt;&gt;"PLE",0,SUMPRODUCT((OFFSET(CÁLCULO!$AX$15:$BH$15,$A20,0,$B20)&lt;=(PLE.Medicao-1))*OFFSET(CÁLCULO!$AB$15:$AL$15,$A20,0,$B20)*OFFSET(ORÇAMENTO!$AA$15,$A20,0,$B20)/(OFFSET(ORÇAMENTO!$X$15,$A20,0,$B20)+10^-12))+IF(AUTOEVENTO="Manual",SUMPRODUCT((OFFSET(CÁLCULO!$M$15,$A20,0,$B20)=1)*OFFSET(ORÇAMENTO!$AA$15,$A20,0,$B20)*(PLE!$AE$9-PLE!$Y$9)),0))</f>
        <v>#N/A</v>
      </c>
      <c r="AD20" s="192" t="e">
        <f ca="1">IF(ACOMPANHAMENTO&lt;&gt;"PLE",0,SUMPRODUCT((OFFSET(CÁLCULO!$AX$15:$BH$15,$A20,0,$B20)&lt;=(PLE.Medicao-1))*OFFSET(CÁLCULO!$AB$15:$AL$15,$A20,0,$B20)*OFFSET(ORÇAMENTO!$AB$15,$A20,0,$B20)/(OFFSET(ORÇAMENTO!$X$15,$A20,0,$B20)+10^-12))+IF(AUTOEVENTO="Manual",SUMPRODUCT((OFFSET(CÁLCULO!$M$15,$A20,0,$B20)=1)*OFFSET(ORÇAMENTO!$AB$15,$A20,0,$B20)*(PLE!$AE$9-PLE!$Y$9)),0))</f>
        <v>#N/A</v>
      </c>
      <c r="AE20" s="192" t="e">
        <f ca="1">ROUND(IF(ACOMPANHAMENTO&lt;&gt;"PLE",0,SUMIF(OFFSET(CÁLCULO!$AX$15:$BH$15,$A20,0,$B20),"&lt;="&amp;(PLE.Medicao-1),OFFSET(CÁLCULO!$AB$15:$AL$15,$A20,0,$B20))+IF(AUTOEVENTO="Manual",SUMIF(OFFSET(CÁLCULO!$M$15,$A20,0,$B20),1,OFFSET(ORÇAMENTO!$X$15,$A20,0,$B20))*(PLE!$AE$9-PLE!$Y$9),0)),2)</f>
        <v>#N/A</v>
      </c>
      <c r="AF20" s="192" t="e">
        <f ca="1">IF(ACOMPANHAMENTO&lt;&gt;"PLE",0,SUMPRODUCT((OFFSET(CÁLCULO!$AX$15:$BH$15,$A20,0,$B20)&lt;=PLE.Medicao)*OFFSET(CÁLCULO!$AB$15:$AL$15,$A20,0,$B20)*OFFSET(ORÇAMENTO!$AA$15,$A20,0,$B20)/(OFFSET(ORÇAMENTO!$X$15,$A20,0,$B20)+10^-12))+IF(AUTOEVENTO="Manual",SUMPRODUCT((OFFSET(CÁLCULO!$M$15,$A20,0,$B20)=1)*OFFSET(ORÇAMENTO!$AA$15,$A20,0,$B20)*PLE!$AE$9),0))</f>
        <v>#N/A</v>
      </c>
      <c r="AG20" s="192" t="e">
        <f ca="1">IF(ACOMPANHAMENTO&lt;&gt;"PLE",0,SUMPRODUCT((OFFSET(CÁLCULO!$AX$15:$BH$15,$A20,0,$B20)&lt;=PLE.Medicao)*OFFSET(CÁLCULO!$AB$15:$AL$15,$A20,0,$B20)*OFFSET(ORÇAMENTO!$AB$15,$A20,0,$B20)/(OFFSET(ORÇAMENTO!$X$15,$A20,0,$B20)+10^-12))+IF(AUTOEVENTO="Manual",SUMPRODUCT((OFFSET(CÁLCULO!$M$15,$A20,0,$B20)=1)*OFFSET(ORÇAMENTO!$AB$15,$A20,0,$B20)*PLE!$AE$9),0))</f>
        <v>#N/A</v>
      </c>
      <c r="AH20" s="192" t="e">
        <f ca="1">ROUND(IF(ACOMPANHAMENTO&lt;&gt;"PLE",0,SUMIF(OFFSET(CÁLCULO!$AX$15:$BH$15,$A20,0,$B20),"&lt;="&amp;PLE.Medicao,OFFSET(CÁLCULO!$AB$15:$AL$15,$A20,0,$B20))+IF(AUTOEVENTO="Manual",SUMIF(OFFSET(CÁLCULO!$M$15,$A20,0,$B20),1,OFFSET(ORÇAMENTO!$X$15,$A20,0,$B20))*PLE!$AE$9,0)),2)</f>
        <v>#N/A</v>
      </c>
      <c r="AJ20" s="192">
        <f ca="1">IF(ACOMPANHAMENTO&lt;&gt;"BM",0,SUMPRODUCT(OFFSET(BM!$M$15,$A20,0,$B20)*(OFFSET(BM!$A$15,$A20,0,$B20)="S")*OFFSET(ORÇAMENTO!AA$15,$A20,0,$B20)/(OFFSET(ORÇAMENTO!$X$15,$A20,0,$B20)+10^-12)))</f>
        <v>0</v>
      </c>
      <c r="AK20" s="192">
        <f ca="1">IF(ACOMPANHAMENTO&lt;&gt;"BM",0,SUMPRODUCT(OFFSET(BM!$M$15,$A20,0,$B20)*(OFFSET(BM!$A$15,$A20,0,$B20)="S")*OFFSET(ORÇAMENTO!AB$15,$A20,0,$B20)/(OFFSET(ORÇAMENTO!$X$15,$A20,0,$B20)+10^-12)))</f>
        <v>0</v>
      </c>
      <c r="AL20" s="192">
        <f ca="1">IF(ACOMPANHAMENTO&lt;&gt;"BM",0,OFFSET(BM!$M$15,$A20,0))</f>
        <v>0</v>
      </c>
      <c r="AM20" s="192">
        <f ca="1">IF(ACOMPANHAMENTO&lt;&gt;"BM",0,SUMPRODUCT(OFFSET(BM!$O$15,$A20,0,$B20)*(OFFSET(BM!$A$15,$A20,0,$B20)="S")*OFFSET(ORÇAMENTO!AA$15,$A20,0,$B20)/(OFFSET(ORÇAMENTO!$X$15,$A20,0,$B20)+10^-12)))</f>
        <v>0</v>
      </c>
      <c r="AN20" s="192">
        <f ca="1">IF(ACOMPANHAMENTO&lt;&gt;"BM",0,SUMPRODUCT(OFFSET(BM!$O$15,$A20,0,$B20)*(OFFSET(BM!$A$15,$A20,0,$B20)="S")*OFFSET(ORÇAMENTO!AB$15,$A20,0,$B20)/(OFFSET(ORÇAMENTO!$X$15,$A20,0,$B20)+10^-12)))</f>
        <v>0</v>
      </c>
      <c r="AO20" s="192">
        <f ca="1">IF(ACOMPANHAMENTO&lt;&gt;"BM",0,OFFSET(BM!$O$15,$A20,0))</f>
        <v>0</v>
      </c>
    </row>
    <row r="21" spans="1:41" x14ac:dyDescent="0.2">
      <c r="A21" t="e">
        <f ca="1">MATCH(E21,ORÇAMENTO!$E$15:$E$89,0)-1</f>
        <v>#N/A</v>
      </c>
      <c r="B21" t="e">
        <f ca="1">IF(ISERROR($A21),NA(),OFFSET(ORÇAMENTO!$D$15,$A21,0))</f>
        <v>#N/A</v>
      </c>
      <c r="C21" t="str">
        <f ca="1">QCI!B21</f>
        <v>Branco</v>
      </c>
      <c r="D21" t="str">
        <f t="shared" ca="1" si="0"/>
        <v/>
      </c>
      <c r="E21" s="291">
        <f>QCI!D21</f>
        <v>8</v>
      </c>
      <c r="F21" s="375" t="str">
        <f ca="1">QCI!G21</f>
        <v/>
      </c>
      <c r="G21" s="376">
        <f>QCI!H21</f>
        <v>0</v>
      </c>
      <c r="H21" s="292">
        <f>QCI!I21</f>
        <v>0</v>
      </c>
      <c r="I21" s="292" t="str">
        <f ca="1">QCI!J21</f>
        <v/>
      </c>
      <c r="J21" s="377" t="str">
        <f ca="1">QCI!K21</f>
        <v/>
      </c>
      <c r="K21" s="378" t="str">
        <f ca="1">IF($C21="Automático",IF(ACOMPANHAMENTO="BM",BM.medicao,PLE.Medicao),IF(ISBLANK($X21),"",$X21))</f>
        <v/>
      </c>
      <c r="L21" s="296">
        <f ca="1">QCI!$O21</f>
        <v>0</v>
      </c>
      <c r="M21" s="293">
        <f t="shared" ca="1" si="1"/>
        <v>0</v>
      </c>
      <c r="N21" s="294">
        <f t="shared" ca="1" si="2"/>
        <v>0</v>
      </c>
      <c r="O21" s="295">
        <f t="shared" ca="1" si="3"/>
        <v>0</v>
      </c>
      <c r="P21" s="380">
        <f t="shared" ca="1" si="4"/>
        <v>0</v>
      </c>
      <c r="R21" s="379">
        <f ca="1">ROUND(IF($C21="Automático",AC21+AJ21,$Y21*IF(ISERROR(QCI!$AA21/QCI!$O21),0,QCI!$AA21/QCI!$O21)),2)</f>
        <v>0</v>
      </c>
      <c r="S21" s="379">
        <f ca="1">ROUND(IF($C21="Automático",AD21+AK21,$Y21*IF(ISERROR(QCI!$AB21/QCI!$O21),0,QCI!$AB21/QCI!$O21)),2)</f>
        <v>0</v>
      </c>
      <c r="T21" s="379">
        <f ca="1">ROUND(IF($C21="Automático",AF21+AM21,$Z21*IF(ISERROR(QCI!$AA21/QCI!$O21),0,QCI!$AA21/QCI!$O21)),2)</f>
        <v>0</v>
      </c>
      <c r="U21" s="379">
        <f ca="1">ROUND(IF($C21="Automático",AG21+AN21,$Z21*IF(ISERROR(QCI!$AB21/QCI!$O21),0,QCI!$AB21/QCI!$O21)),2)</f>
        <v>0</v>
      </c>
      <c r="V21" s="481">
        <f ca="1">IF(AND($L21&gt;0,$J21&lt;&gt;0,$J21&lt;&gt;"",COUNTIF($J$13:$J21,$J21)=1),OFFSET(V21,-1,0)+1,OFFSET(V21,-1,0))</f>
        <v>0</v>
      </c>
      <c r="X21" s="553"/>
      <c r="Y21" s="297"/>
      <c r="Z21" s="298"/>
      <c r="AC21" s="192" t="e">
        <f ca="1">IF(ACOMPANHAMENTO&lt;&gt;"PLE",0,SUMPRODUCT((OFFSET(CÁLCULO!$AX$15:$BH$15,$A21,0,$B21)&lt;=(PLE.Medicao-1))*OFFSET(CÁLCULO!$AB$15:$AL$15,$A21,0,$B21)*OFFSET(ORÇAMENTO!$AA$15,$A21,0,$B21)/(OFFSET(ORÇAMENTO!$X$15,$A21,0,$B21)+10^-12))+IF(AUTOEVENTO="Manual",SUMPRODUCT((OFFSET(CÁLCULO!$M$15,$A21,0,$B21)=1)*OFFSET(ORÇAMENTO!$AA$15,$A21,0,$B21)*(PLE!$AE$9-PLE!$Y$9)),0))</f>
        <v>#N/A</v>
      </c>
      <c r="AD21" s="192" t="e">
        <f ca="1">IF(ACOMPANHAMENTO&lt;&gt;"PLE",0,SUMPRODUCT((OFFSET(CÁLCULO!$AX$15:$BH$15,$A21,0,$B21)&lt;=(PLE.Medicao-1))*OFFSET(CÁLCULO!$AB$15:$AL$15,$A21,0,$B21)*OFFSET(ORÇAMENTO!$AB$15,$A21,0,$B21)/(OFFSET(ORÇAMENTO!$X$15,$A21,0,$B21)+10^-12))+IF(AUTOEVENTO="Manual",SUMPRODUCT((OFFSET(CÁLCULO!$M$15,$A21,0,$B21)=1)*OFFSET(ORÇAMENTO!$AB$15,$A21,0,$B21)*(PLE!$AE$9-PLE!$Y$9)),0))</f>
        <v>#N/A</v>
      </c>
      <c r="AE21" s="192" t="e">
        <f ca="1">ROUND(IF(ACOMPANHAMENTO&lt;&gt;"PLE",0,SUMIF(OFFSET(CÁLCULO!$AX$15:$BH$15,$A21,0,$B21),"&lt;="&amp;(PLE.Medicao-1),OFFSET(CÁLCULO!$AB$15:$AL$15,$A21,0,$B21))+IF(AUTOEVENTO="Manual",SUMIF(OFFSET(CÁLCULO!$M$15,$A21,0,$B21),1,OFFSET(ORÇAMENTO!$X$15,$A21,0,$B21))*(PLE!$AE$9-PLE!$Y$9),0)),2)</f>
        <v>#N/A</v>
      </c>
      <c r="AF21" s="192" t="e">
        <f ca="1">IF(ACOMPANHAMENTO&lt;&gt;"PLE",0,SUMPRODUCT((OFFSET(CÁLCULO!$AX$15:$BH$15,$A21,0,$B21)&lt;=PLE.Medicao)*OFFSET(CÁLCULO!$AB$15:$AL$15,$A21,0,$B21)*OFFSET(ORÇAMENTO!$AA$15,$A21,0,$B21)/(OFFSET(ORÇAMENTO!$X$15,$A21,0,$B21)+10^-12))+IF(AUTOEVENTO="Manual",SUMPRODUCT((OFFSET(CÁLCULO!$M$15,$A21,0,$B21)=1)*OFFSET(ORÇAMENTO!$AA$15,$A21,0,$B21)*PLE!$AE$9),0))</f>
        <v>#N/A</v>
      </c>
      <c r="AG21" s="192" t="e">
        <f ca="1">IF(ACOMPANHAMENTO&lt;&gt;"PLE",0,SUMPRODUCT((OFFSET(CÁLCULO!$AX$15:$BH$15,$A21,0,$B21)&lt;=PLE.Medicao)*OFFSET(CÁLCULO!$AB$15:$AL$15,$A21,0,$B21)*OFFSET(ORÇAMENTO!$AB$15,$A21,0,$B21)/(OFFSET(ORÇAMENTO!$X$15,$A21,0,$B21)+10^-12))+IF(AUTOEVENTO="Manual",SUMPRODUCT((OFFSET(CÁLCULO!$M$15,$A21,0,$B21)=1)*OFFSET(ORÇAMENTO!$AB$15,$A21,0,$B21)*PLE!$AE$9),0))</f>
        <v>#N/A</v>
      </c>
      <c r="AH21" s="192" t="e">
        <f ca="1">ROUND(IF(ACOMPANHAMENTO&lt;&gt;"PLE",0,SUMIF(OFFSET(CÁLCULO!$AX$15:$BH$15,$A21,0,$B21),"&lt;="&amp;PLE.Medicao,OFFSET(CÁLCULO!$AB$15:$AL$15,$A21,0,$B21))+IF(AUTOEVENTO="Manual",SUMIF(OFFSET(CÁLCULO!$M$15,$A21,0,$B21),1,OFFSET(ORÇAMENTO!$X$15,$A21,0,$B21))*PLE!$AE$9,0)),2)</f>
        <v>#N/A</v>
      </c>
      <c r="AJ21" s="192">
        <f ca="1">IF(ACOMPANHAMENTO&lt;&gt;"BM",0,SUMPRODUCT(OFFSET(BM!$M$15,$A21,0,$B21)*(OFFSET(BM!$A$15,$A21,0,$B21)="S")*OFFSET(ORÇAMENTO!AA$15,$A21,0,$B21)/(OFFSET(ORÇAMENTO!$X$15,$A21,0,$B21)+10^-12)))</f>
        <v>0</v>
      </c>
      <c r="AK21" s="192">
        <f ca="1">IF(ACOMPANHAMENTO&lt;&gt;"BM",0,SUMPRODUCT(OFFSET(BM!$M$15,$A21,0,$B21)*(OFFSET(BM!$A$15,$A21,0,$B21)="S")*OFFSET(ORÇAMENTO!AB$15,$A21,0,$B21)/(OFFSET(ORÇAMENTO!$X$15,$A21,0,$B21)+10^-12)))</f>
        <v>0</v>
      </c>
      <c r="AL21" s="192">
        <f ca="1">IF(ACOMPANHAMENTO&lt;&gt;"BM",0,OFFSET(BM!$M$15,$A21,0))</f>
        <v>0</v>
      </c>
      <c r="AM21" s="192">
        <f ca="1">IF(ACOMPANHAMENTO&lt;&gt;"BM",0,SUMPRODUCT(OFFSET(BM!$O$15,$A21,0,$B21)*(OFFSET(BM!$A$15,$A21,0,$B21)="S")*OFFSET(ORÇAMENTO!AA$15,$A21,0,$B21)/(OFFSET(ORÇAMENTO!$X$15,$A21,0,$B21)+10^-12)))</f>
        <v>0</v>
      </c>
      <c r="AN21" s="192">
        <f ca="1">IF(ACOMPANHAMENTO&lt;&gt;"BM",0,SUMPRODUCT(OFFSET(BM!$O$15,$A21,0,$B21)*(OFFSET(BM!$A$15,$A21,0,$B21)="S")*OFFSET(ORÇAMENTO!AB$15,$A21,0,$B21)/(OFFSET(ORÇAMENTO!$X$15,$A21,0,$B21)+10^-12)))</f>
        <v>0</v>
      </c>
      <c r="AO21" s="192">
        <f ca="1">IF(ACOMPANHAMENTO&lt;&gt;"BM",0,OFFSET(BM!$O$15,$A21,0))</f>
        <v>0</v>
      </c>
    </row>
    <row r="22" spans="1:41" x14ac:dyDescent="0.2">
      <c r="A22" t="e">
        <f ca="1">MATCH(E22,ORÇAMENTO!$E$15:$E$89,0)-1</f>
        <v>#N/A</v>
      </c>
      <c r="B22" t="e">
        <f ca="1">IF(ISERROR($A22),NA(),OFFSET(ORÇAMENTO!$D$15,$A22,0))</f>
        <v>#N/A</v>
      </c>
      <c r="C22" t="str">
        <f ca="1">QCI!B22</f>
        <v>Branco</v>
      </c>
      <c r="D22" t="str">
        <f t="shared" ca="1" si="0"/>
        <v/>
      </c>
      <c r="E22" s="291">
        <f>QCI!D22</f>
        <v>9</v>
      </c>
      <c r="F22" s="375" t="str">
        <f ca="1">QCI!G22</f>
        <v/>
      </c>
      <c r="G22" s="376">
        <f>QCI!H22</f>
        <v>0</v>
      </c>
      <c r="H22" s="292">
        <f>QCI!I22</f>
        <v>0</v>
      </c>
      <c r="I22" s="292" t="str">
        <f ca="1">QCI!J22</f>
        <v/>
      </c>
      <c r="J22" s="377" t="str">
        <f ca="1">QCI!K22</f>
        <v/>
      </c>
      <c r="K22" s="378" t="str">
        <f ca="1">IF($C22="Automático",IF(ACOMPANHAMENTO="BM",BM.medicao,PLE.Medicao),IF(ISBLANK($X22),"",$X22))</f>
        <v/>
      </c>
      <c r="L22" s="296">
        <f ca="1">QCI!$O22</f>
        <v>0</v>
      </c>
      <c r="M22" s="293">
        <f t="shared" ca="1" si="1"/>
        <v>0</v>
      </c>
      <c r="N22" s="294">
        <f t="shared" ca="1" si="2"/>
        <v>0</v>
      </c>
      <c r="O22" s="295">
        <f t="shared" ca="1" si="3"/>
        <v>0</v>
      </c>
      <c r="P22" s="380">
        <f t="shared" ca="1" si="4"/>
        <v>0</v>
      </c>
      <c r="R22" s="379">
        <f ca="1">ROUND(IF($C22="Automático",AC22+AJ22,$Y22*IF(ISERROR(QCI!$AA22/QCI!$O22),0,QCI!$AA22/QCI!$O22)),2)</f>
        <v>0</v>
      </c>
      <c r="S22" s="379">
        <f ca="1">ROUND(IF($C22="Automático",AD22+AK22,$Y22*IF(ISERROR(QCI!$AB22/QCI!$O22),0,QCI!$AB22/QCI!$O22)),2)</f>
        <v>0</v>
      </c>
      <c r="T22" s="379">
        <f ca="1">ROUND(IF($C22="Automático",AF22+AM22,$Z22*IF(ISERROR(QCI!$AA22/QCI!$O22),0,QCI!$AA22/QCI!$O22)),2)</f>
        <v>0</v>
      </c>
      <c r="U22" s="379">
        <f ca="1">ROUND(IF($C22="Automático",AG22+AN22,$Z22*IF(ISERROR(QCI!$AB22/QCI!$O22),0,QCI!$AB22/QCI!$O22)),2)</f>
        <v>0</v>
      </c>
      <c r="V22" s="481">
        <f ca="1">IF(AND($L22&gt;0,$J22&lt;&gt;0,$J22&lt;&gt;"",COUNTIF($J$13:$J22,$J22)=1),OFFSET(V22,-1,0)+1,OFFSET(V22,-1,0))</f>
        <v>0</v>
      </c>
      <c r="X22" s="553"/>
      <c r="Y22" s="297"/>
      <c r="Z22" s="298"/>
      <c r="AC22" s="192" t="e">
        <f ca="1">IF(ACOMPANHAMENTO&lt;&gt;"PLE",0,SUMPRODUCT((OFFSET(CÁLCULO!$AX$15:$BH$15,$A22,0,$B22)&lt;=(PLE.Medicao-1))*OFFSET(CÁLCULO!$AB$15:$AL$15,$A22,0,$B22)*OFFSET(ORÇAMENTO!$AA$15,$A22,0,$B22)/(OFFSET(ORÇAMENTO!$X$15,$A22,0,$B22)+10^-12))+IF(AUTOEVENTO="Manual",SUMPRODUCT((OFFSET(CÁLCULO!$M$15,$A22,0,$B22)=1)*OFFSET(ORÇAMENTO!$AA$15,$A22,0,$B22)*(PLE!$AE$9-PLE!$Y$9)),0))</f>
        <v>#N/A</v>
      </c>
      <c r="AD22" s="192" t="e">
        <f ca="1">IF(ACOMPANHAMENTO&lt;&gt;"PLE",0,SUMPRODUCT((OFFSET(CÁLCULO!$AX$15:$BH$15,$A22,0,$B22)&lt;=(PLE.Medicao-1))*OFFSET(CÁLCULO!$AB$15:$AL$15,$A22,0,$B22)*OFFSET(ORÇAMENTO!$AB$15,$A22,0,$B22)/(OFFSET(ORÇAMENTO!$X$15,$A22,0,$B22)+10^-12))+IF(AUTOEVENTO="Manual",SUMPRODUCT((OFFSET(CÁLCULO!$M$15,$A22,0,$B22)=1)*OFFSET(ORÇAMENTO!$AB$15,$A22,0,$B22)*(PLE!$AE$9-PLE!$Y$9)),0))</f>
        <v>#N/A</v>
      </c>
      <c r="AE22" s="192" t="e">
        <f ca="1">ROUND(IF(ACOMPANHAMENTO&lt;&gt;"PLE",0,SUMIF(OFFSET(CÁLCULO!$AX$15:$BH$15,$A22,0,$B22),"&lt;="&amp;(PLE.Medicao-1),OFFSET(CÁLCULO!$AB$15:$AL$15,$A22,0,$B22))+IF(AUTOEVENTO="Manual",SUMIF(OFFSET(CÁLCULO!$M$15,$A22,0,$B22),1,OFFSET(ORÇAMENTO!$X$15,$A22,0,$B22))*(PLE!$AE$9-PLE!$Y$9),0)),2)</f>
        <v>#N/A</v>
      </c>
      <c r="AF22" s="192" t="e">
        <f ca="1">IF(ACOMPANHAMENTO&lt;&gt;"PLE",0,SUMPRODUCT((OFFSET(CÁLCULO!$AX$15:$BH$15,$A22,0,$B22)&lt;=PLE.Medicao)*OFFSET(CÁLCULO!$AB$15:$AL$15,$A22,0,$B22)*OFFSET(ORÇAMENTO!$AA$15,$A22,0,$B22)/(OFFSET(ORÇAMENTO!$X$15,$A22,0,$B22)+10^-12))+IF(AUTOEVENTO="Manual",SUMPRODUCT((OFFSET(CÁLCULO!$M$15,$A22,0,$B22)=1)*OFFSET(ORÇAMENTO!$AA$15,$A22,0,$B22)*PLE!$AE$9),0))</f>
        <v>#N/A</v>
      </c>
      <c r="AG22" s="192" t="e">
        <f ca="1">IF(ACOMPANHAMENTO&lt;&gt;"PLE",0,SUMPRODUCT((OFFSET(CÁLCULO!$AX$15:$BH$15,$A22,0,$B22)&lt;=PLE.Medicao)*OFFSET(CÁLCULO!$AB$15:$AL$15,$A22,0,$B22)*OFFSET(ORÇAMENTO!$AB$15,$A22,0,$B22)/(OFFSET(ORÇAMENTO!$X$15,$A22,0,$B22)+10^-12))+IF(AUTOEVENTO="Manual",SUMPRODUCT((OFFSET(CÁLCULO!$M$15,$A22,0,$B22)=1)*OFFSET(ORÇAMENTO!$AB$15,$A22,0,$B22)*PLE!$AE$9),0))</f>
        <v>#N/A</v>
      </c>
      <c r="AH22" s="192" t="e">
        <f ca="1">ROUND(IF(ACOMPANHAMENTO&lt;&gt;"PLE",0,SUMIF(OFFSET(CÁLCULO!$AX$15:$BH$15,$A22,0,$B22),"&lt;="&amp;PLE.Medicao,OFFSET(CÁLCULO!$AB$15:$AL$15,$A22,0,$B22))+IF(AUTOEVENTO="Manual",SUMIF(OFFSET(CÁLCULO!$M$15,$A22,0,$B22),1,OFFSET(ORÇAMENTO!$X$15,$A22,0,$B22))*PLE!$AE$9,0)),2)</f>
        <v>#N/A</v>
      </c>
      <c r="AJ22" s="192">
        <f ca="1">IF(ACOMPANHAMENTO&lt;&gt;"BM",0,SUMPRODUCT(OFFSET(BM!$M$15,$A22,0,$B22)*(OFFSET(BM!$A$15,$A22,0,$B22)="S")*OFFSET(ORÇAMENTO!AA$15,$A22,0,$B22)/(OFFSET(ORÇAMENTO!$X$15,$A22,0,$B22)+10^-12)))</f>
        <v>0</v>
      </c>
      <c r="AK22" s="192">
        <f ca="1">IF(ACOMPANHAMENTO&lt;&gt;"BM",0,SUMPRODUCT(OFFSET(BM!$M$15,$A22,0,$B22)*(OFFSET(BM!$A$15,$A22,0,$B22)="S")*OFFSET(ORÇAMENTO!AB$15,$A22,0,$B22)/(OFFSET(ORÇAMENTO!$X$15,$A22,0,$B22)+10^-12)))</f>
        <v>0</v>
      </c>
      <c r="AL22" s="192">
        <f ca="1">IF(ACOMPANHAMENTO&lt;&gt;"BM",0,OFFSET(BM!$M$15,$A22,0))</f>
        <v>0</v>
      </c>
      <c r="AM22" s="192">
        <f ca="1">IF(ACOMPANHAMENTO&lt;&gt;"BM",0,SUMPRODUCT(OFFSET(BM!$O$15,$A22,0,$B22)*(OFFSET(BM!$A$15,$A22,0,$B22)="S")*OFFSET(ORÇAMENTO!AA$15,$A22,0,$B22)/(OFFSET(ORÇAMENTO!$X$15,$A22,0,$B22)+10^-12)))</f>
        <v>0</v>
      </c>
      <c r="AN22" s="192">
        <f ca="1">IF(ACOMPANHAMENTO&lt;&gt;"BM",0,SUMPRODUCT(OFFSET(BM!$O$15,$A22,0,$B22)*(OFFSET(BM!$A$15,$A22,0,$B22)="S")*OFFSET(ORÇAMENTO!AB$15,$A22,0,$B22)/(OFFSET(ORÇAMENTO!$X$15,$A22,0,$B22)+10^-12)))</f>
        <v>0</v>
      </c>
      <c r="AO22" s="192">
        <f ca="1">IF(ACOMPANHAMENTO&lt;&gt;"BM",0,OFFSET(BM!$O$15,$A22,0))</f>
        <v>0</v>
      </c>
    </row>
    <row r="23" spans="1:41" x14ac:dyDescent="0.2">
      <c r="A23" t="e">
        <f ca="1">MATCH(E23,ORÇAMENTO!$E$15:$E$89,0)-1</f>
        <v>#N/A</v>
      </c>
      <c r="B23" t="e">
        <f ca="1">IF(ISERROR($A23),NA(),OFFSET(ORÇAMENTO!$D$15,$A23,0))</f>
        <v>#N/A</v>
      </c>
      <c r="C23" t="str">
        <f ca="1">QCI!B23</f>
        <v>Branco</v>
      </c>
      <c r="D23" t="str">
        <f ca="1">IF(L23&gt;0,"F","")</f>
        <v/>
      </c>
      <c r="E23" s="291">
        <f>QCI!D23</f>
        <v>10</v>
      </c>
      <c r="F23" s="375" t="str">
        <f ca="1">QCI!G23</f>
        <v/>
      </c>
      <c r="G23" s="376">
        <f>QCI!H23</f>
        <v>0</v>
      </c>
      <c r="H23" s="292">
        <f>QCI!I23</f>
        <v>0</v>
      </c>
      <c r="I23" s="292" t="str">
        <f ca="1">QCI!J23</f>
        <v/>
      </c>
      <c r="J23" s="377" t="str">
        <f ca="1">QCI!K23</f>
        <v/>
      </c>
      <c r="K23" s="378" t="str">
        <f ca="1">IF($C23="Automático",IF(ACOMPANHAMENTO="BM",BM.medicao,PLE.Medicao),IF(ISBLANK($X23),"",$X23))</f>
        <v/>
      </c>
      <c r="L23" s="296">
        <f ca="1">QCI!$O23</f>
        <v>0</v>
      </c>
      <c r="M23" s="293">
        <f ca="1">ROUND(IF(C23="Automático",AE23+AL23,Y23),2)</f>
        <v>0</v>
      </c>
      <c r="N23" s="294">
        <f ca="1">O23-M23</f>
        <v>0</v>
      </c>
      <c r="O23" s="295">
        <f ca="1">ROUND(IF(C23="Automático",AH23+AO23,Z23),2)</f>
        <v>0</v>
      </c>
      <c r="P23" s="380">
        <f ca="1">O23/(L23+10^-12)</f>
        <v>0</v>
      </c>
      <c r="R23" s="379">
        <f ca="1">ROUND(IF($C23="Automático",AC23+AJ23,$Y23*IF(ISERROR(QCI!$AA23/QCI!$O23),0,QCI!$AA23/QCI!$O23)),2)</f>
        <v>0</v>
      </c>
      <c r="S23" s="379">
        <f ca="1">ROUND(IF($C23="Automático",AD23+AK23,$Y23*IF(ISERROR(QCI!$AB23/QCI!$O23),0,QCI!$AB23/QCI!$O23)),2)</f>
        <v>0</v>
      </c>
      <c r="T23" s="379">
        <f ca="1">ROUND(IF($C23="Automático",AF23+AM23,$Z23*IF(ISERROR(QCI!$AA23/QCI!$O23),0,QCI!$AA23/QCI!$O23)),2)</f>
        <v>0</v>
      </c>
      <c r="U23" s="379">
        <f ca="1">ROUND(IF($C23="Automático",AG23+AN23,$Z23*IF(ISERROR(QCI!$AB23/QCI!$O23),0,QCI!$AB23/QCI!$O23)),2)</f>
        <v>0</v>
      </c>
      <c r="V23" s="481">
        <f ca="1">IF(AND($L23&gt;0,$J23&lt;&gt;0,$J23&lt;&gt;"",COUNTIF($J$13:$J23,$J23)=1),OFFSET(V23,-1,0)+1,OFFSET(V23,-1,0))</f>
        <v>0</v>
      </c>
      <c r="X23" s="553"/>
      <c r="Y23" s="297"/>
      <c r="Z23" s="298"/>
      <c r="AC23" s="192" t="e">
        <f ca="1">IF(ACOMPANHAMENTO&lt;&gt;"PLE",0,SUMPRODUCT((OFFSET(CÁLCULO!$AX$15:$BH$15,$A23,0,$B23)&lt;=(PLE.Medicao-1))*OFFSET(CÁLCULO!$AB$15:$AL$15,$A23,0,$B23)*OFFSET(ORÇAMENTO!$AA$15,$A23,0,$B23)/(OFFSET(ORÇAMENTO!$X$15,$A23,0,$B23)+10^-12))+IF(AUTOEVENTO="Manual",SUMPRODUCT((OFFSET(CÁLCULO!$M$15,$A23,0,$B23)=1)*OFFSET(ORÇAMENTO!$AA$15,$A23,0,$B23)*(PLE!$AE$9-PLE!$Y$9)),0))</f>
        <v>#N/A</v>
      </c>
      <c r="AD23" s="192" t="e">
        <f ca="1">IF(ACOMPANHAMENTO&lt;&gt;"PLE",0,SUMPRODUCT((OFFSET(CÁLCULO!$AX$15:$BH$15,$A23,0,$B23)&lt;=(PLE.Medicao-1))*OFFSET(CÁLCULO!$AB$15:$AL$15,$A23,0,$B23)*OFFSET(ORÇAMENTO!$AB$15,$A23,0,$B23)/(OFFSET(ORÇAMENTO!$X$15,$A23,0,$B23)+10^-12))+IF(AUTOEVENTO="Manual",SUMPRODUCT((OFFSET(CÁLCULO!$M$15,$A23,0,$B23)=1)*OFFSET(ORÇAMENTO!$AB$15,$A23,0,$B23)*(PLE!$AE$9-PLE!$Y$9)),0))</f>
        <v>#N/A</v>
      </c>
      <c r="AE23" s="192" t="e">
        <f ca="1">ROUND(IF(ACOMPANHAMENTO&lt;&gt;"PLE",0,SUMIF(OFFSET(CÁLCULO!$AX$15:$BH$15,$A23,0,$B23),"&lt;="&amp;(PLE.Medicao-1),OFFSET(CÁLCULO!$AB$15:$AL$15,$A23,0,$B23))+IF(AUTOEVENTO="Manual",SUMIF(OFFSET(CÁLCULO!$M$15,$A23,0,$B23),1,OFFSET(ORÇAMENTO!$X$15,$A23,0,$B23))*(PLE!$AE$9-PLE!$Y$9),0)),2)</f>
        <v>#N/A</v>
      </c>
      <c r="AF23" s="192" t="e">
        <f ca="1">IF(ACOMPANHAMENTO&lt;&gt;"PLE",0,SUMPRODUCT((OFFSET(CÁLCULO!$AX$15:$BH$15,$A23,0,$B23)&lt;=PLE.Medicao)*OFFSET(CÁLCULO!$AB$15:$AL$15,$A23,0,$B23)*OFFSET(ORÇAMENTO!$AA$15,$A23,0,$B23)/(OFFSET(ORÇAMENTO!$X$15,$A23,0,$B23)+10^-12))+IF(AUTOEVENTO="Manual",SUMPRODUCT((OFFSET(CÁLCULO!$M$15,$A23,0,$B23)=1)*OFFSET(ORÇAMENTO!$AA$15,$A23,0,$B23)*PLE!$AE$9),0))</f>
        <v>#N/A</v>
      </c>
      <c r="AG23" s="192" t="e">
        <f ca="1">IF(ACOMPANHAMENTO&lt;&gt;"PLE",0,SUMPRODUCT((OFFSET(CÁLCULO!$AX$15:$BH$15,$A23,0,$B23)&lt;=PLE.Medicao)*OFFSET(CÁLCULO!$AB$15:$AL$15,$A23,0,$B23)*OFFSET(ORÇAMENTO!$AB$15,$A23,0,$B23)/(OFFSET(ORÇAMENTO!$X$15,$A23,0,$B23)+10^-12))+IF(AUTOEVENTO="Manual",SUMPRODUCT((OFFSET(CÁLCULO!$M$15,$A23,0,$B23)=1)*OFFSET(ORÇAMENTO!$AB$15,$A23,0,$B23)*PLE!$AE$9),0))</f>
        <v>#N/A</v>
      </c>
      <c r="AH23" s="192" t="e">
        <f ca="1">ROUND(IF(ACOMPANHAMENTO&lt;&gt;"PLE",0,SUMIF(OFFSET(CÁLCULO!$AX$15:$BH$15,$A23,0,$B23),"&lt;="&amp;PLE.Medicao,OFFSET(CÁLCULO!$AB$15:$AL$15,$A23,0,$B23))+IF(AUTOEVENTO="Manual",SUMIF(OFFSET(CÁLCULO!$M$15,$A23,0,$B23),1,OFFSET(ORÇAMENTO!$X$15,$A23,0,$B23))*PLE!$AE$9,0)),2)</f>
        <v>#N/A</v>
      </c>
      <c r="AJ23" s="192">
        <f ca="1">IF(ACOMPANHAMENTO&lt;&gt;"BM",0,SUMPRODUCT(OFFSET(BM!$M$15,$A23,0,$B23)*(OFFSET(BM!$A$15,$A23,0,$B23)="S")*OFFSET(ORÇAMENTO!AA$15,$A23,0,$B23)/(OFFSET(ORÇAMENTO!$X$15,$A23,0,$B23)+10^-12)))</f>
        <v>0</v>
      </c>
      <c r="AK23" s="192">
        <f ca="1">IF(ACOMPANHAMENTO&lt;&gt;"BM",0,SUMPRODUCT(OFFSET(BM!$M$15,$A23,0,$B23)*(OFFSET(BM!$A$15,$A23,0,$B23)="S")*OFFSET(ORÇAMENTO!AB$15,$A23,0,$B23)/(OFFSET(ORÇAMENTO!$X$15,$A23,0,$B23)+10^-12)))</f>
        <v>0</v>
      </c>
      <c r="AL23" s="192">
        <f ca="1">IF(ACOMPANHAMENTO&lt;&gt;"BM",0,OFFSET(BM!$M$15,$A23,0))</f>
        <v>0</v>
      </c>
      <c r="AM23" s="192">
        <f ca="1">IF(ACOMPANHAMENTO&lt;&gt;"BM",0,SUMPRODUCT(OFFSET(BM!$O$15,$A23,0,$B23)*(OFFSET(BM!$A$15,$A23,0,$B23)="S")*OFFSET(ORÇAMENTO!AA$15,$A23,0,$B23)/(OFFSET(ORÇAMENTO!$X$15,$A23,0,$B23)+10^-12)))</f>
        <v>0</v>
      </c>
      <c r="AN23" s="192">
        <f ca="1">IF(ACOMPANHAMENTO&lt;&gt;"BM",0,SUMPRODUCT(OFFSET(BM!$O$15,$A23,0,$B23)*(OFFSET(BM!$A$15,$A23,0,$B23)="S")*OFFSET(ORÇAMENTO!AB$15,$A23,0,$B23)/(OFFSET(ORÇAMENTO!$X$15,$A23,0,$B23)+10^-12)))</f>
        <v>0</v>
      </c>
      <c r="AO23" s="192">
        <f ca="1">IF(ACOMPANHAMENTO&lt;&gt;"BM",0,OFFSET(BM!$O$15,$A23,0))</f>
        <v>0</v>
      </c>
    </row>
    <row r="24" spans="1:41" ht="12.95" customHeight="1" x14ac:dyDescent="0.2">
      <c r="D24" t="s">
        <v>244</v>
      </c>
      <c r="E24" s="1"/>
      <c r="F24" s="1"/>
      <c r="G24" s="1"/>
      <c r="H24" s="1"/>
      <c r="I24" s="2"/>
      <c r="J24" s="812" t="s">
        <v>370</v>
      </c>
      <c r="K24" s="813"/>
      <c r="L24" s="382">
        <f ca="1">IF(ISERROR(L28/$L28),0,ROUND(L28/$L28,4))</f>
        <v>0</v>
      </c>
      <c r="M24" s="384">
        <f ca="1">IF(ISERROR(M28/$L28),0,ROUND(M28/$L28,4))</f>
        <v>0</v>
      </c>
      <c r="N24" s="383">
        <f ca="1">IF(ISERROR(N28/$L28),0,ROUND(N28/$L28,4))</f>
        <v>0</v>
      </c>
      <c r="O24" s="385">
        <f ca="1">IF(ISERROR(O28/$L28),0,ROUND(O28/$L28,4))</f>
        <v>0</v>
      </c>
      <c r="P24" s="814">
        <f ca="1">O28/(L28+10^-12)</f>
        <v>0</v>
      </c>
      <c r="X24" s="314"/>
      <c r="Y24" s="316"/>
      <c r="Z24" s="317"/>
    </row>
    <row r="25" spans="1:41" ht="12.95" customHeight="1" x14ac:dyDescent="0.2">
      <c r="D25" t="s">
        <v>244</v>
      </c>
      <c r="I25" s="4"/>
      <c r="J25" s="815" t="str">
        <f>IF(import.recurso="FGTS","Financiamento","Repasse")</f>
        <v>Repasse</v>
      </c>
      <c r="K25" s="816"/>
      <c r="L25" s="296">
        <f ca="1">QCI!L24</f>
        <v>0</v>
      </c>
      <c r="M25" s="293">
        <f ca="1">M28-M27-M26</f>
        <v>0</v>
      </c>
      <c r="N25" s="294">
        <f ca="1">O25-M25</f>
        <v>0</v>
      </c>
      <c r="O25" s="295">
        <f ca="1">O28-O27-O26</f>
        <v>0</v>
      </c>
      <c r="P25" s="814"/>
      <c r="X25" s="386"/>
      <c r="Y25" s="387" t="s">
        <v>371</v>
      </c>
      <c r="Z25" s="388" t="s">
        <v>372</v>
      </c>
      <c r="AC25" s="389" t="s">
        <v>373</v>
      </c>
      <c r="AD25" s="389" t="s">
        <v>374</v>
      </c>
    </row>
    <row r="26" spans="1:41" ht="12.95" customHeight="1" x14ac:dyDescent="0.2">
      <c r="D26" t="s">
        <v>244</v>
      </c>
      <c r="I26" s="4"/>
      <c r="J26" s="817" t="s">
        <v>375</v>
      </c>
      <c r="K26" s="818"/>
      <c r="L26" s="390">
        <f ca="1">QCI!M24</f>
        <v>0</v>
      </c>
      <c r="M26" s="391">
        <f ca="1">ROUND(IF(OFFSET($X$26,0,1)&lt;&gt;"",OFFSET($X$26,0,1),SUM(R13:OFFSET(R24,-1,0))),2)</f>
        <v>0</v>
      </c>
      <c r="N26" s="392">
        <f ca="1">O26-M26</f>
        <v>0</v>
      </c>
      <c r="O26" s="393">
        <f ca="1">IF(OFFSET($X$26,0,2)&lt;&gt;"",OFFSET($X$26,0,2),$AE$3)</f>
        <v>0</v>
      </c>
      <c r="P26" s="814"/>
      <c r="X26" s="394" t="s">
        <v>168</v>
      </c>
      <c r="Y26" s="476"/>
      <c r="Z26" s="477"/>
      <c r="AC26" s="395">
        <f ca="1">MIN($L26,$O$28-OFFSET($X$27,0,1))</f>
        <v>0</v>
      </c>
      <c r="AD26" s="395">
        <f ca="1">MIN($L26,$O$28-OFFSET($X$27,0,2))</f>
        <v>0</v>
      </c>
    </row>
    <row r="27" spans="1:41" ht="12.95" customHeight="1" x14ac:dyDescent="0.2">
      <c r="D27" t="s">
        <v>244</v>
      </c>
      <c r="I27" s="4"/>
      <c r="J27" s="819" t="s">
        <v>352</v>
      </c>
      <c r="K27" s="820"/>
      <c r="L27" s="396">
        <f ca="1">QCI!N24</f>
        <v>0</v>
      </c>
      <c r="M27" s="397">
        <f ca="1">ROUND(IF(OFFSET($X$27,0,1)&lt;&gt;"",OFFSET($X$27,0,1),SUM(S13:OFFSET(S24,-1,0))),2)</f>
        <v>0</v>
      </c>
      <c r="N27" s="398">
        <f ca="1">O27-M27</f>
        <v>0</v>
      </c>
      <c r="O27" s="399">
        <f ca="1">IF(OFFSET($X$27,0,2)&lt;&gt;"",OFFSET($X$27,0,2),$AE$4)</f>
        <v>0</v>
      </c>
      <c r="P27" s="814"/>
      <c r="X27" s="400" t="s">
        <v>274</v>
      </c>
      <c r="Y27" s="478"/>
      <c r="Z27" s="479"/>
      <c r="AC27" s="395">
        <f ca="1">MIN($L27,$O$28-OFFSET($X$26,0,1))</f>
        <v>0</v>
      </c>
      <c r="AD27" s="395">
        <f ca="1">MIN($L27,$O$28-OFFSET($X$26,0,2))</f>
        <v>0</v>
      </c>
    </row>
    <row r="28" spans="1:41" ht="15" x14ac:dyDescent="0.2">
      <c r="D28" t="s">
        <v>244</v>
      </c>
      <c r="I28" s="4"/>
      <c r="J28" s="821" t="s">
        <v>354</v>
      </c>
      <c r="K28" s="822"/>
      <c r="L28" s="401">
        <f ca="1">SUM(L13:OFFSET(L24,-1,0))</f>
        <v>0</v>
      </c>
      <c r="M28" s="402">
        <f ca="1">ROUND(SUM(M13:OFFSET(M24,-1,0)),2)</f>
        <v>0</v>
      </c>
      <c r="N28" s="403">
        <f ca="1">O28-M28</f>
        <v>0</v>
      </c>
      <c r="O28" s="404">
        <f ca="1">SUM(O13:OFFSET(O24,-1,0))</f>
        <v>0</v>
      </c>
      <c r="P28" s="814"/>
      <c r="X28" s="326"/>
      <c r="Y28" s="328"/>
      <c r="Z28" s="329"/>
    </row>
    <row r="29" spans="1:41" x14ac:dyDescent="0.2">
      <c r="O29" s="823" t="str">
        <f ca="1">"Acumulado Anterior:  "&amp;TEXT($M$28/($L$28+10^-12),"0,00%")</f>
        <v>Acumulado Anterior:  0,00%</v>
      </c>
      <c r="P29" s="823"/>
    </row>
    <row r="30" spans="1:41" ht="14.25" x14ac:dyDescent="0.2">
      <c r="E30" s="141" t="s">
        <v>185</v>
      </c>
      <c r="P30" s="432"/>
    </row>
    <row r="31" spans="1:41" ht="12.75" customHeight="1" x14ac:dyDescent="0.2">
      <c r="E31" s="806"/>
      <c r="F31" s="807"/>
      <c r="G31" s="807"/>
      <c r="H31" s="807"/>
      <c r="I31" s="807"/>
      <c r="J31" s="807"/>
      <c r="K31" s="807"/>
      <c r="L31" s="807"/>
      <c r="M31" s="807"/>
      <c r="N31" s="807"/>
      <c r="O31" s="807"/>
      <c r="P31" s="808"/>
    </row>
    <row r="32" spans="1:41" ht="12.75" customHeight="1" x14ac:dyDescent="0.2">
      <c r="E32" s="806"/>
      <c r="F32" s="807"/>
      <c r="G32" s="807"/>
      <c r="H32" s="807"/>
      <c r="I32" s="807"/>
      <c r="J32" s="807"/>
      <c r="K32" s="807"/>
      <c r="L32" s="807"/>
      <c r="M32" s="807"/>
      <c r="N32" s="807"/>
      <c r="O32" s="807"/>
      <c r="P32" s="808"/>
      <c r="Y32" s="405"/>
      <c r="Z32" s="405"/>
    </row>
    <row r="33" spans="5:16" ht="12.75" customHeight="1" x14ac:dyDescent="0.2">
      <c r="E33" s="809"/>
      <c r="F33" s="810"/>
      <c r="G33" s="810"/>
      <c r="H33" s="810"/>
      <c r="I33" s="810"/>
      <c r="J33" s="810"/>
      <c r="K33" s="810"/>
      <c r="L33" s="810"/>
      <c r="M33" s="810"/>
      <c r="N33" s="810"/>
      <c r="O33" s="810"/>
      <c r="P33" s="811"/>
    </row>
    <row r="34" spans="5:16" x14ac:dyDescent="0.2">
      <c r="L34" s="629" t="str">
        <f>IF(L35=0,"Preencher a data de fechamento do RRE na aba DADOS (célula "&amp;ADDRESS(ROW(Import.DataFechaRRE),COLUMN(Import.DataFechaRRE),4)&amp;")","")</f>
        <v>Preencher a data de fechamento do RRE na aba DADOS (célula C48)</v>
      </c>
    </row>
    <row r="35" spans="5:16" ht="15" x14ac:dyDescent="0.2">
      <c r="E35" s="676" t="str">
        <f>Import.Município</f>
        <v>SARANDI/RS</v>
      </c>
      <c r="F35" s="676"/>
      <c r="G35" s="676"/>
      <c r="I35" s="406"/>
      <c r="K35" s="643"/>
      <c r="L35" s="754">
        <f>DADOS!$C$48</f>
        <v>0</v>
      </c>
      <c r="M35" s="754"/>
      <c r="N35" s="754"/>
      <c r="O35" s="754"/>
    </row>
    <row r="36" spans="5:16" x14ac:dyDescent="0.2">
      <c r="E36" s="10" t="s">
        <v>186</v>
      </c>
      <c r="L36" s="10" t="s">
        <v>187</v>
      </c>
    </row>
    <row r="38" spans="5:16" x14ac:dyDescent="0.2">
      <c r="E38" s="189"/>
      <c r="F38" s="189"/>
      <c r="G38" s="189"/>
      <c r="L38" s="189"/>
      <c r="M38" s="189"/>
      <c r="N38" s="189"/>
      <c r="O38" s="189"/>
    </row>
    <row r="39" spans="5:16" x14ac:dyDescent="0.2">
      <c r="E39" s="407" t="str">
        <f>IF(CAIXA.Modo,"Responsável Gerencial CAIXA","Representante Tomador")</f>
        <v>Representante Tomador</v>
      </c>
      <c r="F39" s="7"/>
      <c r="L39" s="407" t="str">
        <f>IF(CAIXA.Modo,"Responsável Técnico CAIXA","Responsável Técnico pela Fiscalização")</f>
        <v>Responsável Técnico pela Fiscalização</v>
      </c>
    </row>
    <row r="40" spans="5:16" x14ac:dyDescent="0.2">
      <c r="E40" s="78" t="s">
        <v>108</v>
      </c>
      <c r="F40" s="281" t="str">
        <f>IF(CAIXA.Modo,DADOS!C60,DADOS!C28)</f>
        <v>PREFEITO MUNICIPAL</v>
      </c>
      <c r="L40" s="78" t="s">
        <v>108</v>
      </c>
      <c r="M40" s="792">
        <f>IF(CAIXA.Modo,BM!X101,DADOS!C51)</f>
        <v>0</v>
      </c>
      <c r="N40" s="792"/>
      <c r="O40" s="792"/>
    </row>
    <row r="41" spans="5:16" x14ac:dyDescent="0.2">
      <c r="E41" s="78" t="str">
        <f>IF(CAIXA.Modo,"Função:","Cargo:")</f>
        <v>Cargo:</v>
      </c>
      <c r="F41" s="281" t="str">
        <f>IF(CAIXA.Modo,DADOS!C61,DADOS!C29)</f>
        <v>PREFEITO MUNICIPAL</v>
      </c>
      <c r="L41" s="78" t="str">
        <f>IF(CAIXA.Modo,"Matrícula:","Profissão:")</f>
        <v>Profissão:</v>
      </c>
      <c r="M41" s="792">
        <f>IF(CAIXA.Modo,BM!X102,DADOS!C52)</f>
        <v>0</v>
      </c>
      <c r="N41" s="792"/>
      <c r="O41" s="792"/>
    </row>
    <row r="42" spans="5:16" x14ac:dyDescent="0.2">
      <c r="L42" s="78" t="s">
        <v>109</v>
      </c>
      <c r="M42" s="792">
        <f>IF(CAIXA.Modo,BM!X103,DADOS!C53)</f>
        <v>0</v>
      </c>
      <c r="N42" s="792"/>
      <c r="O42" s="792"/>
    </row>
    <row r="43" spans="5:16" x14ac:dyDescent="0.2">
      <c r="L43" s="78" t="str">
        <f>IF(CAIXA.Modo,"","ART/RRT:")</f>
        <v>ART/RRT:</v>
      </c>
      <c r="M43" s="13">
        <f>IF(CAIXA.Modo,"",DADOS!C54)</f>
        <v>0</v>
      </c>
    </row>
    <row r="45" spans="5:16" x14ac:dyDescent="0.2">
      <c r="E45" s="189"/>
      <c r="F45" s="189"/>
      <c r="G45" s="189"/>
      <c r="L45" s="189"/>
      <c r="M45" s="189"/>
      <c r="N45" s="189"/>
      <c r="O45" s="18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91"/>
      <c r="G47" s="791"/>
      <c r="L47" s="78" t="s">
        <v>108</v>
      </c>
      <c r="M47" s="791"/>
      <c r="N47" s="791"/>
      <c r="O47" s="791"/>
    </row>
    <row r="48" spans="5:16" x14ac:dyDescent="0.2">
      <c r="E48" s="78" t="str">
        <f>IF(CAIXA.Modo,"Função:","Cargo:")</f>
        <v>Cargo:</v>
      </c>
      <c r="F48" s="791"/>
      <c r="G48" s="791"/>
      <c r="L48" s="78" t="str">
        <f>IF(CAIXA.Modo,"Função:","Cargo:")</f>
        <v>Cargo:</v>
      </c>
      <c r="M48" s="791"/>
      <c r="N48" s="791"/>
      <c r="O48" s="791"/>
    </row>
    <row r="49" spans="5:15" x14ac:dyDescent="0.2">
      <c r="E49" s="78" t="str">
        <f>IF(CAIXA.Modo,"Matr:","")</f>
        <v/>
      </c>
      <c r="F49" s="791"/>
      <c r="G49" s="791"/>
      <c r="L49" s="78" t="str">
        <f>IF(CAIXA.Modo,"Matrícula:","")</f>
        <v/>
      </c>
      <c r="M49" s="791"/>
      <c r="N49" s="791"/>
      <c r="O49" s="791"/>
    </row>
  </sheetData>
  <sheetProtection algorithmName="SHA-512" hashValue="7zFURwHLdDHGI0ge+CcKB2AXy4f5/CaKIDyZe2mkiFYDtHne2Kx/Vlu8CUdtc3VdbQ+e+NMDy8Yjq3Ft5j3eaQ==" saltValue="X8qOQh3hE4hOvJ2pxckhz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308" stopIfTrue="1">
      <formula>OR($C12="Automático",$C12="Branco")</formula>
    </cfRule>
  </conditionalFormatting>
  <conditionalFormatting sqref="F49:G49 M49:O49">
    <cfRule type="expression" dxfId="46" priority="309" stopIfTrue="1">
      <formula>CAIXA.Modo=FALSE</formula>
    </cfRule>
  </conditionalFormatting>
  <conditionalFormatting sqref="M12 M25:M28 O12 O25:O28">
    <cfRule type="cellIs" dxfId="45" priority="310" stopIfTrue="1" operator="notBetween">
      <formula>0</formula>
      <formula>$L12</formula>
    </cfRule>
  </conditionalFormatting>
  <conditionalFormatting sqref="M10:N10">
    <cfRule type="cellIs" dxfId="44" priority="311"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0" firstPageNumber="0" fitToHeight="0" orientation="landscape" horizontalDpi="300" verticalDpi="300" r:id="rId1"/>
  <headerFooter alignWithMargins="0">
    <oddHeader>&amp;L_&amp;C&amp;14I</oddHeader>
    <oddFooter>&amp;LPMv3.08&amp;R&amp;P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50"/>
      <c r="E1" s="50"/>
      <c r="F1" s="50"/>
      <c r="G1" s="53" t="s">
        <v>139</v>
      </c>
    </row>
    <row r="2" spans="2:13" x14ac:dyDescent="0.2">
      <c r="B2" s="848"/>
      <c r="C2" s="848"/>
      <c r="D2" s="50"/>
      <c r="E2" s="50"/>
      <c r="F2" s="50"/>
      <c r="G2" s="12" t="s">
        <v>376</v>
      </c>
    </row>
    <row r="3" spans="2:13" ht="26.1" customHeight="1" x14ac:dyDescent="0.2">
      <c r="B3" s="848"/>
      <c r="C3" s="848"/>
      <c r="D3" s="50"/>
      <c r="E3" s="50"/>
      <c r="F3" s="50"/>
      <c r="G3" s="408"/>
    </row>
    <row r="4" spans="2:13" ht="12.75" customHeight="1" x14ac:dyDescent="0.2">
      <c r="B4" s="848"/>
      <c r="C4" s="848"/>
      <c r="D4" s="50"/>
      <c r="E4" s="50"/>
      <c r="F4" s="50"/>
      <c r="G4" s="50"/>
    </row>
    <row r="5" spans="2:13" x14ac:dyDescent="0.2">
      <c r="C5" s="629" t="str">
        <f>IF(Import.Ofício.Num=0,"Preencher o número do Ofício","")</f>
        <v>Preencher o número do Ofício</v>
      </c>
    </row>
    <row r="6" spans="2:13" x14ac:dyDescent="0.2">
      <c r="B6" s="409" t="s">
        <v>377</v>
      </c>
      <c r="C6" s="846"/>
      <c r="D6" s="846"/>
      <c r="E6" s="409"/>
      <c r="F6" s="409"/>
      <c r="G6" s="50"/>
      <c r="J6" s="10"/>
    </row>
    <row r="7" spans="2:13" x14ac:dyDescent="0.2">
      <c r="B7" s="50"/>
      <c r="C7" s="50"/>
      <c r="D7" s="50"/>
      <c r="E7" s="50"/>
      <c r="F7" s="50"/>
      <c r="G7" s="50"/>
    </row>
    <row r="8" spans="2:13" x14ac:dyDescent="0.2">
      <c r="B8" s="847" t="str">
        <f>CONCATENATE(RRE!$E$35,", ",TEXT(RRE!$L$35,"dd"" de ""mmmm"" de ""aaaa"))</f>
        <v>SARANDI/RS, 00 de janeiro de 1900</v>
      </c>
      <c r="C8" s="847"/>
      <c r="D8" s="847"/>
      <c r="E8" s="847"/>
      <c r="F8" s="847"/>
      <c r="G8" s="847"/>
      <c r="H8" s="410"/>
      <c r="J8" s="410"/>
      <c r="K8" s="410"/>
      <c r="L8" s="410"/>
      <c r="M8" s="410"/>
    </row>
    <row r="9" spans="2:13" x14ac:dyDescent="0.2">
      <c r="B9" s="411" t="s">
        <v>378</v>
      </c>
      <c r="C9" s="50"/>
      <c r="D9" s="50"/>
      <c r="G9" s="50"/>
      <c r="H9" s="410"/>
      <c r="J9" s="410"/>
      <c r="K9" s="410"/>
      <c r="L9" s="410"/>
      <c r="M9" s="410"/>
    </row>
    <row r="10" spans="2:13" x14ac:dyDescent="0.2">
      <c r="B10" s="841" t="s">
        <v>379</v>
      </c>
      <c r="C10" s="841"/>
      <c r="D10" s="841"/>
      <c r="G10" s="50"/>
      <c r="H10" s="410"/>
      <c r="J10" s="410"/>
      <c r="K10" s="410"/>
      <c r="L10" s="410"/>
      <c r="M10" s="410"/>
    </row>
    <row r="11" spans="2:13" x14ac:dyDescent="0.2">
      <c r="B11" s="412" t="s">
        <v>397</v>
      </c>
      <c r="C11" s="791"/>
      <c r="D11" s="791"/>
      <c r="G11" s="50"/>
      <c r="H11" s="410"/>
      <c r="J11" s="410"/>
      <c r="K11" s="410"/>
      <c r="L11" s="410"/>
      <c r="M11" s="410"/>
    </row>
    <row r="12" spans="2:13" x14ac:dyDescent="0.2">
      <c r="B12" s="413"/>
      <c r="C12" s="413"/>
      <c r="D12" s="413"/>
      <c r="E12" s="413"/>
      <c r="F12" s="413"/>
      <c r="G12" s="50"/>
      <c r="H12" s="410"/>
      <c r="J12" s="410"/>
      <c r="K12" s="410"/>
      <c r="L12" s="410"/>
      <c r="M12" s="410"/>
    </row>
    <row r="13" spans="2:13" x14ac:dyDescent="0.2">
      <c r="B13" s="50"/>
      <c r="C13" s="50"/>
      <c r="D13" s="50"/>
      <c r="E13" s="50"/>
      <c r="F13" s="50"/>
      <c r="G13" s="50"/>
    </row>
    <row r="14" spans="2:13" x14ac:dyDescent="0.2">
      <c r="B14" s="411" t="s">
        <v>380</v>
      </c>
      <c r="C14" s="841" t="str">
        <f ca="1">CONCATENATE(RRE.Numero,"ª"," Solicitação de ",IF(import.recurso="OGU","Desbloqueio","Desembolso")," de Recursos.")</f>
        <v>1ª Solicitação de Desbloqueio de Recursos.</v>
      </c>
      <c r="D14" s="841"/>
      <c r="E14" s="841"/>
      <c r="F14" s="841"/>
      <c r="G14" s="841"/>
    </row>
    <row r="15" spans="2:13" ht="12.75" customHeight="1" x14ac:dyDescent="0.2">
      <c r="B15" s="411" t="s">
        <v>381</v>
      </c>
      <c r="C15" s="842" t="str">
        <f>CONCATENATE("Contrato de ",IF(import.recurso="OGU","Repasse","Financiamento")," - Operação nº ",Import.CR,IF(Import.TransfereGOV="","",CONCATENATE(" - TransfereGOV nº ",Import.TransfereGOV)))</f>
        <v>Contrato de Repasse - Operação nº 000000-00 - TransfereGOV nº 000000</v>
      </c>
      <c r="D15" s="842"/>
      <c r="E15" s="842"/>
      <c r="F15" s="842"/>
      <c r="G15" s="842"/>
    </row>
    <row r="16" spans="2:13" x14ac:dyDescent="0.2">
      <c r="B16" s="411"/>
      <c r="C16" s="842"/>
      <c r="D16" s="842"/>
      <c r="E16" s="842"/>
      <c r="F16" s="842"/>
      <c r="G16" s="842"/>
    </row>
    <row r="17" spans="2:7" x14ac:dyDescent="0.2">
      <c r="B17" s="50"/>
      <c r="C17" s="50"/>
      <c r="D17" s="50"/>
      <c r="E17" s="50"/>
      <c r="F17" s="50"/>
      <c r="G17" s="50"/>
    </row>
    <row r="18" spans="2:7" ht="12.75" customHeight="1" x14ac:dyDescent="0.2">
      <c r="B18" s="281" t="s">
        <v>382</v>
      </c>
      <c r="C18" s="843" t="str">
        <f>Import.DescLote</f>
        <v>PAVILHÃO COMUNITÁRIO COMUNIDADE ÁREA 10</v>
      </c>
      <c r="D18" s="843"/>
      <c r="E18" s="843"/>
      <c r="F18" s="843"/>
      <c r="G18" s="843"/>
    </row>
    <row r="19" spans="2:7" ht="12.75" customHeight="1" x14ac:dyDescent="0.2">
      <c r="B19" s="839" t="s">
        <v>383</v>
      </c>
      <c r="C19" s="840" t="str">
        <f>Import.Proponente</f>
        <v>PREFEITURA MUNICIPAL DE SARANDI/RS</v>
      </c>
      <c r="D19" s="840"/>
      <c r="E19" s="840"/>
      <c r="F19" s="840"/>
      <c r="G19" s="840"/>
    </row>
    <row r="20" spans="2:7" x14ac:dyDescent="0.2">
      <c r="B20" s="839"/>
      <c r="C20" s="840"/>
      <c r="D20" s="840"/>
      <c r="E20" s="840"/>
      <c r="F20" s="840"/>
      <c r="G20" s="840"/>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84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3"/>
      <c r="D24" s="843"/>
      <c r="E24" s="843"/>
      <c r="F24" s="843"/>
      <c r="G24" s="843"/>
    </row>
    <row r="25" spans="2:7" x14ac:dyDescent="0.2">
      <c r="B25" s="843"/>
      <c r="C25" s="843"/>
      <c r="D25" s="843"/>
      <c r="E25" s="843"/>
      <c r="F25" s="843"/>
      <c r="G25" s="843"/>
    </row>
    <row r="26" spans="2:7" x14ac:dyDescent="0.2">
      <c r="B26" s="843"/>
      <c r="C26" s="843"/>
      <c r="D26" s="843"/>
      <c r="E26" s="843"/>
      <c r="F26" s="843"/>
      <c r="G26" s="843"/>
    </row>
    <row r="27" spans="2:7" x14ac:dyDescent="0.2">
      <c r="B27" s="50"/>
      <c r="C27" s="50"/>
      <c r="D27" s="50"/>
      <c r="E27" s="50"/>
      <c r="F27" s="50"/>
      <c r="G27" s="50"/>
    </row>
    <row r="28" spans="2:7" ht="12.75" customHeight="1" x14ac:dyDescent="0.2">
      <c r="B28" s="838"/>
      <c r="C28" s="838"/>
      <c r="D28" s="844" t="s">
        <v>384</v>
      </c>
      <c r="E28" s="844" t="str">
        <f ca="1">"Evolução da "&amp;RRE.Numero&amp;"ª Medição"</f>
        <v>Evolução da 1ª Medição</v>
      </c>
      <c r="F28" s="845" t="s">
        <v>385</v>
      </c>
      <c r="G28" s="845"/>
    </row>
    <row r="29" spans="2:7" x14ac:dyDescent="0.2">
      <c r="B29" s="838"/>
      <c r="C29" s="838"/>
      <c r="D29" s="844"/>
      <c r="E29" s="844"/>
      <c r="F29" s="845"/>
      <c r="G29" s="845"/>
    </row>
    <row r="30" spans="2:7" x14ac:dyDescent="0.2">
      <c r="B30" s="833" t="str">
        <f>IF(import.recurso="FGTS","Financiamento:","Repasse:")</f>
        <v>Repasse:</v>
      </c>
      <c r="C30" s="833"/>
      <c r="D30" s="414">
        <f ca="1">RRE!L25</f>
        <v>0</v>
      </c>
      <c r="E30" s="414">
        <f ca="1">RRE!N25</f>
        <v>0</v>
      </c>
      <c r="F30" s="834">
        <f ca="1">RRE!O25</f>
        <v>0</v>
      </c>
      <c r="G30" s="834"/>
    </row>
    <row r="31" spans="2:7" x14ac:dyDescent="0.2">
      <c r="B31" s="833" t="s">
        <v>386</v>
      </c>
      <c r="C31" s="833"/>
      <c r="D31" s="414">
        <f ca="1">RRE!L26</f>
        <v>0</v>
      </c>
      <c r="E31" s="414">
        <f ca="1">RRE!N26</f>
        <v>0</v>
      </c>
      <c r="F31" s="834">
        <f ca="1">RRE!O26</f>
        <v>0</v>
      </c>
      <c r="G31" s="834"/>
    </row>
    <row r="32" spans="2:7" x14ac:dyDescent="0.2">
      <c r="B32" s="833" t="s">
        <v>281</v>
      </c>
      <c r="C32" s="833"/>
      <c r="D32" s="414">
        <f ca="1">RRE!L27</f>
        <v>0</v>
      </c>
      <c r="E32" s="414">
        <f ca="1">RRE!N27</f>
        <v>0</v>
      </c>
      <c r="F32" s="834">
        <f ca="1">RRE!O27</f>
        <v>0</v>
      </c>
      <c r="G32" s="834"/>
    </row>
    <row r="33" spans="2:7" x14ac:dyDescent="0.2">
      <c r="B33" s="833" t="s">
        <v>282</v>
      </c>
      <c r="C33" s="833"/>
      <c r="D33" s="414">
        <f ca="1">RRE!L28</f>
        <v>0</v>
      </c>
      <c r="E33" s="414">
        <f ca="1">RRE!N28</f>
        <v>0</v>
      </c>
      <c r="F33" s="834">
        <f ca="1">RRE!O28</f>
        <v>0</v>
      </c>
      <c r="G33" s="834"/>
    </row>
    <row r="34" spans="2:7" x14ac:dyDescent="0.2">
      <c r="B34" s="835" t="s">
        <v>387</v>
      </c>
      <c r="C34" s="835"/>
      <c r="D34" s="415" t="s">
        <v>165</v>
      </c>
      <c r="E34" s="416">
        <f ca="1">RRE!$N$28/(RRE!$L$28+10^-12)</f>
        <v>0</v>
      </c>
      <c r="F34" s="836">
        <f ca="1">RRE!P24</f>
        <v>0</v>
      </c>
      <c r="G34" s="836"/>
    </row>
    <row r="35" spans="2:7" x14ac:dyDescent="0.2">
      <c r="B35" s="190"/>
      <c r="C35" s="50"/>
      <c r="D35" s="50"/>
      <c r="E35" s="50"/>
      <c r="F35" s="50"/>
      <c r="G35" s="50"/>
    </row>
    <row r="36" spans="2:7" x14ac:dyDescent="0.2">
      <c r="B36" s="190"/>
      <c r="C36" s="190"/>
      <c r="D36" s="190"/>
      <c r="E36" s="190"/>
      <c r="F36" s="190"/>
      <c r="G36" s="50"/>
    </row>
    <row r="37" spans="2:7" x14ac:dyDescent="0.2">
      <c r="B37" s="837" t="str">
        <f ca="1">IF(RRE.Numero&gt;1,"2. Encaminhamos ainda a documentação relativa à prestação de contas da etapa físico-financeira anterior.","")</f>
        <v/>
      </c>
      <c r="C37" s="837"/>
      <c r="D37" s="837"/>
      <c r="E37" s="837"/>
      <c r="F37" s="837"/>
      <c r="G37" s="837"/>
    </row>
    <row r="38" spans="2:7" x14ac:dyDescent="0.2">
      <c r="B38" s="837"/>
      <c r="C38" s="837"/>
      <c r="D38" s="837"/>
      <c r="E38" s="837"/>
      <c r="F38" s="837"/>
      <c r="G38" s="837"/>
    </row>
    <row r="39" spans="2:7" ht="12.75" customHeight="1" x14ac:dyDescent="0.2">
      <c r="B39" s="837" t="str">
        <f ca="1">IF(AND(RRE.Numero&gt;1,NOT(ISBLANK(Import.TransfereGOV))),"3. Na oportunidade, informamos que a execução financeira da parcela anterior está devidamente comprovada no TransfereGOV.","")</f>
        <v/>
      </c>
      <c r="C39" s="837"/>
      <c r="D39" s="837"/>
      <c r="E39" s="837"/>
      <c r="F39" s="837"/>
      <c r="G39" s="837"/>
    </row>
    <row r="40" spans="2:7" x14ac:dyDescent="0.2">
      <c r="B40" s="837"/>
      <c r="C40" s="837"/>
      <c r="D40" s="837"/>
      <c r="E40" s="837"/>
      <c r="F40" s="837"/>
      <c r="G40" s="837"/>
    </row>
    <row r="41" spans="2:7" x14ac:dyDescent="0.2">
      <c r="B41" s="417"/>
      <c r="C41" s="412"/>
      <c r="D41" s="412"/>
      <c r="E41" s="412"/>
      <c r="F41" s="412"/>
      <c r="G41" s="412"/>
    </row>
    <row r="42" spans="2:7" ht="12.75" customHeight="1" x14ac:dyDescent="0.2">
      <c r="B42" s="837"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37"/>
      <c r="D42" s="837"/>
      <c r="E42" s="837"/>
      <c r="F42" s="837"/>
      <c r="G42" s="837"/>
    </row>
    <row r="43" spans="2:7" x14ac:dyDescent="0.2">
      <c r="B43" s="837"/>
      <c r="C43" s="837"/>
      <c r="D43" s="837"/>
      <c r="E43" s="837"/>
      <c r="F43" s="837"/>
      <c r="G43" s="837"/>
    </row>
    <row r="44" spans="2:7" x14ac:dyDescent="0.2">
      <c r="B44" s="837"/>
      <c r="C44" s="837"/>
      <c r="D44" s="837"/>
      <c r="E44" s="837"/>
      <c r="F44" s="837"/>
      <c r="G44" s="837"/>
    </row>
    <row r="45" spans="2:7" x14ac:dyDescent="0.2">
      <c r="B45" s="837"/>
      <c r="C45" s="837"/>
      <c r="D45" s="837"/>
      <c r="E45" s="837"/>
      <c r="F45" s="837"/>
      <c r="G45" s="837"/>
    </row>
    <row r="46" spans="2:7" x14ac:dyDescent="0.2">
      <c r="B46" s="837"/>
      <c r="C46" s="837"/>
      <c r="D46" s="837"/>
      <c r="E46" s="837"/>
      <c r="F46" s="837"/>
      <c r="G46" s="837"/>
    </row>
    <row r="47" spans="2:7" x14ac:dyDescent="0.2">
      <c r="G47" s="287"/>
    </row>
    <row r="48" spans="2:7" x14ac:dyDescent="0.2">
      <c r="G48" s="287"/>
    </row>
    <row r="49" spans="2:7" x14ac:dyDescent="0.2">
      <c r="B49" s="50" t="s">
        <v>388</v>
      </c>
      <c r="G49" s="287"/>
    </row>
    <row r="50" spans="2:7" x14ac:dyDescent="0.2">
      <c r="B50" s="287"/>
      <c r="C50" s="287"/>
      <c r="D50" s="287"/>
      <c r="E50" s="287"/>
      <c r="F50" s="287"/>
      <c r="G50" s="287"/>
    </row>
    <row r="51" spans="2:7" x14ac:dyDescent="0.2">
      <c r="B51" s="50"/>
      <c r="C51" s="50"/>
      <c r="D51" s="50"/>
      <c r="E51" s="50"/>
      <c r="F51" s="50"/>
      <c r="G51" s="50"/>
    </row>
    <row r="52" spans="2:7" x14ac:dyDescent="0.2">
      <c r="B52" s="50"/>
      <c r="C52" s="50"/>
      <c r="D52" s="50"/>
      <c r="E52" s="50"/>
      <c r="F52" s="50"/>
      <c r="G52" s="50"/>
    </row>
    <row r="53" spans="2:7" x14ac:dyDescent="0.2">
      <c r="B53" s="418"/>
      <c r="C53" s="418"/>
      <c r="D53" s="418"/>
      <c r="E53" s="50"/>
      <c r="F53" s="50"/>
      <c r="G53" s="50"/>
    </row>
    <row r="54" spans="2:7" x14ac:dyDescent="0.2">
      <c r="B54" s="831" t="str">
        <f>DADOS!$C$28</f>
        <v>PREFEITO MUNICIPAL</v>
      </c>
      <c r="C54" s="831"/>
      <c r="D54" s="831"/>
      <c r="E54" s="831"/>
      <c r="F54" s="831"/>
      <c r="G54" s="831"/>
    </row>
    <row r="55" spans="2:7" x14ac:dyDescent="0.2">
      <c r="B55" s="831" t="str">
        <f>DADOS!$C$29</f>
        <v>PREFEITO MUNICIPAL</v>
      </c>
      <c r="C55" s="831"/>
      <c r="D55" s="831"/>
      <c r="E55" s="831"/>
      <c r="F55" s="831"/>
      <c r="G55" s="831"/>
    </row>
    <row r="56" spans="2:7" x14ac:dyDescent="0.2">
      <c r="B56" s="832"/>
      <c r="C56" s="832"/>
      <c r="D56" s="832"/>
      <c r="E56" s="832"/>
      <c r="F56" s="832"/>
      <c r="G56" s="832"/>
    </row>
  </sheetData>
  <sheetProtection algorithmName="SHA-512" hashValue="Ji3Ooox8kQF1WgUPKjoiSi5YWAzPmVYtsgNqQu2VLuB7mKOYsuUXPegXu7T2ci67gtSDSQBJmQlKT3bmfmG6dg==" saltValue="1+XiIAWs7VVlWXqRvTbdY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&amp;LPMv3.08&amp;R&amp;P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56" customWidth="1"/>
    <col min="2" max="2" width="25" style="556" customWidth="1"/>
    <col min="3" max="3" width="12" style="556" customWidth="1"/>
    <col min="4" max="4" width="15.5703125" style="558" customWidth="1"/>
    <col min="5" max="5" width="70" style="556" customWidth="1"/>
    <col min="6" max="6" width="20" style="556" customWidth="1"/>
    <col min="7" max="7" width="10" style="556" customWidth="1"/>
    <col min="8" max="8" width="25" style="556" customWidth="1"/>
    <col min="9" max="9" width="15" style="556" customWidth="1"/>
    <col min="10" max="10" width="13" style="556" customWidth="1"/>
    <col min="11" max="12" width="35" style="556" customWidth="1"/>
    <col min="13" max="13" width="20" style="556" customWidth="1"/>
    <col min="14" max="14" width="15" style="556" customWidth="1"/>
    <col min="15" max="15" width="50" style="556" customWidth="1"/>
    <col min="16" max="16" width="20" style="556" customWidth="1"/>
    <col min="17" max="17" width="50" style="556" customWidth="1"/>
    <col min="18" max="18" width="15" style="556" customWidth="1"/>
    <col min="19" max="19" width="17.5703125" style="556" customWidth="1"/>
    <col min="20" max="16384" width="9.140625" style="556"/>
  </cols>
  <sheetData>
    <row r="1" spans="1:19" x14ac:dyDescent="0.25">
      <c r="A1" s="555" t="s">
        <v>475</v>
      </c>
      <c r="B1" s="555" t="s">
        <v>476</v>
      </c>
      <c r="C1" s="555" t="s">
        <v>230</v>
      </c>
      <c r="D1" s="557" t="s">
        <v>231</v>
      </c>
      <c r="E1" s="555" t="s">
        <v>477</v>
      </c>
      <c r="F1" s="555" t="s">
        <v>478</v>
      </c>
      <c r="G1" s="555" t="s">
        <v>479</v>
      </c>
      <c r="H1" s="555" t="s">
        <v>480</v>
      </c>
      <c r="I1" s="555" t="s">
        <v>481</v>
      </c>
      <c r="J1" s="555" t="s">
        <v>210</v>
      </c>
      <c r="K1" s="555" t="s">
        <v>482</v>
      </c>
      <c r="L1" s="555" t="s">
        <v>483</v>
      </c>
      <c r="M1" s="555" t="s">
        <v>484</v>
      </c>
      <c r="N1" s="555" t="s">
        <v>485</v>
      </c>
      <c r="O1" s="555" t="s">
        <v>486</v>
      </c>
      <c r="P1" s="555" t="s">
        <v>487</v>
      </c>
      <c r="Q1" s="555" t="s">
        <v>488</v>
      </c>
      <c r="R1" s="555" t="s">
        <v>489</v>
      </c>
      <c r="S1" s="555" t="s">
        <v>490</v>
      </c>
    </row>
    <row r="2" spans="1:19" ht="45" customHeight="1" x14ac:dyDescent="0.25">
      <c r="A2" s="647"/>
      <c r="B2" s="648"/>
      <c r="C2" s="647"/>
      <c r="D2" s="647"/>
      <c r="E2" s="647"/>
      <c r="F2" s="649"/>
      <c r="G2" s="647"/>
      <c r="H2" s="650"/>
      <c r="I2" s="650"/>
      <c r="J2" s="658"/>
      <c r="K2" s="652"/>
      <c r="L2" s="659"/>
      <c r="M2" s="647"/>
      <c r="N2" s="653"/>
      <c r="O2" s="647"/>
      <c r="P2" s="653"/>
      <c r="Q2" s="647"/>
      <c r="R2" s="654"/>
      <c r="S2" s="652"/>
    </row>
  </sheetData>
  <sheetProtection algorithmName="SHA-512" hashValue="1M/GzAKqwltpEzZXKj7AqHrWb0AdlvHHXmzAT8WKwFWYEu5lag4sqUzg++uzxFEXPjs6Y7u4J+ezkAurm54UZw==" saltValue="D0j77eWzeb6kt97oOC9Xuw==" spinCount="100000" sheet="1" objects="1" scenarios="1"/>
  <conditionalFormatting sqref="A2:S2">
    <cfRule type="expression" dxfId="38" priority="61">
      <formula>$A2="Macrosserviço"</formula>
    </cfRule>
  </conditionalFormatting>
  <conditionalFormatting sqref="E2">
    <cfRule type="expression" dxfId="37" priority="67">
      <formula>OR(E2="",IF($A2="Macrosserviço",LEN($E2)&gt;100,LEN($E2)&gt;500))</formula>
    </cfRule>
  </conditionalFormatting>
  <conditionalFormatting sqref="M2">
    <cfRule type="expression" dxfId="36" priority="62">
      <formula>IF($A2="Serviço",LEN(M2)&gt;500,M2&lt;&gt;"")</formula>
    </cfRule>
  </conditionalFormatting>
  <conditionalFormatting sqref="A2">
    <cfRule type="expression" dxfId="35" priority="54">
      <formula>AND(A2&lt;&gt;"Macrosserviço",A2&lt;&gt;"Serviço")</formula>
    </cfRule>
  </conditionalFormatting>
  <conditionalFormatting sqref="C2">
    <cfRule type="expression" dxfId="34" priority="53">
      <formula>IF($A2="Serviço",AND(C2&lt;&gt;"Composição",C2&lt;&gt;"Cotação",C2&lt;&gt;"SINAPI",C2&lt;&gt;"Outros"),C2&lt;&gt;"")</formula>
    </cfRule>
  </conditionalFormatting>
  <conditionalFormatting sqref="D2">
    <cfRule type="expression" dxfId="33" priority="52">
      <formula>IF($A2="Serviço",OR(D2="",LEN($D2)&gt;13),D2&lt;&gt;"")</formula>
    </cfRule>
  </conditionalFormatting>
  <conditionalFormatting sqref="H2">
    <cfRule type="expression" dxfId="32" priority="51">
      <formula>IF(A2="Serviço",OR(NOT(ISNUMBER(H2)),H2&lt;&gt;ROUND(H2,2),AND(C2&lt;&gt;"SINAPI",H2=0),H2&lt;0,H2&gt;9999999999.99),H2&lt;&gt;"")</formula>
    </cfRule>
  </conditionalFormatting>
  <conditionalFormatting sqref="I2">
    <cfRule type="expression" dxfId="31" priority="50">
      <formula>IF($A2="Serviço",OR(NOT(ISNUMBER(I2)),I2&lt;&gt;ROUND(I2,2),I2&lt;=0,I2&gt;9999999999.99),I2&lt;&gt;"")</formula>
    </cfRule>
  </conditionalFormatting>
  <conditionalFormatting sqref="J2">
    <cfRule type="expression" dxfId="30" priority="49">
      <formula>IF($A2="Serviço",OR(NOT(ISNUMBER(VALUE(J2))),VALUE(J2)&lt;&gt;ROUND(VALUE(J2),4),VALUE(J2)&lt;=0,VALUE(J2)&gt;100%),J2&lt;&gt;"")</formula>
    </cfRule>
  </conditionalFormatting>
  <conditionalFormatting sqref="N2">
    <cfRule type="expression" dxfId="29" priority="48">
      <formula>IF($A2="Serviço",OR(NOT(ISNUMBER(N2)),N2&lt;&gt;ROUND(N2,0),N2&lt;1,N2&gt;999),N2&lt;&gt;"")</formula>
    </cfRule>
  </conditionalFormatting>
  <conditionalFormatting sqref="O2">
    <cfRule type="expression" dxfId="28" priority="47">
      <formula>IF($A2="Serviço",OR(O2="",LEN(O2)&gt;100),O2&lt;&gt;"")</formula>
    </cfRule>
  </conditionalFormatting>
  <conditionalFormatting sqref="P2">
    <cfRule type="expression" dxfId="27" priority="46">
      <formula>IF($A2="Macrosserviço",P2&lt;&gt;"",OR(NOT(ISNUMBER(P2)),P2&lt;&gt;ROUND(P2,0),P2&lt;1,P2&gt;999))</formula>
    </cfRule>
  </conditionalFormatting>
  <conditionalFormatting sqref="Q2">
    <cfRule type="expression" dxfId="26" priority="45">
      <formula>IF($A2="Macrosserviço",Q2&lt;&gt;"",OR(Q2="",LEN(Q2)&gt;100))</formula>
    </cfRule>
  </conditionalFormatting>
  <conditionalFormatting sqref="B2">
    <cfRule type="cellIs" dxfId="25" priority="44" operator="equal">
      <formula>""</formula>
    </cfRule>
  </conditionalFormatting>
  <conditionalFormatting sqref="R2">
    <cfRule type="expression" dxfId="24" priority="36">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3"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56" customWidth="1"/>
    <col min="2" max="2" width="50" style="556" customWidth="1"/>
    <col min="3" max="3" width="20" style="556" customWidth="1"/>
    <col min="4" max="4" width="50" style="556" customWidth="1"/>
    <col min="5" max="5" width="35" style="556" customWidth="1"/>
    <col min="6" max="16384" width="9.140625" style="556"/>
  </cols>
  <sheetData>
    <row r="1" spans="1:5" x14ac:dyDescent="0.25">
      <c r="A1" s="555" t="s">
        <v>495</v>
      </c>
      <c r="B1" s="555" t="s">
        <v>264</v>
      </c>
      <c r="C1" s="555" t="s">
        <v>496</v>
      </c>
      <c r="D1" s="555" t="s">
        <v>488</v>
      </c>
      <c r="E1" s="555" t="s">
        <v>497</v>
      </c>
    </row>
    <row r="2" spans="1:5" ht="45" customHeight="1" x14ac:dyDescent="0.25">
      <c r="A2" s="657"/>
      <c r="B2" s="657"/>
      <c r="C2" s="655"/>
      <c r="D2" s="655"/>
      <c r="E2" s="655"/>
    </row>
  </sheetData>
  <sheetProtection algorithmName="SHA-512" hashValue="nwNim8LkjjdRCcochoh2v8CN5ptLrAIO3MVfgdtgLd2fjJyH+QC6FEibLQD68yL+z/Geb+IxA/FZCeJV+YEESA==" saltValue="WmTjNJlEUOjZTs/rQj24Rw=="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56" customWidth="1"/>
    <col min="2" max="2" width="25" style="556" customWidth="1"/>
    <col min="3" max="3" width="12" style="556" customWidth="1"/>
    <col min="4" max="4" width="15.5703125" style="558" customWidth="1"/>
    <col min="5" max="5" width="70" style="556" customWidth="1"/>
    <col min="6" max="6" width="20" style="556" customWidth="1"/>
    <col min="7" max="7" width="10" style="556" customWidth="1"/>
    <col min="8" max="8" width="25" style="556" customWidth="1"/>
    <col min="9" max="9" width="15" style="556" customWidth="1"/>
    <col min="10" max="10" width="13" style="556" customWidth="1"/>
    <col min="11" max="12" width="35" style="556" customWidth="1"/>
    <col min="13" max="14" width="20" style="556" customWidth="1"/>
    <col min="15" max="15" width="50" style="556" customWidth="1"/>
    <col min="16" max="16" width="15" style="556" customWidth="1"/>
    <col min="17" max="17" width="17.5703125" style="556" customWidth="1"/>
    <col min="18" max="16384" width="9.140625" style="556"/>
  </cols>
  <sheetData>
    <row r="1" spans="1:17" x14ac:dyDescent="0.25">
      <c r="A1" s="555" t="s">
        <v>475</v>
      </c>
      <c r="B1" s="555" t="s">
        <v>476</v>
      </c>
      <c r="C1" s="555" t="s">
        <v>230</v>
      </c>
      <c r="D1" s="557" t="s">
        <v>231</v>
      </c>
      <c r="E1" s="555" t="s">
        <v>477</v>
      </c>
      <c r="F1" s="555" t="s">
        <v>478</v>
      </c>
      <c r="G1" s="555" t="s">
        <v>479</v>
      </c>
      <c r="H1" s="555" t="s">
        <v>480</v>
      </c>
      <c r="I1" s="555" t="s">
        <v>481</v>
      </c>
      <c r="J1" s="555" t="s">
        <v>210</v>
      </c>
      <c r="K1" s="555" t="s">
        <v>482</v>
      </c>
      <c r="L1" s="555" t="s">
        <v>483</v>
      </c>
      <c r="M1" s="555" t="s">
        <v>484</v>
      </c>
      <c r="N1" s="555" t="s">
        <v>487</v>
      </c>
      <c r="O1" s="555" t="s">
        <v>488</v>
      </c>
      <c r="P1" s="555" t="s">
        <v>489</v>
      </c>
      <c r="Q1" s="555" t="s">
        <v>490</v>
      </c>
    </row>
    <row r="2" spans="1:17" ht="45" customHeight="1" x14ac:dyDescent="0.25">
      <c r="A2" s="647"/>
      <c r="B2" s="648"/>
      <c r="C2" s="647"/>
      <c r="D2" s="647"/>
      <c r="E2" s="647"/>
      <c r="F2" s="649"/>
      <c r="G2" s="647"/>
      <c r="H2" s="650"/>
      <c r="I2" s="650"/>
      <c r="J2" s="651"/>
      <c r="K2" s="652"/>
      <c r="L2" s="652"/>
      <c r="M2" s="647"/>
      <c r="N2" s="653"/>
      <c r="O2" s="647"/>
      <c r="P2" s="654"/>
      <c r="Q2" s="652"/>
    </row>
  </sheetData>
  <sheetProtection algorithmName="SHA-512" hashValue="AMjEdc1hnlr90UPPDTxM01Sk9Ckb6oJFBXrU32VPAKljMhF34q4l4UOjgAhkZaepzhmtyNBTD4qsAzFpc4cPRw==" saltValue="nGxGVA9oJRN5zmUBvliSdw==" spinCount="100000" sheet="1" objects="1" scenarios="1"/>
  <conditionalFormatting sqref="A2:Q2">
    <cfRule type="expression" dxfId="17" priority="36">
      <formula>$A2="Macrosserviço"</formula>
    </cfRule>
  </conditionalFormatting>
  <conditionalFormatting sqref="E2">
    <cfRule type="expression" dxfId="16" priority="38">
      <formula>OR(E2="",IF($A2="Macrosserviço",LEN($E2)&gt;100,LEN($E2)&gt;500))</formula>
    </cfRule>
  </conditionalFormatting>
  <conditionalFormatting sqref="M2">
    <cfRule type="expression" dxfId="15" priority="37">
      <formula>IF($A2="Serviço",LEN(M2)&gt;500,M2&lt;&gt;"")</formula>
    </cfRule>
  </conditionalFormatting>
  <conditionalFormatting sqref="A2">
    <cfRule type="expression" dxfId="14" priority="35">
      <formula>AND(A2&lt;&gt;"Macrosserviço",A2&lt;&gt;"Serviço")</formula>
    </cfRule>
  </conditionalFormatting>
  <conditionalFormatting sqref="C2">
    <cfRule type="expression" dxfId="13" priority="34">
      <formula>IF($A2="Serviço",AND(C2&lt;&gt;"Composição",C2&lt;&gt;"Cotação",C2&lt;&gt;"SINAPI",C2&lt;&gt;"Outros"),C2&lt;&gt;"")</formula>
    </cfRule>
  </conditionalFormatting>
  <conditionalFormatting sqref="D2">
    <cfRule type="expression" dxfId="12" priority="33">
      <formula>IF($A2="Serviço",OR(D2="",LEN($D2)&gt;13),D2&lt;&gt;"")</formula>
    </cfRule>
  </conditionalFormatting>
  <conditionalFormatting sqref="H2">
    <cfRule type="expression" dxfId="11" priority="32">
      <formula>IF(A2="Serviço",OR(NOT(ISNUMBER(H2)),H2&lt;&gt;ROUND(H2,2),AND(C2&lt;&gt;"SINAPI",H2=0),H2&lt;0,H2&gt;9999999999.99),H2&lt;&gt;"")</formula>
    </cfRule>
  </conditionalFormatting>
  <conditionalFormatting sqref="I2">
    <cfRule type="expression" dxfId="10" priority="31">
      <formula>IF($A2="Serviço",OR(NOT(ISNUMBER(I2)),I2&lt;&gt;ROUND(I2,2),I2&lt;=0,I2&gt;9999999999.99),I2&lt;&gt;"")</formula>
    </cfRule>
  </conditionalFormatting>
  <conditionalFormatting sqref="J2">
    <cfRule type="expression" dxfId="9" priority="30">
      <formula>IF($A2="Serviço",OR(NOT(ISNUMBER(VALUE(J2))),VALUE(J2)&lt;&gt;ROUND(VALUE(J2),4),VALUE(J2)&lt;=0,VALUE(J2)&gt;100%),J2&lt;&gt;"")</formula>
    </cfRule>
  </conditionalFormatting>
  <conditionalFormatting sqref="B2">
    <cfRule type="cellIs" dxfId="8" priority="29" operator="equal">
      <formula>""</formula>
    </cfRule>
  </conditionalFormatting>
  <conditionalFormatting sqref="N2">
    <cfRule type="expression" dxfId="7" priority="27">
      <formula>IF($A2="Macrosserviço",N2&lt;&gt;"",OR(NOT(ISNUMBER(N2)),N2&lt;&gt;ROUND(N2,0),N2&lt;1,N2&gt;999))</formula>
    </cfRule>
  </conditionalFormatting>
  <conditionalFormatting sqref="O2">
    <cfRule type="expression" dxfId="6" priority="26">
      <formula>IF($A2="Macrosserviço",O2&lt;&gt;"",OR(O2="",LEN(O2)&gt;100))</formula>
    </cfRule>
  </conditionalFormatting>
  <conditionalFormatting sqref="P2">
    <cfRule type="expression" dxfId="5" priority="25">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extLst>
    <ext xmlns:x14="http://schemas.microsoft.com/office/spreadsheetml/2009/9/main" uri="{78C0D931-6437-407d-A8EE-F0AAD7539E65}">
      <x14:conditionalFormattings>
        <x14:conditionalFormatting xmlns:xm="http://schemas.microsoft.com/office/excel/2006/main">
          <x14:cfRule type="expression" priority="39"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56" customWidth="1"/>
    <col min="2" max="2" width="70" style="556" customWidth="1"/>
    <col min="3" max="3" width="10" style="556" customWidth="1"/>
    <col min="4" max="4" width="20" style="556" customWidth="1"/>
    <col min="5" max="16384" width="9.140625" style="556"/>
  </cols>
  <sheetData>
    <row r="1" spans="1:4" x14ac:dyDescent="0.25">
      <c r="A1" s="555" t="s">
        <v>498</v>
      </c>
      <c r="B1" s="555" t="s">
        <v>491</v>
      </c>
      <c r="C1" s="555" t="s">
        <v>443</v>
      </c>
      <c r="D1" s="555" t="s">
        <v>499</v>
      </c>
    </row>
    <row r="2" spans="1:4" ht="45" customHeight="1" x14ac:dyDescent="0.25">
      <c r="A2" s="657"/>
      <c r="B2" s="657"/>
      <c r="C2" s="655"/>
      <c r="D2" s="656"/>
    </row>
  </sheetData>
  <sheetProtection algorithmName="SHA-512" hashValue="TEwUu9W0crpolohrgOs26iB2eltue23rGHT8ieuOTzMTeemRp07S1OMOpL5lh4yh29TTZ+lTSbqugOD2xYYfxg==" saltValue="ugWA3KmxkWSGFDCsscOxz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Ana Licitações</cp:lastModifiedBy>
  <cp:revision>5</cp:revision>
  <cp:lastPrinted>2026-04-07T11:49:51Z</cp:lastPrinted>
  <dcterms:created xsi:type="dcterms:W3CDTF">1997-01-10T22:22:50Z</dcterms:created>
  <dcterms:modified xsi:type="dcterms:W3CDTF">2026-06-24T13:58:03Z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